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9BF4F6D9-100E-4479-99F0-9A53C3F2F98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20" i="15" l="1"/>
  <c r="K40" i="14"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7" i="19"/>
  <c r="C19" i="19" s="1"/>
  <c r="D39" i="14" s="1"/>
  <c r="C18" i="15"/>
  <c r="C20" i="15" s="1"/>
  <c r="D40" i="14" s="1"/>
  <c r="C10" i="13"/>
  <c r="C12" i="13" s="1"/>
  <c r="C56" i="22"/>
  <c r="C58" i="22" s="1"/>
  <c r="D49" i="14" s="1"/>
  <c r="D52" i="14" s="1"/>
  <c r="C22" i="59"/>
  <c r="C29" i="20"/>
  <c r="C20" i="16"/>
  <c r="C22" i="16" s="1"/>
  <c r="D43"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<sst xmlns="http://schemas.openxmlformats.org/spreadsheetml/2006/main" count="2482" uniqueCount="903">
  <si>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</si>
  <si>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</si>
  <si>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</si>
  <si>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</si>
  <si>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</si>
  <si>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</si>
  <si>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</si>
  <si>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</si>
  <si>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</si>
  <si>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</si>
  <si>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</si>
  <si>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</si>
  <si>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</si>
  <si>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</si>
  <si>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</si>
  <si>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</si>
  <si>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</si>
  <si>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</si>
  <si>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</si>
  <si>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</si>
  <si>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</si>
  <si>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</si>
  <si>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</si>
  <si>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</si>
  <si>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</si>
  <si>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</si>
  <si>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</si>
  <si>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</si>
  <si>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</si>
  <si>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</si>
  <si>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</si>
  <si>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</si>
  <si>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</si>
  <si>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</si>
  <si>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</si>
  <si>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</si>
  <si>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</si>
  <si>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</si>
  <si>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</si>
  <si>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</si>
  <si>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</si>
  <si>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</si>
  <si>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</si>
  <si>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</si>
  <si>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</si>
  <si>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</si>
  <si>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</si>
  <si>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</si>
  <si>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</si>
  <si>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</si>
  <si>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</si>
  <si>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</si>
  <si>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</si>
  <si>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</si>
  <si>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</si>
  <si>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</si>
  <si>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</si>
  <si>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</si>
  <si>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</si>
  <si>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</si>
  <si>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</si>
  <si>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</si>
  <si>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</si>
  <si>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</si>
  <si>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</si>
  <si>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</si>
  <si>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</si>
  <si>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</si>
  <si>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</si>
  <si>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</si>
  <si>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</si>
  <si>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</si>
  <si>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</si>
  <si>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</si>
  <si>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</si>
  <si>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</si>
  <si>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</si>
  <si>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</si>
  <si>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</si>
  <si>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</si>
  <si>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</si>
  <si>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</si>
  <si>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</si>
  <si>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</si>
  <si>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</si>
  <si>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</si>
  <si>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</si>
  <si>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</si>
  <si>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</si>
  <si>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</si>
  <si>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</si>
  <si>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</si>
  <si>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</si>
  <si>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</si>
  <si>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</si>
  <si>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</si>
  <si>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</si>
  <si>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</si>
  <si>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</si>
  <si>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</si>
  <si>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</si>
  <si>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</si>
  <si>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</si>
  <si>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</si>
  <si>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</si>
  <si>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</si>
  <si>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</si>
  <si>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</si>
  <si>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</si>
  <si>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</si>
  <si>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</si>
  <si>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</si>
  <si>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</si>
  <si>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</si>
  <si>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</si>
  <si>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</si>
  <si>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</si>
  <si>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</si>
  <si>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</si>
  <si>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</si>
  <si>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</si>
  <si>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</si>
  <si>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</si>
  <si>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</si>
  <si>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</si>
  <si>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</si>
  <si>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</si>
  <si>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</si>
  <si>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</si>
  <si>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</si>
  <si>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</si>
  <si>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</si>
  <si>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</si>
  <si>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</si>
  <si>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</si>
  <si>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</si>
  <si>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</si>
  <si>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</si>
  <si>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</si>
  <si>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</si>
  <si>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</si>
  <si>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</si>
  <si>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</si>
  <si>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</si>
  <si>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</si>
  <si>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</si>
  <si>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</si>
  <si>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</si>
  <si>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</si>
  <si>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</si>
  <si>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</si>
  <si>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</si>
  <si>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</si>
  <si>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</si>
  <si>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</si>
  <si>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</si>
  <si>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</si>
  <si>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</si>
  <si>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</si>
  <si>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</si>
  <si>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</si>
  <si>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</si>
  <si>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</si>
  <si>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</si>
  <si>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</si>
  <si>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</si>
  <si>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</si>
  <si>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</si>
  <si>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</si>
  <si>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</si>
  <si>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</si>
  <si>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</si>
  <si>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</si>
  <si>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</si>
  <si>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</si>
  <si>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</si>
  <si>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</si>
  <si>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</si>
  <si>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</si>
  <si>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</si>
  <si>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</si>
  <si>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</si>
  <si>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</si>
  <si>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</si>
  <si>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</si>
  <si>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</si>
  <si>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</si>
  <si>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</si>
  <si>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</si>
  <si>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</si>
  <si>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</si>
  <si>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</si>
  <si>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</si>
  <si>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</si>
  <si>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</si>
  <si>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</si>
  <si>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</si>
  <si>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</si>
  <si>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</si>
  <si>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</si>
  <si>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</si>
  <si>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</si>
  <si>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</si>
  <si>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</si>
  <si>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</si>
  <si>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</si>
  <si>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</si>
  <si>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</si>
  <si>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</si>
  <si>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</si>
  <si>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</si>
  <si>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</si>
  <si>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</si>
  <si>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</si>
  <si>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</si>
  <si>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</si>
  <si>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</si>
  <si>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</si>
  <si>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</si>
  <si>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</si>
  <si>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</si>
  <si>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</si>
  <si>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</si>
  <si>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</si>
  <si>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</si>
  <si>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</si>
  <si>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</si>
  <si>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</si>
  <si>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</si>
  <si>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</si>
  <si>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</si>
  <si>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</si>
  <si>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</si>
  <si>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</si>
  <si>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</si>
  <si>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</si>
  <si>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</si>
  <si>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</si>
  <si>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</si>
  <si>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</si>
  <si>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</si>
  <si>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</si>
  <si>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</si>
  <si>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</si>
  <si>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</si>
  <si>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</si>
  <si>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</si>
  <si>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</si>
  <si>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</si>
  <si>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</si>
  <si>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</si>
  <si>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</si>
  <si>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</si>
  <si>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</si>
  <si>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</si>
  <si>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</si>
  <si>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</si>
  <si>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</si>
  <si>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</si>
  <si>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</si>
  <si>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</si>
  <si>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</si>
  <si>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</si>
  <si>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</si>
  <si>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</si>
  <si>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</si>
  <si>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</si>
  <si>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</si>
  <si>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</si>
  <si>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</si>
  <si>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</si>
  <si>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</si>
  <si>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</si>
  <si>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</si>
  <si>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</si>
  <si>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</si>
  <si>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</si>
  <si>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</si>
  <si>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</si>
  <si>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</si>
  <si>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</si>
  <si>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</si>
  <si>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</si>
  <si>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</si>
  <si>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</si>
  <si>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</si>
  <si>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</si>
  <si>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</si>
  <si>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</si>
  <si>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</si>
  <si>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</si>
  <si>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</si>
  <si>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</si>
  <si>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</si>
  <si>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</si>
  <si>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</si>
  <si>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</si>
  <si>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</si>
  <si>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</si>
  <si>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</si>
  <si>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</si>
  <si>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</si>
  <si>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</si>
  <si>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</si>
  <si>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</si>
  <si>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</si>
  <si>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</si>
  <si>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</si>
  <si>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</si>
  <si>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</si>
  <si>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</si>
  <si>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</si>
  <si>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</si>
  <si>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</si>
  <si>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</si>
  <si>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</si>
  <si>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</si>
  <si>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</si>
  <si>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</si>
  <si>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</si>
  <si>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</si>
  <si>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</si>
  <si>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</si>
  <si>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</si>
  <si>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</si>
  <si>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</si>
  <si>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</si>
  <si>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</si>
  <si>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</si>
  <si>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</si>
  <si>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</si>
  <si>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</si>
  <si>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</si>
  <si>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</si>
  <si>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</si>
  <si>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</si>
  <si>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</si>
  <si>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</si>
  <si>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</si>
  <si>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</si>
  <si>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</si>
  <si>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</si>
  <si>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</si>
  <si>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</si>
  <si>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</si>
  <si>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</si>
  <si>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</si>
  <si>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</si>
  <si>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</si>
  <si>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</si>
  <si>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</si>
  <si>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</si>
  <si>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</si>
  <si>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</si>
  <si>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</si>
  <si>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</si>
  <si>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</si>
  <si>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</si>
  <si>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</si>
  <si>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</si>
  <si>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</si>
  <si>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</si>
  <si>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</si>
  <si>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</si>
  <si>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</si>
  <si>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</si>
  <si>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</si>
  <si>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</si>
  <si>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</si>
  <si>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</si>
  <si>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</si>
  <si>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</si>
  <si>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</si>
  <si>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</si>
  <si>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</si>
  <si>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</si>
  <si>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</si>
  <si>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</si>
  <si>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</si>
  <si>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</si>
  <si>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</si>
  <si>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</si>
  <si>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</si>
  <si>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</si>
  <si>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</si>
  <si>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</si>
  <si>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</si>
  <si>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</si>
  <si>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</si>
  <si>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</si>
  <si>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</si>
  <si>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</si>
  <si>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</si>
  <si>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</si>
  <si>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</si>
  <si>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</si>
  <si>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</si>
  <si>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</si>
  <si>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</si>
  <si>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</si>
  <si>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</si>
  <si>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</si>
  <si>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</si>
  <si>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</si>
  <si>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</si>
  <si>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</si>
  <si>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</si>
  <si>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</si>
  <si>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</si>
  <si>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</si>
  <si>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</si>
  <si>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</si>
  <si>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</si>
  <si>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</si>
  <si>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</si>
  <si>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</si>
  <si>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</si>
  <si>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</si>
  <si>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</si>
  <si>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</si>
  <si>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</si>
  <si>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</si>
  <si>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</si>
  <si>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</si>
  <si>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</si>
  <si>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</si>
  <si>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</si>
  <si>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</si>
  <si>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</si>
  <si>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</si>
  <si>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</si>
  <si>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</si>
  <si>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</si>
  <si>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</si>
  <si>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</si>
  <si>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</si>
  <si>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</si>
  <si>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</si>
  <si>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</si>
  <si>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</si>
  <si>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</si>
  <si>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</si>
  <si>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</si>
  <si>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</si>
  <si>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</si>
  <si>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</si>
  <si>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</si>
  <si>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</si>
  <si>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</si>
  <si>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</si>
  <si>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</si>
  <si>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</si>
  <si>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</si>
  <si>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</si>
  <si>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</si>
  <si>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</si>
  <si>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</si>
  <si>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</si>
  <si>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</si>
  <si>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</si>
  <si>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</si>
  <si>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</si>
  <si>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</si>
  <si>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</si>
  <si>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</si>
  <si>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</si>
  <si>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</si>
  <si>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</si>
  <si>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</si>
  <si>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</si>
  <si>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</si>
  <si>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</si>
  <si>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</si>
  <si>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</si>
  <si>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</si>
  <si>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</si>
  <si>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</si>
  <si>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</si>
  <si>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</si>
  <si>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</si>
  <si>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</si>
  <si>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</si>
  <si>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</si>
  <si>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</si>
  <si>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</si>
  <si>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</si>
  <si>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</si>
  <si>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</si>
  <si>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</si>
  <si>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</si>
  <si>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</si>
  <si>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</si>
  <si>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</si>
  <si>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</si>
  <si>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</si>
  <si>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</si>
  <si>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</si>
  <si>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</si>
  <si>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</si>
  <si>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</si>
  <si>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</si>
  <si>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</si>
  <si>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</si>
  <si>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</si>
  <si>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</si>
  <si>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</si>
  <si>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</si>
  <si>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</si>
  <si>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</si>
  <si>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</si>
  <si>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</si>
  <si>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</si>
  <si>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</si>
  <si>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</si>
  <si>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</si>
  <si>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</si>
  <si>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</si>
  <si>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</si>
  <si>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</si>
  <si>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</si>
  <si>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</si>
  <si>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</si>
  <si>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</si>
  <si>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</si>
  <si>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</si>
  <si>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</si>
  <si>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</si>
  <si>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</si>
  <si>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</si>
  <si>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</si>
  <si>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</si>
  <si>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</si>
  <si>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</si>
  <si>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</si>
  <si>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</si>
  <si>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</si>
  <si>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</si>
  <si>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</si>
  <si>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</si>
  <si>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</si>
  <si>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</si>
  <si>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</si>
  <si>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</si>
  <si>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</si>
  <si>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</si>
  <si>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</si>
  <si>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</si>
  <si>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</si>
  <si>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</si>
  <si>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</si>
  <si>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</si>
  <si>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</si>
  <si>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</si>
  <si>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</si>
  <si>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</si>
  <si>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</si>
  <si>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</si>
  <si>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</si>
  <si>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</si>
  <si>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</si>
  <si>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</si>
  <si>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</si>
  <si>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</si>
  <si>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</si>
  <si>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</si>
  <si>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</si>
  <si>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</si>
  <si>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</si>
  <si>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</si>
  <si>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</si>
  <si>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</si>
  <si>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</si>
  <si>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</si>
  <si>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</si>
  <si>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</si>
  <si>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</si>
  <si>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</si>
  <si>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</si>
  <si>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</si>
  <si>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</si>
  <si>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</si>
  <si>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</si>
  <si>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</si>
  <si>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</si>
  <si>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</si>
  <si>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</si>
  <si>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</si>
  <si>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</si>
  <si>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</si>
  <si>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</si>
  <si>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</si>
  <si>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</si>
  <si>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</si>
  <si>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</si>
  <si>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</si>
  <si>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</si>
  <si>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</si>
  <si>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</si>
  <si>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</si>
  <si>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</si>
  <si>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</si>
  <si>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</si>
  <si>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</si>
  <si>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</si>
  <si>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</si>
  <si>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</si>
  <si>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</si>
  <si>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</si>
  <si>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</si>
  <si>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</si>
  <si>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</si>
  <si>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</si>
  <si>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</si>
  <si>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</si>
  <si>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</si>
  <si>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</si>
  <si>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</si>
  <si>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</si>
  <si>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</si>
  <si>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</si>
  <si>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</si>
  <si>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</si>
  <si>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</si>
  <si>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</si>
  <si>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</si>
  <si>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</si>
  <si>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</si>
  <si>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</si>
  <si>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</si>
  <si>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</si>
  <si>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</si>
  <si>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</si>
  <si>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</si>
  <si>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</si>
  <si>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</si>
  <si>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</si>
  <si>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</si>
  <si>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</si>
  <si>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</si>
  <si>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</si>
  <si>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</si>
  <si>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</si>
  <si>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</si>
  <si>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</si>
  <si>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</si>
  <si>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</si>
  <si>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</si>
  <si>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</si>
  <si>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</si>
  <si>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</si>
  <si>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</si>
  <si>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</si>
  <si>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</si>
  <si>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</si>
  <si>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</si>
  <si>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</si>
  <si>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</si>
  <si>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</si>
  <si>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</si>
  <si>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</si>
  <si>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</si>
  <si>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</si>
  <si>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</si>
  <si>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</si>
  <si>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</si>
  <si>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</si>
  <si>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</si>
  <si>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</si>
  <si>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</si>
  <si>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</si>
  <si>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</si>
  <si>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</si>
  <si>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</si>
  <si>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</si>
  <si>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</si>
  <si>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</si>
  <si>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</si>
  <si>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</si>
  <si>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</si>
  <si>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</si>
  <si>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</si>
  <si>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</si>
  <si>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</si>
  <si>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</si>
  <si>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</si>
  <si>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</si>
  <si>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</si>
  <si>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</si>
  <si>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</si>
  <si>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</si>
  <si>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</si>
  <si>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</si>
  <si>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</si>
  <si>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</si>
  <si>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</si>
  <si>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</si>
  <si>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</si>
  <si>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</si>
  <si>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</si>
  <si>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</si>
  <si>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</si>
  <si>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</si>
  <si>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</si>
  <si>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</si>
  <si>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</si>
  <si>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</si>
  <si>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</si>
  <si>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</si>
  <si>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</si>
  <si>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</si>
  <si>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</si>
  <si>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</si>
  <si>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</si>
  <si>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</si>
  <si>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</si>
  <si>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</si>
  <si>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</si>
  <si>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</si>
  <si>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</si>
  <si>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</si>
  <si>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</si>
  <si>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</si>
  <si>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</si>
  <si>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</si>
  <si>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</si>
  <si>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</si>
  <si>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</si>
  <si>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</si>
  <si>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</si>
  <si>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</si>
  <si>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</si>
  <si>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</si>
  <si>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</si>
  <si>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</si>
  <si>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</si>
  <si>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</si>
  <si>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</si>
  <si>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</si>
  <si>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</si>
  <si>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</si>
  <si>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</si>
  <si>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</si>
  <si>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</si>
  <si>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</si>
  <si>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</si>
  <si>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</si>
  <si>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</si>
  <si>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</si>
  <si>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</si>
  <si>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</si>
  <si>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</si>
  <si>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</si>
  <si>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</si>
  <si>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</si>
  <si>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</si>
  <si>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</si>
  <si>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</si>
  <si>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</si>
  <si>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</si>
  <si>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</si>
  <si>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</si>
  <si>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</si>
  <si>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</si>
  <si>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</si>
  <si>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</si>
  <si>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</si>
  <si>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</si>
  <si>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</si>
  <si>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</si>
  <si>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</si>
  <si>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</si>
  <si>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</si>
  <si>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</si>
  <si>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</si>
  <si>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</si>
  <si>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</si>
  <si>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</si>
  <si>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</si>
  <si>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</si>
  <si>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</si>
  <si>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</si>
  <si>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</si>
  <si>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</si>
  <si>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</si>
  <si>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</si>
  <si>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</si>
  <si>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</si>
  <si>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</si>
  <si>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</si>
  <si>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</si>
  <si>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</si>
  <si>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</si>
  <si>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</si>
  <si>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</si>
  <si>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</si>
  <si>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</si>
  <si>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</si>
  <si>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</si>
  <si>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</si>
  <si>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</si>
  <si>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</si>
  <si>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</si>
  <si>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</si>
  <si>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</si>
  <si>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</si>
  <si>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</si>
  <si>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</si>
  <si>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</si>
  <si>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</si>
  <si>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</si>
  <si>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</si>
  <si>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</si>
  <si>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</si>
  <si>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</si>
  <si>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</si>
  <si>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</si>
  <si>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</si>
  <si>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</si>
  <si>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</si>
  <si>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</si>
  <si>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</si>
  <si>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</si>
  <si>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</si>
  <si>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</si>
  <si>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</si>
  <si>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</si>
  <si>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</si>
  <si>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</si>
  <si>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</si>
  <si>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</si>
  <si>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</si>
  <si>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</si>
  <si>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</si>
  <si>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</si>
  <si>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</si>
  <si>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</si>
  <si>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</si>
  <si>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</si>
  <si>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</si>
  <si>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</si>
  <si>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</si>
  <si>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</si>
  <si>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</si>
  <si>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</si>
  <si>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</si>
  <si>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</si>
  <si>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</si>
  <si>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</si>
  <si>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</si>
  <si>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</si>
  <si>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</si>
  <si>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</si>
  <si>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</si>
  <si>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</si>
  <si>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</si>
  <si>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</si>
  <si>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</si>
  <si>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</si>
  <si>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</si>
  <si>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</si>
  <si>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</si>
  <si>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</si>
  <si>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</si>
  <si>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</si>
  <si>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</si>
  <si>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</si>
  <si>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</si>
  <si>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</si>
  <si>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</si>
  <si>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</si>
  <si>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</si>
  <si>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</si>
  <si>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</si>
  <si>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</si>
  <si>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</si>
  <si>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</si>
  <si>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</si>
  <si>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</si>
  <si>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</si>
  <si>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</si>
  <si>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</si>
  <si>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</si>
  <si>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</si>
  <si>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</si>
  <si>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</si>
  <si>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</si>
  <si>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</si>
  <si>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</si>
  <si>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</si>
  <si>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</si>
  <si>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</si>
  <si>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</si>
  <si>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</si>
  <si>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</si>
  <si>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</si>
  <si>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</si>
  <si>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</si>
  <si>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23027</t>
  </si>
  <si>
    <t>HALLE</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</si>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</sst>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B5D036F5-C927-4F75-BA2C-B2FE6C60F90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312549.91939856944</c:v>
                </c:pt>
                <c:pt idx="1">
                  <c:v>195283.43549344561</c:v>
                </c:pt>
                <c:pt idx="2">
                  <c:v>2469.7820000000002</c:v>
                </c:pt>
                <c:pt idx="3">
                  <c:v>18092.860649157818</c:v>
                </c:pt>
                <c:pt idx="4">
                  <c:v>132297.44502794402</c:v>
                </c:pt>
                <c:pt idx="5">
                  <c:v>603325.58916706126</c:v>
                </c:pt>
                <c:pt idx="6">
                  <c:v>3915.3155615315513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312549.91939856944</c:v>
                </c:pt>
                <c:pt idx="1">
                  <c:v>195283.43549344561</c:v>
                </c:pt>
                <c:pt idx="2">
                  <c:v>2469.7820000000002</c:v>
                </c:pt>
                <c:pt idx="3">
                  <c:v>18092.860649157818</c:v>
                </c:pt>
                <c:pt idx="4">
                  <c:v>132297.44502794402</c:v>
                </c:pt>
                <c:pt idx="5">
                  <c:v>603325.58916706126</c:v>
                </c:pt>
                <c:pt idx="6">
                  <c:v>3915.3155615315513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61267.89094543727</c:v>
                </c:pt>
                <c:pt idx="1">
                  <c:v>37046.124512134025</c:v>
                </c:pt>
                <c:pt idx="2">
                  <c:v>443.61142968572835</c:v>
                </c:pt>
                <c:pt idx="3">
                  <c:v>3150.1158546334373</c:v>
                </c:pt>
                <c:pt idx="4">
                  <c:v>26824.563778567364</c:v>
                </c:pt>
                <c:pt idx="5">
                  <c:v>150004.35457152466</c:v>
                </c:pt>
                <c:pt idx="6">
                  <c:v>985.7342716797699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61267.89094543727</c:v>
                </c:pt>
                <c:pt idx="1">
                  <c:v>37046.124512134025</c:v>
                </c:pt>
                <c:pt idx="2">
                  <c:v>443.61142968572835</c:v>
                </c:pt>
                <c:pt idx="3">
                  <c:v>3150.1158546334373</c:v>
                </c:pt>
                <c:pt idx="4">
                  <c:v>26824.563778567364</c:v>
                </c:pt>
                <c:pt idx="5">
                  <c:v>150004.35457152466</c:v>
                </c:pt>
                <c:pt idx="6">
                  <c:v>985.7342716797699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23027</v>
      </c>
      <c r="B6" s="384"/>
      <c r="C6" s="385"/>
    </row>
    <row r="7" spans="1:7" s="382" customFormat="1" ht="15.75" customHeight="1">
      <c r="A7" s="386" t="str">
        <f>txtMunicipality</f>
        <v>HALLE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86959.165853000013</v>
      </c>
      <c r="D10" s="679">
        <f ca="1">tertiair!C16</f>
        <v>5715</v>
      </c>
      <c r="E10" s="679">
        <f ca="1">tertiair!D16</f>
        <v>92299.521031685988</v>
      </c>
      <c r="F10" s="679">
        <f>tertiair!E16</f>
        <v>1708.2266074094666</v>
      </c>
      <c r="G10" s="679">
        <f ca="1">tertiair!F16</f>
        <v>8391.3721983536034</v>
      </c>
      <c r="H10" s="679">
        <f>tertiair!G16</f>
        <v>0</v>
      </c>
      <c r="I10" s="679">
        <f>tertiair!H16</f>
        <v>0</v>
      </c>
      <c r="J10" s="679">
        <f>tertiair!I16</f>
        <v>0</v>
      </c>
      <c r="K10" s="679">
        <f>tertiair!J16</f>
        <v>6.3458702574674355E-2</v>
      </c>
      <c r="L10" s="679">
        <f>tertiair!K16</f>
        <v>0</v>
      </c>
      <c r="M10" s="679">
        <f ca="1">tertiair!L16</f>
        <v>0</v>
      </c>
      <c r="N10" s="679">
        <f>tertiair!M16</f>
        <v>0</v>
      </c>
      <c r="O10" s="679">
        <f ca="1">tertiair!N16</f>
        <v>2522.2509293744511</v>
      </c>
      <c r="P10" s="679">
        <f>tertiair!O16</f>
        <v>0</v>
      </c>
      <c r="Q10" s="680">
        <f>tertiair!P16</f>
        <v>157.61741491948504</v>
      </c>
      <c r="R10" s="682">
        <f ca="1">SUM(C10:Q10)</f>
        <v>197753.21749344561</v>
      </c>
      <c r="S10" s="67"/>
    </row>
    <row r="11" spans="1:19" s="442" customFormat="1">
      <c r="A11" s="800" t="s">
        <v>213</v>
      </c>
      <c r="B11" s="805"/>
      <c r="C11" s="679">
        <f>huishoudens!B8</f>
        <v>60611.018402895665</v>
      </c>
      <c r="D11" s="679">
        <f>huishoudens!C8</f>
        <v>0</v>
      </c>
      <c r="E11" s="679">
        <f>huishoudens!D8</f>
        <v>166354.73953560003</v>
      </c>
      <c r="F11" s="679">
        <f>huishoudens!E8</f>
        <v>3683.9766942768852</v>
      </c>
      <c r="G11" s="679">
        <f>huishoudens!F8</f>
        <v>59390.614339218424</v>
      </c>
      <c r="H11" s="679">
        <f>huishoudens!G8</f>
        <v>0</v>
      </c>
      <c r="I11" s="679">
        <f>huishoudens!H8</f>
        <v>0</v>
      </c>
      <c r="J11" s="679">
        <f>huishoudens!I8</f>
        <v>0</v>
      </c>
      <c r="K11" s="679">
        <f>huishoudens!J8</f>
        <v>237.26288586244362</v>
      </c>
      <c r="L11" s="679">
        <f>huishoudens!K8</f>
        <v>0</v>
      </c>
      <c r="M11" s="679">
        <f>huishoudens!L8</f>
        <v>0</v>
      </c>
      <c r="N11" s="679">
        <f>huishoudens!M8</f>
        <v>0</v>
      </c>
      <c r="O11" s="679">
        <f>huishoudens!N8</f>
        <v>21409.706468044627</v>
      </c>
      <c r="P11" s="679">
        <f>huishoudens!O8</f>
        <v>325.36914797947321</v>
      </c>
      <c r="Q11" s="680">
        <f>huishoudens!P8</f>
        <v>537.23192469193623</v>
      </c>
      <c r="R11" s="682">
        <f>SUM(C11:Q11)</f>
        <v>312549.91939856944</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60540.357283000005</v>
      </c>
      <c r="D13" s="679">
        <f>industrie!C18</f>
        <v>0</v>
      </c>
      <c r="E13" s="679">
        <f>industrie!D18</f>
        <v>30681.917815802</v>
      </c>
      <c r="F13" s="679">
        <f>industrie!E18</f>
        <v>9094.0699610464617</v>
      </c>
      <c r="G13" s="679">
        <f>industrie!F18</f>
        <v>28436.81125805488</v>
      </c>
      <c r="H13" s="679">
        <f>industrie!G18</f>
        <v>0</v>
      </c>
      <c r="I13" s="679">
        <f>industrie!H18</f>
        <v>0</v>
      </c>
      <c r="J13" s="679">
        <f>industrie!I18</f>
        <v>0</v>
      </c>
      <c r="K13" s="679">
        <f>industrie!J18</f>
        <v>270.73439047179625</v>
      </c>
      <c r="L13" s="679">
        <f>industrie!K18</f>
        <v>0</v>
      </c>
      <c r="M13" s="679">
        <f>industrie!L18</f>
        <v>0</v>
      </c>
      <c r="N13" s="679">
        <f>industrie!M18</f>
        <v>0</v>
      </c>
      <c r="O13" s="679">
        <f>industrie!N18</f>
        <v>3273.5543195688906</v>
      </c>
      <c r="P13" s="679">
        <f>industrie!O18</f>
        <v>0</v>
      </c>
      <c r="Q13" s="680">
        <f>industrie!P18</f>
        <v>0</v>
      </c>
      <c r="R13" s="682">
        <f>SUM(C13:Q13)</f>
        <v>132297.44502794402</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208110.54153889569</v>
      </c>
      <c r="D16" s="715">
        <f t="shared" ref="D16:R16" ca="1" si="0">SUM(D9:D15)</f>
        <v>5715</v>
      </c>
      <c r="E16" s="715">
        <f t="shared" ca="1" si="0"/>
        <v>289336.17838308803</v>
      </c>
      <c r="F16" s="715">
        <f t="shared" si="0"/>
        <v>14486.273262732813</v>
      </c>
      <c r="G16" s="715">
        <f t="shared" ca="1" si="0"/>
        <v>96218.797795626902</v>
      </c>
      <c r="H16" s="715">
        <f t="shared" si="0"/>
        <v>0</v>
      </c>
      <c r="I16" s="715">
        <f t="shared" si="0"/>
        <v>0</v>
      </c>
      <c r="J16" s="715">
        <f t="shared" si="0"/>
        <v>0</v>
      </c>
      <c r="K16" s="715">
        <f t="shared" si="0"/>
        <v>508.06073503681455</v>
      </c>
      <c r="L16" s="715">
        <f t="shared" si="0"/>
        <v>0</v>
      </c>
      <c r="M16" s="715">
        <f t="shared" ca="1" si="0"/>
        <v>0</v>
      </c>
      <c r="N16" s="715">
        <f t="shared" si="0"/>
        <v>0</v>
      </c>
      <c r="O16" s="715">
        <f t="shared" ca="1" si="0"/>
        <v>27205.51171698797</v>
      </c>
      <c r="P16" s="715">
        <f t="shared" si="0"/>
        <v>325.36914797947321</v>
      </c>
      <c r="Q16" s="715">
        <f t="shared" si="0"/>
        <v>694.84933961142133</v>
      </c>
      <c r="R16" s="715">
        <f t="shared" ca="1" si="0"/>
        <v>642600.58191995905</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50.487902168636865</v>
      </c>
      <c r="D19" s="679">
        <f>transport!C54</f>
        <v>0</v>
      </c>
      <c r="E19" s="679">
        <f>transport!D54</f>
        <v>0</v>
      </c>
      <c r="F19" s="679">
        <f>transport!E54</f>
        <v>0</v>
      </c>
      <c r="G19" s="679">
        <f>transport!F54</f>
        <v>0</v>
      </c>
      <c r="H19" s="679">
        <f>transport!G54</f>
        <v>3657.9245533237713</v>
      </c>
      <c r="I19" s="679">
        <f>transport!H54</f>
        <v>0</v>
      </c>
      <c r="J19" s="679">
        <f>transport!I54</f>
        <v>0</v>
      </c>
      <c r="K19" s="679">
        <f>transport!J54</f>
        <v>0</v>
      </c>
      <c r="L19" s="679">
        <f>transport!K54</f>
        <v>0</v>
      </c>
      <c r="M19" s="679">
        <f>transport!L54</f>
        <v>0</v>
      </c>
      <c r="N19" s="679">
        <f>transport!M54</f>
        <v>206.90310603914321</v>
      </c>
      <c r="O19" s="679">
        <f>transport!N54</f>
        <v>0</v>
      </c>
      <c r="P19" s="679">
        <f>transport!O54</f>
        <v>0</v>
      </c>
      <c r="Q19" s="680">
        <f>transport!P54</f>
        <v>0</v>
      </c>
      <c r="R19" s="682">
        <f>SUM(C19:Q19)</f>
        <v>3915.3155615315513</v>
      </c>
      <c r="S19" s="67"/>
    </row>
    <row r="20" spans="1:19" s="442" customFormat="1">
      <c r="A20" s="800" t="s">
        <v>295</v>
      </c>
      <c r="B20" s="805"/>
      <c r="C20" s="679">
        <f>transport!B14</f>
        <v>702.57700275805689</v>
      </c>
      <c r="D20" s="679">
        <f>transport!C14</f>
        <v>0</v>
      </c>
      <c r="E20" s="679">
        <f>transport!D14</f>
        <v>1194.281210564674</v>
      </c>
      <c r="F20" s="679">
        <f>transport!E14</f>
        <v>1096.347571074549</v>
      </c>
      <c r="G20" s="679">
        <f>transport!F14</f>
        <v>0</v>
      </c>
      <c r="H20" s="679">
        <f>transport!G14</f>
        <v>459374.05087985931</v>
      </c>
      <c r="I20" s="679">
        <f>transport!H14</f>
        <v>107370.17461127951</v>
      </c>
      <c r="J20" s="679">
        <f>transport!I14</f>
        <v>0</v>
      </c>
      <c r="K20" s="679">
        <f>transport!J14</f>
        <v>0</v>
      </c>
      <c r="L20" s="679">
        <f>transport!K14</f>
        <v>0</v>
      </c>
      <c r="M20" s="679">
        <f>transport!L14</f>
        <v>0</v>
      </c>
      <c r="N20" s="679">
        <f>transport!M14</f>
        <v>33588.157891525174</v>
      </c>
      <c r="O20" s="679">
        <f>transport!N14</f>
        <v>0</v>
      </c>
      <c r="P20" s="679">
        <f>transport!O14</f>
        <v>0</v>
      </c>
      <c r="Q20" s="680">
        <f>transport!P14</f>
        <v>0</v>
      </c>
      <c r="R20" s="682">
        <f>SUM(C20:Q20)</f>
        <v>603325.58916706126</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753.06490492669377</v>
      </c>
      <c r="D22" s="803">
        <f t="shared" ref="D22:R22" si="1">SUM(D18:D21)</f>
        <v>0</v>
      </c>
      <c r="E22" s="803">
        <f t="shared" si="1"/>
        <v>1194.281210564674</v>
      </c>
      <c r="F22" s="803">
        <f t="shared" si="1"/>
        <v>1096.347571074549</v>
      </c>
      <c r="G22" s="803">
        <f t="shared" si="1"/>
        <v>0</v>
      </c>
      <c r="H22" s="803">
        <f t="shared" si="1"/>
        <v>463031.97543318308</v>
      </c>
      <c r="I22" s="803">
        <f t="shared" si="1"/>
        <v>107370.17461127951</v>
      </c>
      <c r="J22" s="803">
        <f t="shared" si="1"/>
        <v>0</v>
      </c>
      <c r="K22" s="803">
        <f t="shared" si="1"/>
        <v>0</v>
      </c>
      <c r="L22" s="803">
        <f t="shared" si="1"/>
        <v>0</v>
      </c>
      <c r="M22" s="803">
        <f t="shared" si="1"/>
        <v>0</v>
      </c>
      <c r="N22" s="803">
        <f t="shared" si="1"/>
        <v>33795.060997564316</v>
      </c>
      <c r="O22" s="803">
        <f t="shared" si="1"/>
        <v>0</v>
      </c>
      <c r="P22" s="803">
        <f t="shared" si="1"/>
        <v>0</v>
      </c>
      <c r="Q22" s="803">
        <f t="shared" si="1"/>
        <v>0</v>
      </c>
      <c r="R22" s="803">
        <f t="shared" si="1"/>
        <v>607240.90472859284</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814.47664499999996</v>
      </c>
      <c r="D24" s="679">
        <f>+landbouw!C8</f>
        <v>7270.7142857142862</v>
      </c>
      <c r="E24" s="679">
        <f>+landbouw!D8</f>
        <v>6879.4055181719996</v>
      </c>
      <c r="F24" s="679">
        <f>+landbouw!E8</f>
        <v>25.419547509186778</v>
      </c>
      <c r="G24" s="679">
        <f>+landbouw!F8</f>
        <v>2878.4506887188159</v>
      </c>
      <c r="H24" s="679">
        <f>+landbouw!G8</f>
        <v>0</v>
      </c>
      <c r="I24" s="679">
        <f>+landbouw!H8</f>
        <v>0</v>
      </c>
      <c r="J24" s="679">
        <f>+landbouw!I8</f>
        <v>0</v>
      </c>
      <c r="K24" s="679">
        <f>+landbouw!J8</f>
        <v>224.3939640435313</v>
      </c>
      <c r="L24" s="679">
        <f>+landbouw!K8</f>
        <v>0</v>
      </c>
      <c r="M24" s="679">
        <f>+landbouw!L8</f>
        <v>0</v>
      </c>
      <c r="N24" s="679">
        <f>+landbouw!M8</f>
        <v>0</v>
      </c>
      <c r="O24" s="679">
        <f>+landbouw!N8</f>
        <v>0</v>
      </c>
      <c r="P24" s="679">
        <f>+landbouw!O8</f>
        <v>0</v>
      </c>
      <c r="Q24" s="680">
        <f>+landbouw!P8</f>
        <v>0</v>
      </c>
      <c r="R24" s="682">
        <f>SUM(C24:Q24)</f>
        <v>18092.860649157818</v>
      </c>
      <c r="S24" s="67"/>
    </row>
    <row r="25" spans="1:19" s="442" customFormat="1" ht="15" thickBot="1">
      <c r="A25" s="822" t="s">
        <v>708</v>
      </c>
      <c r="B25" s="941"/>
      <c r="C25" s="942">
        <f>IF(Onbekend_ele_kWh="---",0,Onbekend_ele_kWh)/1000+IF(REST_rest_ele_kWh="---",0,REST_rest_ele_kWh)/1000</f>
        <v>1954.8685090000001</v>
      </c>
      <c r="D25" s="942"/>
      <c r="E25" s="942">
        <f>IF(onbekend_gas_kWh="---",0,onbekend_gas_kWh)/1000+IF(REST_rest_gas_kWh="---",0,REST_rest_gas_kWh)/1000</f>
        <v>6913.500677</v>
      </c>
      <c r="F25" s="942"/>
      <c r="G25" s="942"/>
      <c r="H25" s="942"/>
      <c r="I25" s="942"/>
      <c r="J25" s="942"/>
      <c r="K25" s="942"/>
      <c r="L25" s="942"/>
      <c r="M25" s="942"/>
      <c r="N25" s="942"/>
      <c r="O25" s="942"/>
      <c r="P25" s="942"/>
      <c r="Q25" s="943"/>
      <c r="R25" s="682">
        <f>SUM(C25:Q25)</f>
        <v>8868.3691859999999</v>
      </c>
      <c r="S25" s="67"/>
    </row>
    <row r="26" spans="1:19" s="442" customFormat="1" ht="15.75" thickBot="1">
      <c r="A26" s="687" t="s">
        <v>709</v>
      </c>
      <c r="B26" s="808"/>
      <c r="C26" s="803">
        <f>SUM(C24:C25)</f>
        <v>2769.3451540000001</v>
      </c>
      <c r="D26" s="803">
        <f t="shared" ref="D26:R26" si="2">SUM(D24:D25)</f>
        <v>7270.7142857142862</v>
      </c>
      <c r="E26" s="803">
        <f t="shared" si="2"/>
        <v>13792.906195172</v>
      </c>
      <c r="F26" s="803">
        <f t="shared" si="2"/>
        <v>25.419547509186778</v>
      </c>
      <c r="G26" s="803">
        <f t="shared" si="2"/>
        <v>2878.4506887188159</v>
      </c>
      <c r="H26" s="803">
        <f t="shared" si="2"/>
        <v>0</v>
      </c>
      <c r="I26" s="803">
        <f t="shared" si="2"/>
        <v>0</v>
      </c>
      <c r="J26" s="803">
        <f t="shared" si="2"/>
        <v>0</v>
      </c>
      <c r="K26" s="803">
        <f t="shared" si="2"/>
        <v>224.3939640435313</v>
      </c>
      <c r="L26" s="803">
        <f t="shared" si="2"/>
        <v>0</v>
      </c>
      <c r="M26" s="803">
        <f t="shared" si="2"/>
        <v>0</v>
      </c>
      <c r="N26" s="803">
        <f t="shared" si="2"/>
        <v>0</v>
      </c>
      <c r="O26" s="803">
        <f t="shared" si="2"/>
        <v>0</v>
      </c>
      <c r="P26" s="803">
        <f t="shared" si="2"/>
        <v>0</v>
      </c>
      <c r="Q26" s="803">
        <f t="shared" si="2"/>
        <v>0</v>
      </c>
      <c r="R26" s="803">
        <f t="shared" si="2"/>
        <v>26961.229835157817</v>
      </c>
      <c r="S26" s="67"/>
    </row>
    <row r="27" spans="1:19" s="442" customFormat="1" ht="17.25" thickTop="1" thickBot="1">
      <c r="A27" s="688" t="s">
        <v>109</v>
      </c>
      <c r="B27" s="795"/>
      <c r="C27" s="689">
        <f ca="1">C22+C16+C26</f>
        <v>211632.95159782239</v>
      </c>
      <c r="D27" s="689">
        <f t="shared" ref="D27:R27" ca="1" si="3">D22+D16+D26</f>
        <v>12985.714285714286</v>
      </c>
      <c r="E27" s="689">
        <f t="shared" ca="1" si="3"/>
        <v>304323.36578882468</v>
      </c>
      <c r="F27" s="689">
        <f t="shared" si="3"/>
        <v>15608.04038131655</v>
      </c>
      <c r="G27" s="689">
        <f t="shared" ca="1" si="3"/>
        <v>99097.24848434572</v>
      </c>
      <c r="H27" s="689">
        <f t="shared" si="3"/>
        <v>463031.97543318308</v>
      </c>
      <c r="I27" s="689">
        <f t="shared" si="3"/>
        <v>107370.17461127951</v>
      </c>
      <c r="J27" s="689">
        <f t="shared" si="3"/>
        <v>0</v>
      </c>
      <c r="K27" s="689">
        <f t="shared" si="3"/>
        <v>732.45469908034579</v>
      </c>
      <c r="L27" s="689">
        <f t="shared" si="3"/>
        <v>0</v>
      </c>
      <c r="M27" s="689">
        <f t="shared" ca="1" si="3"/>
        <v>0</v>
      </c>
      <c r="N27" s="689">
        <f t="shared" si="3"/>
        <v>33795.060997564316</v>
      </c>
      <c r="O27" s="689">
        <f t="shared" ca="1" si="3"/>
        <v>27205.51171698797</v>
      </c>
      <c r="P27" s="689">
        <f t="shared" si="3"/>
        <v>325.36914797947321</v>
      </c>
      <c r="Q27" s="689">
        <f t="shared" si="3"/>
        <v>694.84933961142133</v>
      </c>
      <c r="R27" s="689">
        <f t="shared" ca="1" si="3"/>
        <v>1276802.7164837096</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15619.224647490224</v>
      </c>
      <c r="D40" s="679">
        <f ca="1">tertiair!C20</f>
        <v>597.72176470588238</v>
      </c>
      <c r="E40" s="679">
        <f ca="1">tertiair!D20</f>
        <v>18644.503248400571</v>
      </c>
      <c r="F40" s="679">
        <f>tertiair!E20</f>
        <v>387.76743988194892</v>
      </c>
      <c r="G40" s="679">
        <f ca="1">tertiair!F20</f>
        <v>2240.4963769604124</v>
      </c>
      <c r="H40" s="679">
        <f>tertiair!G20</f>
        <v>0</v>
      </c>
      <c r="I40" s="679">
        <f>tertiair!H20</f>
        <v>0</v>
      </c>
      <c r="J40" s="679">
        <f>tertiair!I20</f>
        <v>0</v>
      </c>
      <c r="K40" s="679">
        <f>tertiair!J20</f>
        <v>2.2464380711434719E-2</v>
      </c>
      <c r="L40" s="679">
        <f>tertiair!K20</f>
        <v>0</v>
      </c>
      <c r="M40" s="679">
        <f ca="1">tertiair!L20</f>
        <v>0</v>
      </c>
      <c r="N40" s="679">
        <f>tertiair!M20</f>
        <v>0</v>
      </c>
      <c r="O40" s="679">
        <f ca="1">tertiair!N20</f>
        <v>0</v>
      </c>
      <c r="P40" s="679">
        <f>tertiair!O20</f>
        <v>0</v>
      </c>
      <c r="Q40" s="762">
        <f>tertiair!P20</f>
        <v>0</v>
      </c>
      <c r="R40" s="841">
        <f t="shared" ca="1" si="4"/>
        <v>37489.735941819752</v>
      </c>
    </row>
    <row r="41" spans="1:18">
      <c r="A41" s="813" t="s">
        <v>213</v>
      </c>
      <c r="B41" s="820"/>
      <c r="C41" s="679">
        <f ca="1">huishoudens!B12</f>
        <v>10886.685759478585</v>
      </c>
      <c r="D41" s="679">
        <f ca="1">huishoudens!C12</f>
        <v>0</v>
      </c>
      <c r="E41" s="679">
        <f>huishoudens!D12</f>
        <v>33603.657386191211</v>
      </c>
      <c r="F41" s="679">
        <f>huishoudens!E12</f>
        <v>836.26270960085299</v>
      </c>
      <c r="G41" s="679">
        <f>huishoudens!F12</f>
        <v>15857.294028571319</v>
      </c>
      <c r="H41" s="679">
        <f>huishoudens!G12</f>
        <v>0</v>
      </c>
      <c r="I41" s="679">
        <f>huishoudens!H12</f>
        <v>0</v>
      </c>
      <c r="J41" s="679">
        <f>huishoudens!I12</f>
        <v>0</v>
      </c>
      <c r="K41" s="679">
        <f>huishoudens!J12</f>
        <v>83.991061595305041</v>
      </c>
      <c r="L41" s="679">
        <f>huishoudens!K12</f>
        <v>0</v>
      </c>
      <c r="M41" s="679">
        <f>huishoudens!L12</f>
        <v>0</v>
      </c>
      <c r="N41" s="679">
        <f>huishoudens!M12</f>
        <v>0</v>
      </c>
      <c r="O41" s="679">
        <f>huishoudens!N12</f>
        <v>0</v>
      </c>
      <c r="P41" s="679">
        <f>huishoudens!O12</f>
        <v>0</v>
      </c>
      <c r="Q41" s="762">
        <f>huishoudens!P12</f>
        <v>0</v>
      </c>
      <c r="R41" s="841">
        <f t="shared" ca="1" si="4"/>
        <v>61267.89094543727</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10873.993918490145</v>
      </c>
      <c r="D43" s="679">
        <f ca="1">industrie!C22</f>
        <v>0</v>
      </c>
      <c r="E43" s="679">
        <f>industrie!D22</f>
        <v>6197.7473987920048</v>
      </c>
      <c r="F43" s="679">
        <f>industrie!E22</f>
        <v>2064.3538811575468</v>
      </c>
      <c r="G43" s="679">
        <f>industrie!F22</f>
        <v>7592.6286059006534</v>
      </c>
      <c r="H43" s="679">
        <f>industrie!G22</f>
        <v>0</v>
      </c>
      <c r="I43" s="679">
        <f>industrie!H22</f>
        <v>0</v>
      </c>
      <c r="J43" s="679">
        <f>industrie!I22</f>
        <v>0</v>
      </c>
      <c r="K43" s="679">
        <f>industrie!J22</f>
        <v>95.839974227015873</v>
      </c>
      <c r="L43" s="679">
        <f>industrie!K22</f>
        <v>0</v>
      </c>
      <c r="M43" s="679">
        <f>industrie!L22</f>
        <v>0</v>
      </c>
      <c r="N43" s="679">
        <f>industrie!M22</f>
        <v>0</v>
      </c>
      <c r="O43" s="679">
        <f>industrie!N22</f>
        <v>0</v>
      </c>
      <c r="P43" s="679">
        <f>industrie!O22</f>
        <v>0</v>
      </c>
      <c r="Q43" s="762">
        <f>industrie!P22</f>
        <v>0</v>
      </c>
      <c r="R43" s="840">
        <f t="shared" ca="1" si="4"/>
        <v>26824.563778567364</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37379.904325458956</v>
      </c>
      <c r="D46" s="715">
        <f t="shared" ref="D46:Q46" ca="1" si="5">SUM(D39:D45)</f>
        <v>597.72176470588238</v>
      </c>
      <c r="E46" s="715">
        <f t="shared" ca="1" si="5"/>
        <v>58445.908033383785</v>
      </c>
      <c r="F46" s="715">
        <f t="shared" si="5"/>
        <v>3288.3840306403486</v>
      </c>
      <c r="G46" s="715">
        <f t="shared" ca="1" si="5"/>
        <v>25690.419011432383</v>
      </c>
      <c r="H46" s="715">
        <f t="shared" si="5"/>
        <v>0</v>
      </c>
      <c r="I46" s="715">
        <f t="shared" si="5"/>
        <v>0</v>
      </c>
      <c r="J46" s="715">
        <f t="shared" si="5"/>
        <v>0</v>
      </c>
      <c r="K46" s="715">
        <f t="shared" si="5"/>
        <v>179.85350020303235</v>
      </c>
      <c r="L46" s="715">
        <f t="shared" si="5"/>
        <v>0</v>
      </c>
      <c r="M46" s="715">
        <f t="shared" ca="1" si="5"/>
        <v>0</v>
      </c>
      <c r="N46" s="715">
        <f t="shared" si="5"/>
        <v>0</v>
      </c>
      <c r="O46" s="715">
        <f t="shared" ca="1" si="5"/>
        <v>0</v>
      </c>
      <c r="P46" s="715">
        <f t="shared" si="5"/>
        <v>0</v>
      </c>
      <c r="Q46" s="715">
        <f t="shared" si="5"/>
        <v>0</v>
      </c>
      <c r="R46" s="715">
        <f ca="1">SUM(R39:R45)</f>
        <v>125582.19066582438</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9.06841594232292</v>
      </c>
      <c r="D49" s="679">
        <f ca="1">transport!C58</f>
        <v>0</v>
      </c>
      <c r="E49" s="679">
        <f>transport!D58</f>
        <v>0</v>
      </c>
      <c r="F49" s="679">
        <f>transport!E58</f>
        <v>0</v>
      </c>
      <c r="G49" s="679">
        <f>transport!F58</f>
        <v>0</v>
      </c>
      <c r="H49" s="679">
        <f>transport!G58</f>
        <v>976.66585573744703</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985.7342716797699</v>
      </c>
    </row>
    <row r="50" spans="1:18">
      <c r="A50" s="816" t="s">
        <v>295</v>
      </c>
      <c r="B50" s="826"/>
      <c r="C50" s="685">
        <f ca="1">transport!B18</f>
        <v>126.19380522564968</v>
      </c>
      <c r="D50" s="685">
        <f>transport!C18</f>
        <v>0</v>
      </c>
      <c r="E50" s="685">
        <f>transport!D18</f>
        <v>241.24480453406417</v>
      </c>
      <c r="F50" s="685">
        <f>transport!E18</f>
        <v>248.87089863392265</v>
      </c>
      <c r="G50" s="685">
        <f>transport!F18</f>
        <v>0</v>
      </c>
      <c r="H50" s="685">
        <f>transport!G18</f>
        <v>122652.87158492244</v>
      </c>
      <c r="I50" s="685">
        <f>transport!H18</f>
        <v>26735.173478208599</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150004.35457152466</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135.2622211679726</v>
      </c>
      <c r="D52" s="715">
        <f t="shared" ref="D52:Q52" ca="1" si="6">SUM(D48:D51)</f>
        <v>0</v>
      </c>
      <c r="E52" s="715">
        <f t="shared" si="6"/>
        <v>241.24480453406417</v>
      </c>
      <c r="F52" s="715">
        <f t="shared" si="6"/>
        <v>248.87089863392265</v>
      </c>
      <c r="G52" s="715">
        <f t="shared" si="6"/>
        <v>0</v>
      </c>
      <c r="H52" s="715">
        <f t="shared" si="6"/>
        <v>123629.53744065989</v>
      </c>
      <c r="I52" s="715">
        <f t="shared" si="6"/>
        <v>26735.173478208599</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150990.08884320443</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146.29272904818538</v>
      </c>
      <c r="D54" s="685">
        <f ca="1">+landbouw!C12</f>
        <v>760.4311764705883</v>
      </c>
      <c r="E54" s="685">
        <f>+landbouw!D12</f>
        <v>1389.639914670744</v>
      </c>
      <c r="F54" s="685">
        <f>+landbouw!E12</f>
        <v>5.7702372845853986</v>
      </c>
      <c r="G54" s="685">
        <f>+landbouw!F12</f>
        <v>768.54633388792388</v>
      </c>
      <c r="H54" s="685">
        <f>+landbouw!G12</f>
        <v>0</v>
      </c>
      <c r="I54" s="685">
        <f>+landbouw!H12</f>
        <v>0</v>
      </c>
      <c r="J54" s="685">
        <f>+landbouw!I12</f>
        <v>0</v>
      </c>
      <c r="K54" s="685">
        <f>+landbouw!J12</f>
        <v>79.435463271410072</v>
      </c>
      <c r="L54" s="685">
        <f>+landbouw!K12</f>
        <v>0</v>
      </c>
      <c r="M54" s="685">
        <f>+landbouw!L12</f>
        <v>0</v>
      </c>
      <c r="N54" s="685">
        <f>+landbouw!M12</f>
        <v>0</v>
      </c>
      <c r="O54" s="685">
        <f>+landbouw!N12</f>
        <v>0</v>
      </c>
      <c r="P54" s="685">
        <f>+landbouw!O12</f>
        <v>0</v>
      </c>
      <c r="Q54" s="686">
        <f>+landbouw!P12</f>
        <v>0</v>
      </c>
      <c r="R54" s="714">
        <f ca="1">SUM(C54:Q54)</f>
        <v>3150.1158546334373</v>
      </c>
    </row>
    <row r="55" spans="1:18" ht="15" thickBot="1">
      <c r="A55" s="816" t="s">
        <v>708</v>
      </c>
      <c r="B55" s="826"/>
      <c r="C55" s="685">
        <f ca="1">C25*'EF ele_warmte'!B12</f>
        <v>351.12492281711428</v>
      </c>
      <c r="D55" s="685"/>
      <c r="E55" s="685">
        <f>E25*EF_CO2_aardgas</f>
        <v>1396.5271367540001</v>
      </c>
      <c r="F55" s="685"/>
      <c r="G55" s="685"/>
      <c r="H55" s="685"/>
      <c r="I55" s="685"/>
      <c r="J55" s="685"/>
      <c r="K55" s="685"/>
      <c r="L55" s="685"/>
      <c r="M55" s="685"/>
      <c r="N55" s="685"/>
      <c r="O55" s="685"/>
      <c r="P55" s="685"/>
      <c r="Q55" s="686"/>
      <c r="R55" s="714">
        <f ca="1">SUM(C55:Q55)</f>
        <v>1747.6520595711145</v>
      </c>
    </row>
    <row r="56" spans="1:18" ht="15.75" thickBot="1">
      <c r="A56" s="814" t="s">
        <v>709</v>
      </c>
      <c r="B56" s="827"/>
      <c r="C56" s="715">
        <f ca="1">SUM(C54:C55)</f>
        <v>497.41765186529966</v>
      </c>
      <c r="D56" s="715">
        <f t="shared" ref="D56:Q56" ca="1" si="7">SUM(D54:D55)</f>
        <v>760.4311764705883</v>
      </c>
      <c r="E56" s="715">
        <f t="shared" si="7"/>
        <v>2786.1670514247444</v>
      </c>
      <c r="F56" s="715">
        <f t="shared" si="7"/>
        <v>5.7702372845853986</v>
      </c>
      <c r="G56" s="715">
        <f t="shared" si="7"/>
        <v>768.54633388792388</v>
      </c>
      <c r="H56" s="715">
        <f t="shared" si="7"/>
        <v>0</v>
      </c>
      <c r="I56" s="715">
        <f t="shared" si="7"/>
        <v>0</v>
      </c>
      <c r="J56" s="715">
        <f t="shared" si="7"/>
        <v>0</v>
      </c>
      <c r="K56" s="715">
        <f t="shared" si="7"/>
        <v>79.435463271410072</v>
      </c>
      <c r="L56" s="715">
        <f t="shared" si="7"/>
        <v>0</v>
      </c>
      <c r="M56" s="715">
        <f t="shared" si="7"/>
        <v>0</v>
      </c>
      <c r="N56" s="715">
        <f t="shared" si="7"/>
        <v>0</v>
      </c>
      <c r="O56" s="715">
        <f t="shared" si="7"/>
        <v>0</v>
      </c>
      <c r="P56" s="715">
        <f t="shared" si="7"/>
        <v>0</v>
      </c>
      <c r="Q56" s="716">
        <f t="shared" si="7"/>
        <v>0</v>
      </c>
      <c r="R56" s="717">
        <f ca="1">SUM(R54:R55)</f>
        <v>4897.7679142045517</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38012.584198492223</v>
      </c>
      <c r="D61" s="723">
        <f t="shared" ref="D61:Q61" ca="1" si="8">D46+D52+D56</f>
        <v>1358.1529411764707</v>
      </c>
      <c r="E61" s="723">
        <f t="shared" ca="1" si="8"/>
        <v>61473.319889342594</v>
      </c>
      <c r="F61" s="723">
        <f t="shared" si="8"/>
        <v>3543.0251665588567</v>
      </c>
      <c r="G61" s="723">
        <f t="shared" ca="1" si="8"/>
        <v>26458.965345320306</v>
      </c>
      <c r="H61" s="723">
        <f t="shared" si="8"/>
        <v>123629.53744065989</v>
      </c>
      <c r="I61" s="723">
        <f t="shared" si="8"/>
        <v>26735.173478208599</v>
      </c>
      <c r="J61" s="723">
        <f t="shared" si="8"/>
        <v>0</v>
      </c>
      <c r="K61" s="723">
        <f t="shared" si="8"/>
        <v>259.28896347444243</v>
      </c>
      <c r="L61" s="723">
        <f t="shared" si="8"/>
        <v>0</v>
      </c>
      <c r="M61" s="723">
        <f t="shared" ca="1" si="8"/>
        <v>0</v>
      </c>
      <c r="N61" s="723">
        <f t="shared" si="8"/>
        <v>0</v>
      </c>
      <c r="O61" s="723">
        <f t="shared" ca="1" si="8"/>
        <v>0</v>
      </c>
      <c r="P61" s="723">
        <f t="shared" si="8"/>
        <v>0</v>
      </c>
      <c r="Q61" s="723">
        <f t="shared" si="8"/>
        <v>0</v>
      </c>
      <c r="R61" s="723">
        <f ca="1">R46+R52+R56</f>
        <v>281470.04742323339</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0.17961562181833388</v>
      </c>
      <c r="D63" s="769">
        <f t="shared" ca="1" si="9"/>
        <v>0.10458823529411765</v>
      </c>
      <c r="E63" s="967">
        <f t="shared" ca="1" si="9"/>
        <v>0.20200000000000004</v>
      </c>
      <c r="F63" s="769">
        <f t="shared" si="9"/>
        <v>0.22699999999999998</v>
      </c>
      <c r="G63" s="769">
        <f t="shared" ca="1" si="9"/>
        <v>0.26700000000000002</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28602.810955918536</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6239.3391049414058</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5089.5000000000009</v>
      </c>
      <c r="C76" s="736">
        <f>'lokale energieproductie'!B8*IFERROR(SUM(D76:H76)/SUM(D76:O76),0)</f>
        <v>4000.4999999999995</v>
      </c>
      <c r="D76" s="950">
        <f>'lokale energieproductie'!C8</f>
        <v>4706.4705882352937</v>
      </c>
      <c r="E76" s="951">
        <f>'lokale energieproductie'!D8</f>
        <v>0</v>
      </c>
      <c r="F76" s="951">
        <f>'lokale energieproductie'!E8</f>
        <v>0</v>
      </c>
      <c r="G76" s="951">
        <f>'lokale energieproductie'!F8</f>
        <v>0</v>
      </c>
      <c r="H76" s="951">
        <f>'lokale energieproductie'!G8</f>
        <v>0</v>
      </c>
      <c r="I76" s="951">
        <f>'lokale energieproductie'!I8</f>
        <v>0</v>
      </c>
      <c r="J76" s="951">
        <f>'lokale energieproductie'!J8</f>
        <v>5987.6470588235297</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950.70705882352934</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39931.650060859945</v>
      </c>
      <c r="C78" s="741">
        <f>SUM(C72:C77)</f>
        <v>4000.4999999999995</v>
      </c>
      <c r="D78" s="742">
        <f t="shared" ref="D78:H78" si="10">SUM(D76:D77)</f>
        <v>4706.4705882352937</v>
      </c>
      <c r="E78" s="742">
        <f t="shared" si="10"/>
        <v>0</v>
      </c>
      <c r="F78" s="742">
        <f t="shared" si="10"/>
        <v>0</v>
      </c>
      <c r="G78" s="742">
        <f t="shared" si="10"/>
        <v>0</v>
      </c>
      <c r="H78" s="742">
        <f t="shared" si="10"/>
        <v>0</v>
      </c>
      <c r="I78" s="742">
        <f>SUM(I76:I77)</f>
        <v>0</v>
      </c>
      <c r="J78" s="742">
        <f>SUM(J76:J77)</f>
        <v>5987.6470588235297</v>
      </c>
      <c r="K78" s="742">
        <f t="shared" ref="K78:L78" si="11">SUM(K76:K77)</f>
        <v>0</v>
      </c>
      <c r="L78" s="742">
        <f t="shared" si="11"/>
        <v>0</v>
      </c>
      <c r="M78" s="742">
        <f>SUM(M76:M77)</f>
        <v>0</v>
      </c>
      <c r="N78" s="742">
        <f>SUM(N76:N77)</f>
        <v>0</v>
      </c>
      <c r="O78" s="851">
        <f>SUM(O76:O77)</f>
        <v>0</v>
      </c>
      <c r="P78" s="743">
        <v>0</v>
      </c>
      <c r="Q78" s="743">
        <f>SUM(Q76:Q77)</f>
        <v>950.70705882352934</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7270.7142857142871</v>
      </c>
      <c r="C87" s="754">
        <f>'lokale energieproductie'!B17*IFERROR(SUM(D87:H87)/SUM(D87:O87),0)</f>
        <v>5715</v>
      </c>
      <c r="D87" s="765">
        <f>'lokale energieproductie'!C17</f>
        <v>6723.5294117647063</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8553.7815126050427</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1358.1529411764707</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7270.7142857142871</v>
      </c>
      <c r="C90" s="741">
        <f>SUM(C87:C89)</f>
        <v>5715</v>
      </c>
      <c r="D90" s="741">
        <f t="shared" ref="D90:H90" si="12">SUM(D87:D89)</f>
        <v>6723.5294117647063</v>
      </c>
      <c r="E90" s="741">
        <f t="shared" si="12"/>
        <v>0</v>
      </c>
      <c r="F90" s="741">
        <f t="shared" si="12"/>
        <v>0</v>
      </c>
      <c r="G90" s="741">
        <f t="shared" si="12"/>
        <v>0</v>
      </c>
      <c r="H90" s="741">
        <f t="shared" si="12"/>
        <v>0</v>
      </c>
      <c r="I90" s="741">
        <f>SUM(I87:I89)</f>
        <v>0</v>
      </c>
      <c r="J90" s="741">
        <f>SUM(J87:J89)</f>
        <v>8553.7815126050427</v>
      </c>
      <c r="K90" s="741">
        <f t="shared" ref="K90:L90" si="13">SUM(K87:K89)</f>
        <v>0</v>
      </c>
      <c r="L90" s="741">
        <f t="shared" si="13"/>
        <v>0</v>
      </c>
      <c r="M90" s="741">
        <f>SUM(M87:M89)</f>
        <v>0</v>
      </c>
      <c r="N90" s="741">
        <f>SUM(N87:N89)</f>
        <v>0</v>
      </c>
      <c r="O90" s="741">
        <f>SUM(O87:O89)</f>
        <v>0</v>
      </c>
      <c r="P90" s="741">
        <v>0</v>
      </c>
      <c r="Q90" s="741">
        <f>SUM(Q87:Q89)</f>
        <v>1358.1529411764707</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60611.018402895665</v>
      </c>
      <c r="C4" s="446">
        <f>huishoudens!C8</f>
        <v>0</v>
      </c>
      <c r="D4" s="446">
        <f>huishoudens!D8</f>
        <v>166354.73953560003</v>
      </c>
      <c r="E4" s="446">
        <f>huishoudens!E8</f>
        <v>3683.9766942768852</v>
      </c>
      <c r="F4" s="446">
        <f>huishoudens!F8</f>
        <v>59390.614339218424</v>
      </c>
      <c r="G4" s="446">
        <f>huishoudens!G8</f>
        <v>0</v>
      </c>
      <c r="H4" s="446">
        <f>huishoudens!H8</f>
        <v>0</v>
      </c>
      <c r="I4" s="446">
        <f>huishoudens!I8</f>
        <v>0</v>
      </c>
      <c r="J4" s="446">
        <f>huishoudens!J8</f>
        <v>237.26288586244362</v>
      </c>
      <c r="K4" s="446">
        <f>huishoudens!K8</f>
        <v>0</v>
      </c>
      <c r="L4" s="446">
        <f>huishoudens!L8</f>
        <v>0</v>
      </c>
      <c r="M4" s="446">
        <f>huishoudens!M8</f>
        <v>0</v>
      </c>
      <c r="N4" s="446">
        <f>huishoudens!N8</f>
        <v>21409.706468044627</v>
      </c>
      <c r="O4" s="446">
        <f>huishoudens!O8</f>
        <v>325.36914797947321</v>
      </c>
      <c r="P4" s="447">
        <f>huishoudens!P8</f>
        <v>537.23192469193623</v>
      </c>
      <c r="Q4" s="448">
        <f>SUM(B4:P4)</f>
        <v>312549.91939856944</v>
      </c>
    </row>
    <row r="5" spans="1:17">
      <c r="A5" s="445" t="s">
        <v>149</v>
      </c>
      <c r="B5" s="446">
        <f ca="1">tertiair!B16</f>
        <v>84489.383853000007</v>
      </c>
      <c r="C5" s="446">
        <f ca="1">tertiair!C16</f>
        <v>5715</v>
      </c>
      <c r="D5" s="446">
        <f ca="1">tertiair!D16</f>
        <v>92299.521031685988</v>
      </c>
      <c r="E5" s="446">
        <f>tertiair!E16</f>
        <v>1708.2266074094666</v>
      </c>
      <c r="F5" s="446">
        <f ca="1">tertiair!F16</f>
        <v>8391.3721983536034</v>
      </c>
      <c r="G5" s="446">
        <f>tertiair!G16</f>
        <v>0</v>
      </c>
      <c r="H5" s="446">
        <f>tertiair!H16</f>
        <v>0</v>
      </c>
      <c r="I5" s="446">
        <f>tertiair!I16</f>
        <v>0</v>
      </c>
      <c r="J5" s="446">
        <f>tertiair!J16</f>
        <v>6.3458702574674355E-2</v>
      </c>
      <c r="K5" s="446">
        <f>tertiair!K16</f>
        <v>0</v>
      </c>
      <c r="L5" s="446">
        <f ca="1">tertiair!L16</f>
        <v>0</v>
      </c>
      <c r="M5" s="446">
        <f>tertiair!M16</f>
        <v>0</v>
      </c>
      <c r="N5" s="446">
        <f ca="1">tertiair!N16</f>
        <v>2522.2509293744511</v>
      </c>
      <c r="O5" s="446">
        <f>tertiair!O16</f>
        <v>0</v>
      </c>
      <c r="P5" s="447">
        <f>tertiair!P16</f>
        <v>157.61741491948504</v>
      </c>
      <c r="Q5" s="445">
        <f t="shared" ref="Q5:Q14" ca="1" si="0">SUM(B5:P5)</f>
        <v>195283.43549344561</v>
      </c>
    </row>
    <row r="6" spans="1:17">
      <c r="A6" s="445" t="s">
        <v>187</v>
      </c>
      <c r="B6" s="446">
        <f>'openbare verlichting'!B8</f>
        <v>2469.7820000000002</v>
      </c>
      <c r="C6" s="446"/>
      <c r="D6" s="446"/>
      <c r="E6" s="446"/>
      <c r="F6" s="446"/>
      <c r="G6" s="446"/>
      <c r="H6" s="446"/>
      <c r="I6" s="446"/>
      <c r="J6" s="446"/>
      <c r="K6" s="446"/>
      <c r="L6" s="446"/>
      <c r="M6" s="446"/>
      <c r="N6" s="446"/>
      <c r="O6" s="446"/>
      <c r="P6" s="447"/>
      <c r="Q6" s="445">
        <f t="shared" si="0"/>
        <v>2469.7820000000002</v>
      </c>
    </row>
    <row r="7" spans="1:17">
      <c r="A7" s="445" t="s">
        <v>105</v>
      </c>
      <c r="B7" s="446">
        <f>landbouw!B8</f>
        <v>814.47664499999996</v>
      </c>
      <c r="C7" s="446">
        <f>landbouw!C8</f>
        <v>7270.7142857142862</v>
      </c>
      <c r="D7" s="446">
        <f>landbouw!D8</f>
        <v>6879.4055181719996</v>
      </c>
      <c r="E7" s="446">
        <f>landbouw!E8</f>
        <v>25.419547509186778</v>
      </c>
      <c r="F7" s="446">
        <f>landbouw!F8</f>
        <v>2878.4506887188159</v>
      </c>
      <c r="G7" s="446">
        <f>landbouw!G8</f>
        <v>0</v>
      </c>
      <c r="H7" s="446">
        <f>landbouw!H8</f>
        <v>0</v>
      </c>
      <c r="I7" s="446">
        <f>landbouw!I8</f>
        <v>0</v>
      </c>
      <c r="J7" s="446">
        <f>landbouw!J8</f>
        <v>224.3939640435313</v>
      </c>
      <c r="K7" s="446">
        <f>landbouw!K8</f>
        <v>0</v>
      </c>
      <c r="L7" s="446">
        <f>landbouw!L8</f>
        <v>0</v>
      </c>
      <c r="M7" s="446">
        <f>landbouw!M8</f>
        <v>0</v>
      </c>
      <c r="N7" s="446">
        <f>landbouw!N8</f>
        <v>0</v>
      </c>
      <c r="O7" s="446">
        <f>landbouw!O8</f>
        <v>0</v>
      </c>
      <c r="P7" s="447">
        <f>landbouw!P8</f>
        <v>0</v>
      </c>
      <c r="Q7" s="445">
        <f t="shared" si="0"/>
        <v>18092.860649157818</v>
      </c>
    </row>
    <row r="8" spans="1:17">
      <c r="A8" s="445" t="s">
        <v>612</v>
      </c>
      <c r="B8" s="446">
        <f>industrie!B18</f>
        <v>60540.357283000005</v>
      </c>
      <c r="C8" s="446">
        <f>industrie!C18</f>
        <v>0</v>
      </c>
      <c r="D8" s="446">
        <f>industrie!D18</f>
        <v>30681.917815802</v>
      </c>
      <c r="E8" s="446">
        <f>industrie!E18</f>
        <v>9094.0699610464617</v>
      </c>
      <c r="F8" s="446">
        <f>industrie!F18</f>
        <v>28436.81125805488</v>
      </c>
      <c r="G8" s="446">
        <f>industrie!G18</f>
        <v>0</v>
      </c>
      <c r="H8" s="446">
        <f>industrie!H18</f>
        <v>0</v>
      </c>
      <c r="I8" s="446">
        <f>industrie!I18</f>
        <v>0</v>
      </c>
      <c r="J8" s="446">
        <f>industrie!J18</f>
        <v>270.73439047179625</v>
      </c>
      <c r="K8" s="446">
        <f>industrie!K18</f>
        <v>0</v>
      </c>
      <c r="L8" s="446">
        <f>industrie!L18</f>
        <v>0</v>
      </c>
      <c r="M8" s="446">
        <f>industrie!M18</f>
        <v>0</v>
      </c>
      <c r="N8" s="446">
        <f>industrie!N18</f>
        <v>3273.5543195688906</v>
      </c>
      <c r="O8" s="446">
        <f>industrie!O18</f>
        <v>0</v>
      </c>
      <c r="P8" s="447">
        <f>industrie!P18</f>
        <v>0</v>
      </c>
      <c r="Q8" s="445">
        <f t="shared" si="0"/>
        <v>132297.44502794402</v>
      </c>
    </row>
    <row r="9" spans="1:17" s="451" customFormat="1">
      <c r="A9" s="449" t="s">
        <v>538</v>
      </c>
      <c r="B9" s="450">
        <f>transport!B14</f>
        <v>702.57700275805689</v>
      </c>
      <c r="C9" s="450">
        <f>transport!C14</f>
        <v>0</v>
      </c>
      <c r="D9" s="450">
        <f>transport!D14</f>
        <v>1194.281210564674</v>
      </c>
      <c r="E9" s="450">
        <f>transport!E14</f>
        <v>1096.347571074549</v>
      </c>
      <c r="F9" s="450">
        <f>transport!F14</f>
        <v>0</v>
      </c>
      <c r="G9" s="450">
        <f>transport!G14</f>
        <v>459374.05087985931</v>
      </c>
      <c r="H9" s="450">
        <f>transport!H14</f>
        <v>107370.17461127951</v>
      </c>
      <c r="I9" s="450">
        <f>transport!I14</f>
        <v>0</v>
      </c>
      <c r="J9" s="450">
        <f>transport!J14</f>
        <v>0</v>
      </c>
      <c r="K9" s="450">
        <f>transport!K14</f>
        <v>0</v>
      </c>
      <c r="L9" s="450">
        <f>transport!L14</f>
        <v>0</v>
      </c>
      <c r="M9" s="450">
        <f>transport!M14</f>
        <v>33588.157891525174</v>
      </c>
      <c r="N9" s="450">
        <f>transport!N14</f>
        <v>0</v>
      </c>
      <c r="O9" s="450">
        <f>transport!O14</f>
        <v>0</v>
      </c>
      <c r="P9" s="450">
        <f>transport!P14</f>
        <v>0</v>
      </c>
      <c r="Q9" s="449">
        <f>SUM(B9:P9)</f>
        <v>603325.58916706126</v>
      </c>
    </row>
    <row r="10" spans="1:17">
      <c r="A10" s="445" t="s">
        <v>528</v>
      </c>
      <c r="B10" s="446">
        <f>transport!B54</f>
        <v>50.487902168636865</v>
      </c>
      <c r="C10" s="446">
        <f>transport!C54</f>
        <v>0</v>
      </c>
      <c r="D10" s="446">
        <f>transport!D54</f>
        <v>0</v>
      </c>
      <c r="E10" s="446">
        <f>transport!E54</f>
        <v>0</v>
      </c>
      <c r="F10" s="446">
        <f>transport!F54</f>
        <v>0</v>
      </c>
      <c r="G10" s="446">
        <f>transport!G54</f>
        <v>3657.9245533237713</v>
      </c>
      <c r="H10" s="446">
        <f>transport!H54</f>
        <v>0</v>
      </c>
      <c r="I10" s="446">
        <f>transport!I54</f>
        <v>0</v>
      </c>
      <c r="J10" s="446">
        <f>transport!J54</f>
        <v>0</v>
      </c>
      <c r="K10" s="446">
        <f>transport!K54</f>
        <v>0</v>
      </c>
      <c r="L10" s="446">
        <f>transport!L54</f>
        <v>0</v>
      </c>
      <c r="M10" s="446">
        <f>transport!M54</f>
        <v>206.90310603914321</v>
      </c>
      <c r="N10" s="446">
        <f>transport!N54</f>
        <v>0</v>
      </c>
      <c r="O10" s="446">
        <f>transport!O54</f>
        <v>0</v>
      </c>
      <c r="P10" s="447">
        <f>transport!P54</f>
        <v>0</v>
      </c>
      <c r="Q10" s="445">
        <f t="shared" si="0"/>
        <v>3915.3155615315513</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1954.8685090000001</v>
      </c>
      <c r="C14" s="453"/>
      <c r="D14" s="453">
        <f>'SEAP template'!E25</f>
        <v>6913.500677</v>
      </c>
      <c r="E14" s="453"/>
      <c r="F14" s="453"/>
      <c r="G14" s="453"/>
      <c r="H14" s="453"/>
      <c r="I14" s="453"/>
      <c r="J14" s="453"/>
      <c r="K14" s="453"/>
      <c r="L14" s="453"/>
      <c r="M14" s="453"/>
      <c r="N14" s="453"/>
      <c r="O14" s="453"/>
      <c r="P14" s="454"/>
      <c r="Q14" s="445">
        <f t="shared" si="0"/>
        <v>8868.3691859999999</v>
      </c>
    </row>
    <row r="15" spans="1:17" s="457" customFormat="1">
      <c r="A15" s="455" t="s">
        <v>532</v>
      </c>
      <c r="B15" s="456">
        <f ca="1">SUM(B4:B14)</f>
        <v>211632.95159782236</v>
      </c>
      <c r="C15" s="456">
        <f t="shared" ref="C15:Q15" ca="1" si="1">SUM(C4:C14)</f>
        <v>12985.714285714286</v>
      </c>
      <c r="D15" s="456">
        <f t="shared" ca="1" si="1"/>
        <v>304323.36578882462</v>
      </c>
      <c r="E15" s="456">
        <f t="shared" si="1"/>
        <v>15608.040381316549</v>
      </c>
      <c r="F15" s="456">
        <f t="shared" ca="1" si="1"/>
        <v>99097.24848434572</v>
      </c>
      <c r="G15" s="456">
        <f t="shared" si="1"/>
        <v>463031.97543318308</v>
      </c>
      <c r="H15" s="456">
        <f t="shared" si="1"/>
        <v>107370.17461127951</v>
      </c>
      <c r="I15" s="456">
        <f t="shared" si="1"/>
        <v>0</v>
      </c>
      <c r="J15" s="456">
        <f t="shared" si="1"/>
        <v>732.45469908034579</v>
      </c>
      <c r="K15" s="456">
        <f t="shared" si="1"/>
        <v>0</v>
      </c>
      <c r="L15" s="456">
        <f t="shared" ca="1" si="1"/>
        <v>0</v>
      </c>
      <c r="M15" s="456">
        <f t="shared" si="1"/>
        <v>33795.060997564316</v>
      </c>
      <c r="N15" s="456">
        <f t="shared" ca="1" si="1"/>
        <v>27205.51171698797</v>
      </c>
      <c r="O15" s="456">
        <f t="shared" si="1"/>
        <v>325.36914797947321</v>
      </c>
      <c r="P15" s="456">
        <f t="shared" si="1"/>
        <v>694.84933961142133</v>
      </c>
      <c r="Q15" s="456">
        <f t="shared" ca="1" si="1"/>
        <v>1276802.7164837099</v>
      </c>
    </row>
    <row r="17" spans="1:17">
      <c r="A17" s="458" t="s">
        <v>533</v>
      </c>
      <c r="B17" s="774">
        <f ca="1">huishoudens!B10</f>
        <v>0.1796156218183339</v>
      </c>
      <c r="C17" s="774">
        <f ca="1">huishoudens!C10</f>
        <v>0.10458823529411765</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10886.685759478585</v>
      </c>
      <c r="C22" s="446">
        <f t="shared" ref="C22:C32" ca="1" si="3">C4*$C$17</f>
        <v>0</v>
      </c>
      <c r="D22" s="446">
        <f t="shared" ref="D22:D32" si="4">D4*$D$17</f>
        <v>33603.657386191211</v>
      </c>
      <c r="E22" s="446">
        <f t="shared" ref="E22:E32" si="5">E4*$E$17</f>
        <v>836.26270960085299</v>
      </c>
      <c r="F22" s="446">
        <f t="shared" ref="F22:F32" si="6">F4*$F$17</f>
        <v>15857.294028571319</v>
      </c>
      <c r="G22" s="446">
        <f t="shared" ref="G22:G32" si="7">G4*$G$17</f>
        <v>0</v>
      </c>
      <c r="H22" s="446">
        <f t="shared" ref="H22:H32" si="8">H4*$H$17</f>
        <v>0</v>
      </c>
      <c r="I22" s="446">
        <f t="shared" ref="I22:I32" si="9">I4*$I$17</f>
        <v>0</v>
      </c>
      <c r="J22" s="446">
        <f t="shared" ref="J22:J32" si="10">J4*$J$17</f>
        <v>83.991061595305041</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61267.89094543727</v>
      </c>
    </row>
    <row r="23" spans="1:17">
      <c r="A23" s="445" t="s">
        <v>149</v>
      </c>
      <c r="B23" s="446">
        <f t="shared" ca="1" si="2"/>
        <v>15175.613217804495</v>
      </c>
      <c r="C23" s="446">
        <f t="shared" ca="1" si="3"/>
        <v>597.72176470588238</v>
      </c>
      <c r="D23" s="446">
        <f t="shared" ca="1" si="4"/>
        <v>18644.503248400571</v>
      </c>
      <c r="E23" s="446">
        <f t="shared" si="5"/>
        <v>387.76743988194892</v>
      </c>
      <c r="F23" s="446">
        <f t="shared" ca="1" si="6"/>
        <v>2240.4963769604124</v>
      </c>
      <c r="G23" s="446">
        <f t="shared" si="7"/>
        <v>0</v>
      </c>
      <c r="H23" s="446">
        <f t="shared" si="8"/>
        <v>0</v>
      </c>
      <c r="I23" s="446">
        <f t="shared" si="9"/>
        <v>0</v>
      </c>
      <c r="J23" s="446">
        <f t="shared" si="10"/>
        <v>2.2464380711434719E-2</v>
      </c>
      <c r="K23" s="446">
        <f t="shared" si="11"/>
        <v>0</v>
      </c>
      <c r="L23" s="446">
        <f t="shared" ca="1" si="12"/>
        <v>0</v>
      </c>
      <c r="M23" s="446">
        <f t="shared" si="13"/>
        <v>0</v>
      </c>
      <c r="N23" s="446">
        <f t="shared" ca="1" si="14"/>
        <v>0</v>
      </c>
      <c r="O23" s="446">
        <f t="shared" si="15"/>
        <v>0</v>
      </c>
      <c r="P23" s="447">
        <f t="shared" si="16"/>
        <v>0</v>
      </c>
      <c r="Q23" s="445">
        <f t="shared" ref="Q23:Q31" ca="1" si="17">SUM(B23:P23)</f>
        <v>37046.124512134025</v>
      </c>
    </row>
    <row r="24" spans="1:17">
      <c r="A24" s="445" t="s">
        <v>187</v>
      </c>
      <c r="B24" s="446">
        <f t="shared" ca="1" si="2"/>
        <v>443.61142968572835</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443.61142968572835</v>
      </c>
    </row>
    <row r="25" spans="1:17">
      <c r="A25" s="445" t="s">
        <v>105</v>
      </c>
      <c r="B25" s="446">
        <f t="shared" ca="1" si="2"/>
        <v>146.29272904818538</v>
      </c>
      <c r="C25" s="446">
        <f t="shared" ca="1" si="3"/>
        <v>760.4311764705883</v>
      </c>
      <c r="D25" s="446">
        <f t="shared" si="4"/>
        <v>1389.639914670744</v>
      </c>
      <c r="E25" s="446">
        <f t="shared" si="5"/>
        <v>5.7702372845853986</v>
      </c>
      <c r="F25" s="446">
        <f t="shared" si="6"/>
        <v>768.54633388792388</v>
      </c>
      <c r="G25" s="446">
        <f t="shared" si="7"/>
        <v>0</v>
      </c>
      <c r="H25" s="446">
        <f t="shared" si="8"/>
        <v>0</v>
      </c>
      <c r="I25" s="446">
        <f t="shared" si="9"/>
        <v>0</v>
      </c>
      <c r="J25" s="446">
        <f t="shared" si="10"/>
        <v>79.435463271410072</v>
      </c>
      <c r="K25" s="446">
        <f t="shared" si="11"/>
        <v>0</v>
      </c>
      <c r="L25" s="446">
        <f t="shared" si="12"/>
        <v>0</v>
      </c>
      <c r="M25" s="446">
        <f t="shared" si="13"/>
        <v>0</v>
      </c>
      <c r="N25" s="446">
        <f t="shared" si="14"/>
        <v>0</v>
      </c>
      <c r="O25" s="446">
        <f t="shared" si="15"/>
        <v>0</v>
      </c>
      <c r="P25" s="447">
        <f t="shared" si="16"/>
        <v>0</v>
      </c>
      <c r="Q25" s="445">
        <f t="shared" ca="1" si="17"/>
        <v>3150.1158546334373</v>
      </c>
    </row>
    <row r="26" spans="1:17">
      <c r="A26" s="445" t="s">
        <v>612</v>
      </c>
      <c r="B26" s="446">
        <f t="shared" ca="1" si="2"/>
        <v>10873.993918490145</v>
      </c>
      <c r="C26" s="446">
        <f t="shared" ca="1" si="3"/>
        <v>0</v>
      </c>
      <c r="D26" s="446">
        <f t="shared" si="4"/>
        <v>6197.7473987920048</v>
      </c>
      <c r="E26" s="446">
        <f t="shared" si="5"/>
        <v>2064.3538811575468</v>
      </c>
      <c r="F26" s="446">
        <f t="shared" si="6"/>
        <v>7592.6286059006534</v>
      </c>
      <c r="G26" s="446">
        <f t="shared" si="7"/>
        <v>0</v>
      </c>
      <c r="H26" s="446">
        <f t="shared" si="8"/>
        <v>0</v>
      </c>
      <c r="I26" s="446">
        <f t="shared" si="9"/>
        <v>0</v>
      </c>
      <c r="J26" s="446">
        <f t="shared" si="10"/>
        <v>95.839974227015873</v>
      </c>
      <c r="K26" s="446">
        <f t="shared" si="11"/>
        <v>0</v>
      </c>
      <c r="L26" s="446">
        <f t="shared" si="12"/>
        <v>0</v>
      </c>
      <c r="M26" s="446">
        <f t="shared" si="13"/>
        <v>0</v>
      </c>
      <c r="N26" s="446">
        <f t="shared" si="14"/>
        <v>0</v>
      </c>
      <c r="O26" s="446">
        <f t="shared" si="15"/>
        <v>0</v>
      </c>
      <c r="P26" s="447">
        <f t="shared" si="16"/>
        <v>0</v>
      </c>
      <c r="Q26" s="445">
        <f t="shared" ca="1" si="17"/>
        <v>26824.563778567364</v>
      </c>
    </row>
    <row r="27" spans="1:17" s="451" customFormat="1">
      <c r="A27" s="449" t="s">
        <v>538</v>
      </c>
      <c r="B27" s="768">
        <f t="shared" ca="1" si="2"/>
        <v>126.19380522564968</v>
      </c>
      <c r="C27" s="450">
        <f t="shared" ca="1" si="3"/>
        <v>0</v>
      </c>
      <c r="D27" s="450">
        <f t="shared" si="4"/>
        <v>241.24480453406417</v>
      </c>
      <c r="E27" s="450">
        <f t="shared" si="5"/>
        <v>248.87089863392265</v>
      </c>
      <c r="F27" s="450">
        <f t="shared" si="6"/>
        <v>0</v>
      </c>
      <c r="G27" s="450">
        <f t="shared" si="7"/>
        <v>122652.87158492244</v>
      </c>
      <c r="H27" s="450">
        <f t="shared" si="8"/>
        <v>26735.173478208599</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150004.35457152466</v>
      </c>
    </row>
    <row r="28" spans="1:17" ht="16.5" customHeight="1">
      <c r="A28" s="445" t="s">
        <v>528</v>
      </c>
      <c r="B28" s="446">
        <f t="shared" ca="1" si="2"/>
        <v>9.06841594232292</v>
      </c>
      <c r="C28" s="446">
        <f t="shared" ca="1" si="3"/>
        <v>0</v>
      </c>
      <c r="D28" s="446">
        <f t="shared" si="4"/>
        <v>0</v>
      </c>
      <c r="E28" s="446">
        <f t="shared" si="5"/>
        <v>0</v>
      </c>
      <c r="F28" s="446">
        <f t="shared" si="6"/>
        <v>0</v>
      </c>
      <c r="G28" s="446">
        <f t="shared" si="7"/>
        <v>976.66585573744703</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985.7342716797699</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351.12492281711428</v>
      </c>
      <c r="C32" s="446">
        <f t="shared" ca="1" si="3"/>
        <v>0</v>
      </c>
      <c r="D32" s="446">
        <f t="shared" si="4"/>
        <v>1396.5271367540001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1747.6520595711145</v>
      </c>
    </row>
    <row r="33" spans="1:17" s="457" customFormat="1">
      <c r="A33" s="455" t="s">
        <v>532</v>
      </c>
      <c r="B33" s="456">
        <f ca="1">SUM(B22:B32)</f>
        <v>38012.58419849223</v>
      </c>
      <c r="C33" s="456">
        <f t="shared" ref="C33:Q33" ca="1" si="19">SUM(C22:C32)</f>
        <v>1358.1529411764707</v>
      </c>
      <c r="D33" s="456">
        <f t="shared" ca="1" si="19"/>
        <v>61473.319889342587</v>
      </c>
      <c r="E33" s="456">
        <f t="shared" si="19"/>
        <v>3543.0251665588567</v>
      </c>
      <c r="F33" s="456">
        <f t="shared" ca="1" si="19"/>
        <v>26458.965345320306</v>
      </c>
      <c r="G33" s="456">
        <f t="shared" si="19"/>
        <v>123629.53744065989</v>
      </c>
      <c r="H33" s="456">
        <f t="shared" si="19"/>
        <v>26735.173478208599</v>
      </c>
      <c r="I33" s="456">
        <f t="shared" si="19"/>
        <v>0</v>
      </c>
      <c r="J33" s="456">
        <f t="shared" si="19"/>
        <v>259.28896347444243</v>
      </c>
      <c r="K33" s="456">
        <f t="shared" si="19"/>
        <v>0</v>
      </c>
      <c r="L33" s="456">
        <f t="shared" ca="1" si="19"/>
        <v>0</v>
      </c>
      <c r="M33" s="456">
        <f t="shared" si="19"/>
        <v>0</v>
      </c>
      <c r="N33" s="456">
        <f t="shared" ca="1" si="19"/>
        <v>0</v>
      </c>
      <c r="O33" s="456">
        <f t="shared" si="19"/>
        <v>0</v>
      </c>
      <c r="P33" s="456">
        <f t="shared" si="19"/>
        <v>0</v>
      </c>
      <c r="Q33" s="456">
        <f t="shared" ca="1" si="19"/>
        <v>281470.04742323339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28602.810955918536</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6239.3391049414058</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5089.5000000000009</v>
      </c>
      <c r="C8" s="1019">
        <f>'SEAP template'!C76</f>
        <v>4000.4999999999995</v>
      </c>
      <c r="D8" s="1019">
        <f>'SEAP template'!D76</f>
        <v>4706.4705882352937</v>
      </c>
      <c r="E8" s="1019">
        <f>'SEAP template'!E76</f>
        <v>0</v>
      </c>
      <c r="F8" s="1019">
        <f>'SEAP template'!F76</f>
        <v>0</v>
      </c>
      <c r="G8" s="1019">
        <f>'SEAP template'!G76</f>
        <v>0</v>
      </c>
      <c r="H8" s="1019">
        <f>'SEAP template'!H76</f>
        <v>0</v>
      </c>
      <c r="I8" s="1019">
        <f>'SEAP template'!I76</f>
        <v>0</v>
      </c>
      <c r="J8" s="1019">
        <f>'SEAP template'!J76</f>
        <v>5987.6470588235297</v>
      </c>
      <c r="K8" s="1019">
        <f>'SEAP template'!K76</f>
        <v>0</v>
      </c>
      <c r="L8" s="1019">
        <f>'SEAP template'!L76</f>
        <v>0</v>
      </c>
      <c r="M8" s="1019">
        <f>'SEAP template'!M76</f>
        <v>0</v>
      </c>
      <c r="N8" s="1019">
        <f>'SEAP template'!N76</f>
        <v>0</v>
      </c>
      <c r="O8" s="1019">
        <f>'SEAP template'!O76</f>
        <v>0</v>
      </c>
      <c r="P8" s="1020">
        <f>'SEAP template'!Q76</f>
        <v>950.70705882352934</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39931.650060859945</v>
      </c>
      <c r="C10" s="1021">
        <f>SUM(C4:C9)</f>
        <v>4000.4999999999995</v>
      </c>
      <c r="D10" s="1021">
        <f t="shared" ref="D10:H10" si="0">SUM(D8:D9)</f>
        <v>4706.4705882352937</v>
      </c>
      <c r="E10" s="1021">
        <f t="shared" si="0"/>
        <v>0</v>
      </c>
      <c r="F10" s="1021">
        <f t="shared" si="0"/>
        <v>0</v>
      </c>
      <c r="G10" s="1021">
        <f t="shared" si="0"/>
        <v>0</v>
      </c>
      <c r="H10" s="1021">
        <f t="shared" si="0"/>
        <v>0</v>
      </c>
      <c r="I10" s="1021">
        <f>SUM(I8:I9)</f>
        <v>0</v>
      </c>
      <c r="J10" s="1021">
        <f>SUM(J8:J9)</f>
        <v>5987.6470588235297</v>
      </c>
      <c r="K10" s="1021">
        <f t="shared" ref="K10:L10" si="1">SUM(K8:K9)</f>
        <v>0</v>
      </c>
      <c r="L10" s="1021">
        <f t="shared" si="1"/>
        <v>0</v>
      </c>
      <c r="M10" s="1021">
        <f>SUM(M8:M9)</f>
        <v>0</v>
      </c>
      <c r="N10" s="1021">
        <f>SUM(N8:N9)</f>
        <v>0</v>
      </c>
      <c r="O10" s="1021">
        <f>SUM(O8:O9)</f>
        <v>0</v>
      </c>
      <c r="P10" s="1021">
        <f>SUM(P8:P9)</f>
        <v>950.70705882352934</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0.1796156218183339</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7270.7142857142871</v>
      </c>
      <c r="C17" s="1022">
        <f>'SEAP template'!C87</f>
        <v>5715</v>
      </c>
      <c r="D17" s="1020">
        <f>'SEAP template'!D87</f>
        <v>6723.5294117647063</v>
      </c>
      <c r="E17" s="1020">
        <f>'SEAP template'!E87</f>
        <v>0</v>
      </c>
      <c r="F17" s="1020">
        <f>'SEAP template'!F87</f>
        <v>0</v>
      </c>
      <c r="G17" s="1020">
        <f>'SEAP template'!G87</f>
        <v>0</v>
      </c>
      <c r="H17" s="1020">
        <f>'SEAP template'!H87</f>
        <v>0</v>
      </c>
      <c r="I17" s="1020">
        <f>'SEAP template'!I87</f>
        <v>0</v>
      </c>
      <c r="J17" s="1020">
        <f>'SEAP template'!J87</f>
        <v>8553.7815126050427</v>
      </c>
      <c r="K17" s="1020">
        <f>'SEAP template'!K87</f>
        <v>0</v>
      </c>
      <c r="L17" s="1020">
        <f>'SEAP template'!L87</f>
        <v>0</v>
      </c>
      <c r="M17" s="1020">
        <f>'SEAP template'!M87</f>
        <v>0</v>
      </c>
      <c r="N17" s="1020">
        <f>'SEAP template'!N87</f>
        <v>0</v>
      </c>
      <c r="O17" s="1020">
        <f>'SEAP template'!O87</f>
        <v>0</v>
      </c>
      <c r="P17" s="1020">
        <f>'SEAP template'!Q87</f>
        <v>1358.1529411764707</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7270.7142857142871</v>
      </c>
      <c r="C20" s="1021">
        <f>SUM(C17:C19)</f>
        <v>5715</v>
      </c>
      <c r="D20" s="1021">
        <f t="shared" ref="D20:H20" si="2">SUM(D17:D19)</f>
        <v>6723.5294117647063</v>
      </c>
      <c r="E20" s="1021">
        <f t="shared" si="2"/>
        <v>0</v>
      </c>
      <c r="F20" s="1021">
        <f t="shared" si="2"/>
        <v>0</v>
      </c>
      <c r="G20" s="1021">
        <f t="shared" si="2"/>
        <v>0</v>
      </c>
      <c r="H20" s="1021">
        <f t="shared" si="2"/>
        <v>0</v>
      </c>
      <c r="I20" s="1021">
        <f>SUM(I17:I19)</f>
        <v>0</v>
      </c>
      <c r="J20" s="1021">
        <f>SUM(J17:J19)</f>
        <v>8553.7815126050427</v>
      </c>
      <c r="K20" s="1021">
        <f t="shared" ref="K20:L20" si="3">SUM(K17:K19)</f>
        <v>0</v>
      </c>
      <c r="L20" s="1021">
        <f t="shared" si="3"/>
        <v>0</v>
      </c>
      <c r="M20" s="1021">
        <f>SUM(M17:M19)</f>
        <v>0</v>
      </c>
      <c r="N20" s="1021">
        <f>SUM(N17:N19)</f>
        <v>0</v>
      </c>
      <c r="O20" s="1021">
        <f>SUM(O17:O19)</f>
        <v>0</v>
      </c>
      <c r="P20" s="1021">
        <f>SUM(P17:P19)</f>
        <v>1358.1529411764707</v>
      </c>
    </row>
    <row r="21" spans="1:16">
      <c r="B21" s="879"/>
    </row>
    <row r="22" spans="1:16">
      <c r="A22" s="458" t="s">
        <v>780</v>
      </c>
      <c r="B22" s="774" t="s">
        <v>778</v>
      </c>
      <c r="C22" s="774">
        <f ca="1">'EF ele_warmte'!B22</f>
        <v>0.10458823529411765</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0.1796156218183339</v>
      </c>
      <c r="C17" s="494">
        <f ca="1">'EF ele_warmte'!B22</f>
        <v>0.10458823529411765</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0.1796156218183339</v>
      </c>
      <c r="C17" s="494">
        <f ca="1">'EF ele_warmte'!B22</f>
        <v>0.10458823529411765</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0.1796156218183339</v>
      </c>
      <c r="C29" s="495">
        <f ca="1">'EF ele_warmte'!B22</f>
        <v>0.10458823529411765</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16273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1634.33</v>
      </c>
      <c r="C14" s="326"/>
      <c r="D14" s="326"/>
      <c r="E14" s="326"/>
      <c r="F14" s="326"/>
    </row>
    <row r="15" spans="1:6">
      <c r="A15" s="1296" t="s">
        <v>177</v>
      </c>
      <c r="B15" s="1297">
        <v>3</v>
      </c>
      <c r="C15" s="326"/>
      <c r="D15" s="326"/>
      <c r="E15" s="326"/>
      <c r="F15" s="326"/>
    </row>
    <row r="16" spans="1:6">
      <c r="A16" s="1296" t="s">
        <v>6</v>
      </c>
      <c r="B16" s="1297">
        <v>253</v>
      </c>
      <c r="C16" s="326"/>
      <c r="D16" s="326"/>
      <c r="E16" s="326"/>
      <c r="F16" s="326"/>
    </row>
    <row r="17" spans="1:6">
      <c r="A17" s="1296" t="s">
        <v>7</v>
      </c>
      <c r="B17" s="1297">
        <v>243</v>
      </c>
      <c r="C17" s="326"/>
      <c r="D17" s="326"/>
      <c r="E17" s="326"/>
      <c r="F17" s="326"/>
    </row>
    <row r="18" spans="1:6">
      <c r="A18" s="1296" t="s">
        <v>8</v>
      </c>
      <c r="B18" s="1297">
        <v>302</v>
      </c>
      <c r="C18" s="326"/>
      <c r="D18" s="326"/>
      <c r="E18" s="326"/>
      <c r="F18" s="326"/>
    </row>
    <row r="19" spans="1:6">
      <c r="A19" s="1296" t="s">
        <v>9</v>
      </c>
      <c r="B19" s="1297">
        <v>233</v>
      </c>
      <c r="C19" s="326"/>
      <c r="D19" s="326"/>
      <c r="E19" s="326"/>
      <c r="F19" s="326"/>
    </row>
    <row r="20" spans="1:6">
      <c r="A20" s="1296" t="s">
        <v>10</v>
      </c>
      <c r="B20" s="1297">
        <v>220</v>
      </c>
      <c r="C20" s="326"/>
      <c r="D20" s="326"/>
      <c r="E20" s="326"/>
      <c r="F20" s="326"/>
    </row>
    <row r="21" spans="1:6">
      <c r="A21" s="1296" t="s">
        <v>11</v>
      </c>
      <c r="B21" s="1297">
        <v>800</v>
      </c>
      <c r="C21" s="326"/>
      <c r="D21" s="326"/>
      <c r="E21" s="326"/>
      <c r="F21" s="326"/>
    </row>
    <row r="22" spans="1:6">
      <c r="A22" s="1296" t="s">
        <v>12</v>
      </c>
      <c r="B22" s="1297">
        <v>2100</v>
      </c>
      <c r="C22" s="326"/>
      <c r="D22" s="326"/>
      <c r="E22" s="326"/>
      <c r="F22" s="326"/>
    </row>
    <row r="23" spans="1:6">
      <c r="A23" s="1296" t="s">
        <v>13</v>
      </c>
      <c r="B23" s="1297">
        <v>39</v>
      </c>
      <c r="C23" s="326"/>
      <c r="D23" s="326"/>
      <c r="E23" s="326"/>
      <c r="F23" s="326"/>
    </row>
    <row r="24" spans="1:6">
      <c r="A24" s="1296" t="s">
        <v>14</v>
      </c>
      <c r="B24" s="1297">
        <v>2</v>
      </c>
      <c r="C24" s="326"/>
      <c r="D24" s="326"/>
      <c r="E24" s="326"/>
      <c r="F24" s="326"/>
    </row>
    <row r="25" spans="1:6">
      <c r="A25" s="1296" t="s">
        <v>15</v>
      </c>
      <c r="B25" s="1297">
        <v>188</v>
      </c>
      <c r="C25" s="326"/>
      <c r="D25" s="326"/>
      <c r="E25" s="326"/>
      <c r="F25" s="326"/>
    </row>
    <row r="26" spans="1:6">
      <c r="A26" s="1296" t="s">
        <v>16</v>
      </c>
      <c r="B26" s="1297">
        <v>148</v>
      </c>
      <c r="C26" s="326"/>
      <c r="D26" s="326"/>
      <c r="E26" s="326"/>
      <c r="F26" s="326"/>
    </row>
    <row r="27" spans="1:6">
      <c r="A27" s="1296" t="s">
        <v>17</v>
      </c>
      <c r="B27" s="1297">
        <v>1</v>
      </c>
      <c r="C27" s="326"/>
      <c r="D27" s="326"/>
      <c r="E27" s="326"/>
      <c r="F27" s="326"/>
    </row>
    <row r="28" spans="1:6">
      <c r="A28" s="1296" t="s">
        <v>18</v>
      </c>
      <c r="B28" s="1298">
        <v>445</v>
      </c>
      <c r="C28" s="326"/>
      <c r="D28" s="326"/>
      <c r="E28" s="326"/>
      <c r="F28" s="326"/>
    </row>
    <row r="29" spans="1:6">
      <c r="A29" s="1296" t="s">
        <v>689</v>
      </c>
      <c r="B29" s="1298">
        <v>165</v>
      </c>
      <c r="C29" s="326"/>
      <c r="D29" s="326"/>
      <c r="E29" s="326"/>
      <c r="F29" s="326"/>
    </row>
    <row r="30" spans="1:6">
      <c r="A30" s="1291" t="s">
        <v>690</v>
      </c>
      <c r="B30" s="1299">
        <v>13</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7</v>
      </c>
      <c r="D36" s="1297">
        <v>2499011.8050000002</v>
      </c>
      <c r="E36" s="1297">
        <v>5</v>
      </c>
      <c r="F36" s="1297">
        <v>11035</v>
      </c>
    </row>
    <row r="37" spans="1:6">
      <c r="A37" s="1296" t="s">
        <v>24</v>
      </c>
      <c r="B37" s="1296" t="s">
        <v>27</v>
      </c>
      <c r="C37" s="1297">
        <v>0</v>
      </c>
      <c r="D37" s="1297">
        <v>0</v>
      </c>
      <c r="E37" s="1297">
        <v>0</v>
      </c>
      <c r="F37" s="1297">
        <v>0</v>
      </c>
    </row>
    <row r="38" spans="1:6">
      <c r="A38" s="1296" t="s">
        <v>24</v>
      </c>
      <c r="B38" s="1296" t="s">
        <v>28</v>
      </c>
      <c r="C38" s="1297">
        <v>0</v>
      </c>
      <c r="D38" s="1297">
        <v>0</v>
      </c>
      <c r="E38" s="1297">
        <v>5</v>
      </c>
      <c r="F38" s="1297">
        <v>19666</v>
      </c>
    </row>
    <row r="39" spans="1:6">
      <c r="A39" s="1296" t="s">
        <v>29</v>
      </c>
      <c r="B39" s="1296" t="s">
        <v>30</v>
      </c>
      <c r="C39" s="1297">
        <v>12580</v>
      </c>
      <c r="D39" s="1297">
        <v>184428757.80000001</v>
      </c>
      <c r="E39" s="1297">
        <v>16528</v>
      </c>
      <c r="F39" s="1297">
        <v>56720342.609999999</v>
      </c>
    </row>
    <row r="40" spans="1:6">
      <c r="A40" s="1296" t="s">
        <v>29</v>
      </c>
      <c r="B40" s="1296" t="s">
        <v>28</v>
      </c>
      <c r="C40" s="1297">
        <v>0</v>
      </c>
      <c r="D40" s="1297">
        <v>0</v>
      </c>
      <c r="E40" s="1297">
        <v>0</v>
      </c>
      <c r="F40" s="1297">
        <v>0</v>
      </c>
    </row>
    <row r="41" spans="1:6">
      <c r="A41" s="1296" t="s">
        <v>31</v>
      </c>
      <c r="B41" s="1296" t="s">
        <v>32</v>
      </c>
      <c r="C41" s="1297">
        <v>115</v>
      </c>
      <c r="D41" s="1297">
        <v>2195195.659</v>
      </c>
      <c r="E41" s="1297">
        <v>212</v>
      </c>
      <c r="F41" s="1297">
        <v>27284335.739999998</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6</v>
      </c>
      <c r="D44" s="1297">
        <v>856971.64800000004</v>
      </c>
      <c r="E44" s="1297">
        <v>13</v>
      </c>
      <c r="F44" s="1297">
        <v>651908.90399999998</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5</v>
      </c>
      <c r="D47" s="1297">
        <v>91904.063999999998</v>
      </c>
      <c r="E47" s="1297">
        <v>5</v>
      </c>
      <c r="F47" s="1297">
        <v>27195.468000000001</v>
      </c>
    </row>
    <row r="48" spans="1:6">
      <c r="A48" s="1296" t="s">
        <v>31</v>
      </c>
      <c r="B48" s="1296" t="s">
        <v>28</v>
      </c>
      <c r="C48" s="1297">
        <v>51</v>
      </c>
      <c r="D48" s="1297">
        <v>30754135.609999999</v>
      </c>
      <c r="E48" s="1297">
        <v>87</v>
      </c>
      <c r="F48" s="1297">
        <v>32332218.489999998</v>
      </c>
    </row>
    <row r="49" spans="1:6">
      <c r="A49" s="1296" t="s">
        <v>31</v>
      </c>
      <c r="B49" s="1296" t="s">
        <v>39</v>
      </c>
      <c r="C49" s="1297">
        <v>0</v>
      </c>
      <c r="D49" s="1297">
        <v>0</v>
      </c>
      <c r="E49" s="1297">
        <v>0</v>
      </c>
      <c r="F49" s="1297">
        <v>0</v>
      </c>
    </row>
    <row r="50" spans="1:6">
      <c r="A50" s="1296" t="s">
        <v>31</v>
      </c>
      <c r="B50" s="1296" t="s">
        <v>40</v>
      </c>
      <c r="C50" s="1297">
        <v>4</v>
      </c>
      <c r="D50" s="1297">
        <v>117222.97</v>
      </c>
      <c r="E50" s="1297">
        <v>6</v>
      </c>
      <c r="F50" s="1297">
        <v>244698.68100000001</v>
      </c>
    </row>
    <row r="51" spans="1:6">
      <c r="A51" s="1296" t="s">
        <v>41</v>
      </c>
      <c r="B51" s="1296" t="s">
        <v>42</v>
      </c>
      <c r="C51" s="1297">
        <v>9</v>
      </c>
      <c r="D51" s="1297">
        <v>361305.59399999998</v>
      </c>
      <c r="E51" s="1297">
        <v>39</v>
      </c>
      <c r="F51" s="1297">
        <v>362127.92800000001</v>
      </c>
    </row>
    <row r="52" spans="1:6">
      <c r="A52" s="1296" t="s">
        <v>41</v>
      </c>
      <c r="B52" s="1296" t="s">
        <v>28</v>
      </c>
      <c r="C52" s="1297">
        <v>8</v>
      </c>
      <c r="D52" s="1297">
        <v>7265529.7920000004</v>
      </c>
      <c r="E52" s="1297">
        <v>16</v>
      </c>
      <c r="F52" s="1297">
        <v>452348.717</v>
      </c>
    </row>
    <row r="53" spans="1:6">
      <c r="A53" s="1296" t="s">
        <v>43</v>
      </c>
      <c r="B53" s="1296" t="s">
        <v>44</v>
      </c>
      <c r="C53" s="1297">
        <v>378</v>
      </c>
      <c r="D53" s="1297">
        <v>6913500.6770000001</v>
      </c>
      <c r="E53" s="1297">
        <v>694</v>
      </c>
      <c r="F53" s="1297">
        <v>1954868.5090000001</v>
      </c>
    </row>
    <row r="54" spans="1:6">
      <c r="A54" s="1296" t="s">
        <v>45</v>
      </c>
      <c r="B54" s="1296" t="s">
        <v>46</v>
      </c>
      <c r="C54" s="1297">
        <v>0</v>
      </c>
      <c r="D54" s="1297">
        <v>0</v>
      </c>
      <c r="E54" s="1297">
        <v>1</v>
      </c>
      <c r="F54" s="1297">
        <v>2469782</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80</v>
      </c>
      <c r="D57" s="1297">
        <v>3235499.517</v>
      </c>
      <c r="E57" s="1297">
        <v>158</v>
      </c>
      <c r="F57" s="1297">
        <v>2291151.875</v>
      </c>
    </row>
    <row r="58" spans="1:6">
      <c r="A58" s="1296" t="s">
        <v>48</v>
      </c>
      <c r="B58" s="1296" t="s">
        <v>50</v>
      </c>
      <c r="C58" s="1297">
        <v>67</v>
      </c>
      <c r="D58" s="1297">
        <v>2215844.2149999999</v>
      </c>
      <c r="E58" s="1297">
        <v>87</v>
      </c>
      <c r="F58" s="1297">
        <v>880238.93</v>
      </c>
    </row>
    <row r="59" spans="1:6">
      <c r="A59" s="1296" t="s">
        <v>48</v>
      </c>
      <c r="B59" s="1296" t="s">
        <v>51</v>
      </c>
      <c r="C59" s="1297">
        <v>189</v>
      </c>
      <c r="D59" s="1297">
        <v>62239275.439999998</v>
      </c>
      <c r="E59" s="1297">
        <v>378</v>
      </c>
      <c r="F59" s="1297">
        <v>51464074.670000002</v>
      </c>
    </row>
    <row r="60" spans="1:6">
      <c r="A60" s="1296" t="s">
        <v>48</v>
      </c>
      <c r="B60" s="1296" t="s">
        <v>52</v>
      </c>
      <c r="C60" s="1297">
        <v>154</v>
      </c>
      <c r="D60" s="1297">
        <v>8291086.4129999997</v>
      </c>
      <c r="E60" s="1297">
        <v>264</v>
      </c>
      <c r="F60" s="1297">
        <v>4997037.91</v>
      </c>
    </row>
    <row r="61" spans="1:6">
      <c r="A61" s="1296" t="s">
        <v>48</v>
      </c>
      <c r="B61" s="1296" t="s">
        <v>53</v>
      </c>
      <c r="C61" s="1297">
        <v>333</v>
      </c>
      <c r="D61" s="1297">
        <v>12107476</v>
      </c>
      <c r="E61" s="1297">
        <v>739</v>
      </c>
      <c r="F61" s="1297">
        <v>5856154.0970000001</v>
      </c>
    </row>
    <row r="62" spans="1:6">
      <c r="A62" s="1296" t="s">
        <v>48</v>
      </c>
      <c r="B62" s="1296" t="s">
        <v>54</v>
      </c>
      <c r="C62" s="1297">
        <v>31</v>
      </c>
      <c r="D62" s="1297">
        <v>6809142.4680000003</v>
      </c>
      <c r="E62" s="1297">
        <v>37</v>
      </c>
      <c r="F62" s="1297">
        <v>2182766.7609999999</v>
      </c>
    </row>
    <row r="63" spans="1:6">
      <c r="A63" s="1296" t="s">
        <v>48</v>
      </c>
      <c r="B63" s="1296" t="s">
        <v>28</v>
      </c>
      <c r="C63" s="1297">
        <v>192</v>
      </c>
      <c r="D63" s="1297">
        <v>20101144.940000001</v>
      </c>
      <c r="E63" s="1297">
        <v>236</v>
      </c>
      <c r="F63" s="1297">
        <v>12817459.609999999</v>
      </c>
    </row>
    <row r="64" spans="1:6">
      <c r="A64" s="1296" t="s">
        <v>55</v>
      </c>
      <c r="B64" s="1296" t="s">
        <v>56</v>
      </c>
      <c r="C64" s="1297">
        <v>0</v>
      </c>
      <c r="D64" s="1297">
        <v>0</v>
      </c>
      <c r="E64" s="1297">
        <v>0</v>
      </c>
      <c r="F64" s="1297">
        <v>0</v>
      </c>
    </row>
    <row r="65" spans="1:6">
      <c r="A65" s="1296" t="s">
        <v>55</v>
      </c>
      <c r="B65" s="1296" t="s">
        <v>28</v>
      </c>
      <c r="C65" s="1297">
        <v>6</v>
      </c>
      <c r="D65" s="1297">
        <v>388884.73</v>
      </c>
      <c r="E65" s="1297">
        <v>14</v>
      </c>
      <c r="F65" s="1297">
        <v>684625.55200000003</v>
      </c>
    </row>
    <row r="66" spans="1:6">
      <c r="A66" s="1296" t="s">
        <v>55</v>
      </c>
      <c r="B66" s="1296" t="s">
        <v>57</v>
      </c>
      <c r="C66" s="1297">
        <v>0</v>
      </c>
      <c r="D66" s="1297">
        <v>0</v>
      </c>
      <c r="E66" s="1297">
        <v>23</v>
      </c>
      <c r="F66" s="1297">
        <v>623357.26500000001</v>
      </c>
    </row>
    <row r="67" spans="1:6">
      <c r="A67" s="1296" t="s">
        <v>55</v>
      </c>
      <c r="B67" s="1296" t="s">
        <v>58</v>
      </c>
      <c r="C67" s="1297">
        <v>0</v>
      </c>
      <c r="D67" s="1297">
        <v>0</v>
      </c>
      <c r="E67" s="1297">
        <v>0</v>
      </c>
      <c r="F67" s="1297">
        <v>0</v>
      </c>
    </row>
    <row r="68" spans="1:6">
      <c r="A68" s="1291" t="s">
        <v>55</v>
      </c>
      <c r="B68" s="1291" t="s">
        <v>59</v>
      </c>
      <c r="C68" s="1299">
        <v>3</v>
      </c>
      <c r="D68" s="1299">
        <v>72693.445000000007</v>
      </c>
      <c r="E68" s="1299">
        <v>6</v>
      </c>
      <c r="F68" s="1299">
        <v>137029.35699999999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265139835</v>
      </c>
      <c r="E73" s="444"/>
      <c r="F73" s="326"/>
    </row>
    <row r="74" spans="1:6">
      <c r="A74" s="1296" t="s">
        <v>63</v>
      </c>
      <c r="B74" s="1296" t="s">
        <v>633</v>
      </c>
      <c r="C74" s="1309" t="s">
        <v>635</v>
      </c>
      <c r="D74" s="1297">
        <v>21359067</v>
      </c>
      <c r="E74" s="444"/>
      <c r="F74" s="326"/>
    </row>
    <row r="75" spans="1:6">
      <c r="A75" s="1296" t="s">
        <v>64</v>
      </c>
      <c r="B75" s="1296" t="s">
        <v>632</v>
      </c>
      <c r="C75" s="1309" t="s">
        <v>636</v>
      </c>
      <c r="D75" s="1297">
        <v>171048462</v>
      </c>
      <c r="E75" s="444"/>
      <c r="F75" s="326"/>
    </row>
    <row r="76" spans="1:6">
      <c r="A76" s="1296" t="s">
        <v>64</v>
      </c>
      <c r="B76" s="1296" t="s">
        <v>633</v>
      </c>
      <c r="C76" s="1309" t="s">
        <v>637</v>
      </c>
      <c r="D76" s="1297">
        <v>8188282</v>
      </c>
      <c r="E76" s="444"/>
      <c r="F76" s="326"/>
    </row>
    <row r="77" spans="1:6">
      <c r="A77" s="1296" t="s">
        <v>65</v>
      </c>
      <c r="B77" s="1296" t="s">
        <v>632</v>
      </c>
      <c r="C77" s="1309" t="s">
        <v>638</v>
      </c>
      <c r="D77" s="1297">
        <v>228153203</v>
      </c>
      <c r="E77" s="444"/>
      <c r="F77" s="326"/>
    </row>
    <row r="78" spans="1:6">
      <c r="A78" s="1291" t="s">
        <v>65</v>
      </c>
      <c r="B78" s="1291" t="s">
        <v>633</v>
      </c>
      <c r="C78" s="1291" t="s">
        <v>639</v>
      </c>
      <c r="D78" s="1299">
        <v>20789586</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1072876</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28602.810955918536</v>
      </c>
      <c r="C90" s="326"/>
      <c r="D90" s="326"/>
      <c r="E90" s="326"/>
      <c r="F90" s="326"/>
    </row>
    <row r="91" spans="1:6">
      <c r="A91" s="1296" t="s">
        <v>67</v>
      </c>
      <c r="B91" s="1297">
        <v>3890.6757928956627</v>
      </c>
      <c r="C91" s="326"/>
      <c r="D91" s="326"/>
      <c r="E91" s="326"/>
      <c r="F91" s="326"/>
    </row>
    <row r="92" spans="1:6">
      <c r="A92" s="1291" t="s">
        <v>68</v>
      </c>
      <c r="B92" s="1292">
        <v>2348.6633120457427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8417</v>
      </c>
      <c r="C97" s="326"/>
      <c r="D97" s="326"/>
      <c r="E97" s="326"/>
      <c r="F97" s="326"/>
    </row>
    <row r="98" spans="1:6">
      <c r="A98" s="1296" t="s">
        <v>71</v>
      </c>
      <c r="B98" s="1297">
        <v>12</v>
      </c>
      <c r="C98" s="326"/>
      <c r="D98" s="326"/>
      <c r="E98" s="326"/>
      <c r="F98" s="326"/>
    </row>
    <row r="99" spans="1:6">
      <c r="A99" s="1296" t="s">
        <v>72</v>
      </c>
      <c r="B99" s="1297">
        <v>88</v>
      </c>
      <c r="C99" s="326"/>
      <c r="D99" s="326"/>
      <c r="E99" s="326"/>
      <c r="F99" s="326"/>
    </row>
    <row r="100" spans="1:6">
      <c r="A100" s="1296" t="s">
        <v>73</v>
      </c>
      <c r="B100" s="1297">
        <v>1444</v>
      </c>
      <c r="C100" s="326"/>
      <c r="D100" s="326"/>
      <c r="E100" s="326"/>
      <c r="F100" s="326"/>
    </row>
    <row r="101" spans="1:6">
      <c r="A101" s="1296" t="s">
        <v>74</v>
      </c>
      <c r="B101" s="1297">
        <v>114</v>
      </c>
      <c r="C101" s="326"/>
      <c r="D101" s="326"/>
      <c r="E101" s="326"/>
      <c r="F101" s="326"/>
    </row>
    <row r="102" spans="1:6">
      <c r="A102" s="1296" t="s">
        <v>75</v>
      </c>
      <c r="B102" s="1297">
        <v>218</v>
      </c>
      <c r="C102" s="326"/>
      <c r="D102" s="326"/>
      <c r="E102" s="326"/>
      <c r="F102" s="326"/>
    </row>
    <row r="103" spans="1:6">
      <c r="A103" s="1296" t="s">
        <v>76</v>
      </c>
      <c r="B103" s="1297">
        <v>298</v>
      </c>
      <c r="C103" s="326"/>
      <c r="D103" s="326"/>
      <c r="E103" s="326"/>
      <c r="F103" s="326"/>
    </row>
    <row r="104" spans="1:6">
      <c r="A104" s="1296" t="s">
        <v>77</v>
      </c>
      <c r="B104" s="1297">
        <v>3161</v>
      </c>
      <c r="C104" s="326"/>
      <c r="D104" s="326"/>
      <c r="E104" s="326"/>
      <c r="F104" s="326"/>
    </row>
    <row r="105" spans="1:6">
      <c r="A105" s="1291" t="s">
        <v>78</v>
      </c>
      <c r="B105" s="1299">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35</v>
      </c>
      <c r="C123" s="1297">
        <v>26</v>
      </c>
      <c r="D123" s="326"/>
      <c r="E123" s="326"/>
      <c r="F123" s="326"/>
    </row>
    <row r="124" spans="1:6">
      <c r="A124" s="1296" t="s">
        <v>88</v>
      </c>
      <c r="B124" s="1297">
        <v>2</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138</v>
      </c>
      <c r="C129" s="326"/>
      <c r="D129" s="326"/>
      <c r="E129" s="326"/>
      <c r="F129" s="326"/>
    </row>
    <row r="130" spans="1:6">
      <c r="A130" s="1296" t="s">
        <v>283</v>
      </c>
      <c r="B130" s="1297">
        <v>0</v>
      </c>
      <c r="C130" s="326"/>
      <c r="D130" s="326"/>
      <c r="E130" s="326"/>
      <c r="F130" s="326"/>
    </row>
    <row r="131" spans="1:6">
      <c r="A131" s="1296" t="s">
        <v>284</v>
      </c>
      <c r="B131" s="1297">
        <v>3</v>
      </c>
      <c r="C131" s="326"/>
      <c r="D131" s="326"/>
      <c r="E131" s="326"/>
      <c r="F131" s="326"/>
    </row>
    <row r="132" spans="1:6">
      <c r="A132" s="1291" t="s">
        <v>285</v>
      </c>
      <c r="B132" s="1292">
        <v>14</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211632.95159782239</v>
      </c>
      <c r="C3" s="43" t="s">
        <v>163</v>
      </c>
      <c r="D3" s="43"/>
      <c r="E3" s="154"/>
      <c r="F3" s="43"/>
      <c r="G3" s="43"/>
      <c r="H3" s="43"/>
      <c r="I3" s="43"/>
      <c r="J3" s="43"/>
      <c r="K3" s="96"/>
    </row>
    <row r="4" spans="1:11">
      <c r="A4" s="352" t="s">
        <v>164</v>
      </c>
      <c r="B4" s="49">
        <f>IF(ISERROR('SEAP template'!B78+'SEAP template'!C78),0,'SEAP template'!B78+'SEAP template'!C78)</f>
        <v>43932.150060859945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950.70705882352934</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0.1796156218183339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1358.1529411764707</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12985.714285714286</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0.10458823529411765</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2469.7820000000002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2469.7820000000002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0.1796156218183339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443.61142968572835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56720.34261</v>
      </c>
      <c r="C5" s="17">
        <f>IF(ISERROR('Eigen informatie GS &amp; warmtenet'!B59),0,'Eigen informatie GS &amp; warmtenet'!B59)</f>
        <v>0</v>
      </c>
      <c r="D5" s="30">
        <f>(SUM(HH_hh_gas_kWh,HH_rest_gas_kWh)/1000)*0.902</f>
        <v>166354.73953560003</v>
      </c>
      <c r="E5" s="17">
        <f>B32*B41</f>
        <v>3683.9766942768852</v>
      </c>
      <c r="F5" s="17">
        <f>B36*B45</f>
        <v>59390.614339218424</v>
      </c>
      <c r="G5" s="18"/>
      <c r="H5" s="17"/>
      <c r="I5" s="17"/>
      <c r="J5" s="17">
        <f>B35*B44+C35*C44</f>
        <v>237.26288586244362</v>
      </c>
      <c r="K5" s="17"/>
      <c r="L5" s="17"/>
      <c r="M5" s="17"/>
      <c r="N5" s="17">
        <f>B34*B43+C34*C43</f>
        <v>21409.706468044627</v>
      </c>
      <c r="O5" s="17">
        <f>B52*B53*B54</f>
        <v>325.36914797947321</v>
      </c>
      <c r="P5" s="17">
        <f>B60*B61*B62/1000-B60*B61*B62/1000/B63</f>
        <v>537.23192469193623</v>
      </c>
    </row>
    <row r="6" spans="1:16">
      <c r="A6" s="16" t="s">
        <v>598</v>
      </c>
      <c r="B6" s="776">
        <f>kWh_PV_kleiner_dan_10kW</f>
        <v>3890.6757928956627</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60611.018402895665</v>
      </c>
      <c r="C8" s="21">
        <f>C5</f>
        <v>0</v>
      </c>
      <c r="D8" s="21">
        <f>D5</f>
        <v>166354.73953560003</v>
      </c>
      <c r="E8" s="21">
        <f>E5</f>
        <v>3683.9766942768852</v>
      </c>
      <c r="F8" s="21">
        <f>F5</f>
        <v>59390.614339218424</v>
      </c>
      <c r="G8" s="21"/>
      <c r="H8" s="21"/>
      <c r="I8" s="21"/>
      <c r="J8" s="21">
        <f>J5</f>
        <v>237.26288586244362</v>
      </c>
      <c r="K8" s="21"/>
      <c r="L8" s="21">
        <f>L5</f>
        <v>0</v>
      </c>
      <c r="M8" s="21">
        <f>M5</f>
        <v>0</v>
      </c>
      <c r="N8" s="21">
        <f>N5</f>
        <v>21409.706468044627</v>
      </c>
      <c r="O8" s="21">
        <f>O5</f>
        <v>325.36914797947321</v>
      </c>
      <c r="P8" s="21">
        <f>P5</f>
        <v>537.23192469193623</v>
      </c>
    </row>
    <row r="9" spans="1:16">
      <c r="B9" s="19"/>
      <c r="C9" s="19"/>
      <c r="D9" s="256"/>
      <c r="E9" s="19"/>
      <c r="F9" s="19"/>
      <c r="G9" s="19"/>
      <c r="H9" s="19"/>
      <c r="I9" s="19"/>
      <c r="J9" s="19"/>
      <c r="K9" s="19"/>
      <c r="L9" s="19"/>
      <c r="M9" s="19"/>
      <c r="N9" s="19"/>
      <c r="O9" s="19"/>
      <c r="P9" s="19"/>
    </row>
    <row r="10" spans="1:16">
      <c r="A10" s="24" t="s">
        <v>207</v>
      </c>
      <c r="B10" s="25">
        <f ca="1">'EF ele_warmte'!B12</f>
        <v>0.1796156218183339</v>
      </c>
      <c r="C10" s="25">
        <f ca="1">'EF ele_warmte'!B22</f>
        <v>0.10458823529411765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10886.685759478585</v>
      </c>
      <c r="C12" s="23">
        <f ca="1">C10*C8</f>
        <v>0</v>
      </c>
      <c r="D12" s="23">
        <f>D8*D10</f>
        <v>33603.657386191211</v>
      </c>
      <c r="E12" s="23">
        <f>E10*E8</f>
        <v>836.26270960085299</v>
      </c>
      <c r="F12" s="23">
        <f>F10*F8</f>
        <v>15857.294028571319</v>
      </c>
      <c r="G12" s="23"/>
      <c r="H12" s="23"/>
      <c r="I12" s="23"/>
      <c r="J12" s="23">
        <f>J10*J8</f>
        <v>83.991061595305041</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16273</v>
      </c>
      <c r="C26" s="36"/>
      <c r="D26" s="226"/>
    </row>
    <row r="27" spans="1:7" s="15" customFormat="1">
      <c r="A27" s="228" t="s">
        <v>800</v>
      </c>
      <c r="B27" s="37">
        <f>SUM(HH_hh_gas_aantal,HH_rest_gas_aantal)</f>
        <v>12580</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11951</v>
      </c>
      <c r="C31" s="166" t="s">
        <v>104</v>
      </c>
      <c r="D31" s="231"/>
      <c r="G31" s="15"/>
    </row>
    <row r="32" spans="1:7">
      <c r="A32" s="169" t="s">
        <v>72</v>
      </c>
      <c r="B32" s="166">
        <f>IF((B21*($B$26-($B$27-0.05*$B$27)-$B$60))&lt;0,0,B21*($B$26-($B$27-0.05*$B$27)-$B$60))</f>
        <v>67.80297362179509</v>
      </c>
      <c r="C32" s="166" t="s">
        <v>104</v>
      </c>
      <c r="D32" s="231"/>
      <c r="G32" s="15"/>
    </row>
    <row r="33" spans="1:7">
      <c r="A33" s="169" t="s">
        <v>73</v>
      </c>
      <c r="B33" s="166">
        <f>IF((B22*($B$26-($B$27-0.05*$B$27)-$B$60))&lt;0,0,B22*($B$26-($B$27-0.05*$B$27)-$B$60))</f>
        <v>1100.9860063547944</v>
      </c>
      <c r="C33" s="166" t="s">
        <v>104</v>
      </c>
      <c r="D33" s="231"/>
      <c r="G33" s="15"/>
    </row>
    <row r="34" spans="1:7">
      <c r="A34" s="169" t="s">
        <v>74</v>
      </c>
      <c r="B34" s="166">
        <f>IF((B24*($B$26-($B$27-0.05*$B$27)-$B$60))&lt;0,0,B24*($B$26-($B$27-0.05*$B$27)-$B$60))</f>
        <v>211.07375132391422</v>
      </c>
      <c r="C34" s="166">
        <f>B26*C24</f>
        <v>3334.4343584718931</v>
      </c>
      <c r="D34" s="231"/>
      <c r="G34" s="15"/>
    </row>
    <row r="35" spans="1:7">
      <c r="A35" s="169" t="s">
        <v>76</v>
      </c>
      <c r="B35" s="166">
        <f>IF((B19*($B$26-($B$27-0.05*$B$27)-$B$60))&lt;0,0,B19*($B$26-($B$27-0.05*$B$27)-$B$60))</f>
        <v>29.473790986680719</v>
      </c>
      <c r="C35" s="166">
        <f>B35/2</f>
        <v>14.736895493340359</v>
      </c>
      <c r="D35" s="232"/>
      <c r="G35" s="15"/>
    </row>
    <row r="36" spans="1:7">
      <c r="A36" s="169" t="s">
        <v>77</v>
      </c>
      <c r="B36" s="166">
        <f>IF((B18*($B$26-($B$27-0.05*$B$27)-$B$60))&lt;0,0,B18*($B$26-($B$27-0.05*$B$27)-$B$60))</f>
        <v>2861.6634777128147</v>
      </c>
      <c r="C36" s="166" t="s">
        <v>104</v>
      </c>
      <c r="D36" s="232"/>
      <c r="G36" s="15"/>
    </row>
    <row r="37" spans="1:7">
      <c r="A37" s="169" t="s">
        <v>78</v>
      </c>
      <c r="B37" s="166">
        <f>B60</f>
        <v>51</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164</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51</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80488.883853000007</v>
      </c>
      <c r="C5" s="17">
        <f>IF(ISERROR('Eigen informatie GS &amp; warmtenet'!B60),0,'Eigen informatie GS &amp; warmtenet'!B60)</f>
        <v>0</v>
      </c>
      <c r="D5" s="30">
        <f>SUM(D6:D12)</f>
        <v>103729.52103168599</v>
      </c>
      <c r="E5" s="17">
        <f>SUM(E6:E12)</f>
        <v>1708.2266074094666</v>
      </c>
      <c r="F5" s="17">
        <f>SUM(F6:F12)</f>
        <v>8391.3721983536034</v>
      </c>
      <c r="G5" s="18"/>
      <c r="H5" s="17"/>
      <c r="I5" s="17"/>
      <c r="J5" s="17">
        <f>SUM(J6:J12)</f>
        <v>6.3458702574674355E-2</v>
      </c>
      <c r="K5" s="17"/>
      <c r="L5" s="17"/>
      <c r="M5" s="17"/>
      <c r="N5" s="17">
        <f>SUM(N6:N12)</f>
        <v>2522.2509293744511</v>
      </c>
      <c r="O5" s="17">
        <f>B38*B39*B40</f>
        <v>0</v>
      </c>
      <c r="P5" s="17">
        <f>B46*B47*B48/1000-B46*B47*B48/1000/B49</f>
        <v>157.61741491948504</v>
      </c>
      <c r="R5" s="32"/>
    </row>
    <row r="6" spans="1:18">
      <c r="A6" s="32" t="s">
        <v>53</v>
      </c>
      <c r="B6" s="37">
        <f>B26</f>
        <v>5856.1540969999996</v>
      </c>
      <c r="C6" s="33"/>
      <c r="D6" s="37">
        <f>IF(ISERROR(TER_kantoor_gas_kWh/1000),0,TER_kantoor_gas_kWh/1000)*0.902</f>
        <v>10920.943352</v>
      </c>
      <c r="E6" s="33">
        <f>$C$26*'E Balans VL '!I12/100/3.6*1000000</f>
        <v>47.122594387631246</v>
      </c>
      <c r="F6" s="33">
        <f>$C$26*('E Balans VL '!L12+'E Balans VL '!N12)/100/3.6*1000000</f>
        <v>715.97644312703335</v>
      </c>
      <c r="G6" s="34"/>
      <c r="H6" s="33"/>
      <c r="I6" s="33"/>
      <c r="J6" s="33">
        <f>$C$26*('E Balans VL '!D12+'E Balans VL '!E12)/100/3.6*1000000</f>
        <v>0</v>
      </c>
      <c r="K6" s="33"/>
      <c r="L6" s="33"/>
      <c r="M6" s="33"/>
      <c r="N6" s="33">
        <f>$C$26*'E Balans VL '!Y12/100/3.6*1000000</f>
        <v>3.1473944427613612</v>
      </c>
      <c r="O6" s="33"/>
      <c r="P6" s="33"/>
      <c r="R6" s="32"/>
    </row>
    <row r="7" spans="1:18">
      <c r="A7" s="32" t="s">
        <v>52</v>
      </c>
      <c r="B7" s="37">
        <f t="shared" ref="B7:B12" si="0">B27</f>
        <v>4997.03791</v>
      </c>
      <c r="C7" s="33"/>
      <c r="D7" s="37">
        <f>IF(ISERROR(TER_horeca_gas_kWh/1000),0,TER_horeca_gas_kWh/1000)*0.902</f>
        <v>7478.5599445259995</v>
      </c>
      <c r="E7" s="33">
        <f>$C$27*'E Balans VL '!I9/100/3.6*1000000</f>
        <v>53.655916573537269</v>
      </c>
      <c r="F7" s="33">
        <f>$C$27*('E Balans VL '!L9+'E Balans VL '!N9)/100/3.6*1000000</f>
        <v>601.02248893628303</v>
      </c>
      <c r="G7" s="34"/>
      <c r="H7" s="33"/>
      <c r="I7" s="33"/>
      <c r="J7" s="33">
        <f>$C$27*('E Balans VL '!D9+'E Balans VL '!E9)/100/3.6*1000000</f>
        <v>0</v>
      </c>
      <c r="K7" s="33"/>
      <c r="L7" s="33"/>
      <c r="M7" s="33"/>
      <c r="N7" s="33">
        <f>$C$27*'E Balans VL '!Y9/100/3.6*1000000</f>
        <v>0.74915726090918522</v>
      </c>
      <c r="O7" s="33"/>
      <c r="P7" s="33"/>
      <c r="R7" s="32"/>
    </row>
    <row r="8" spans="1:18">
      <c r="A8" s="6" t="s">
        <v>51</v>
      </c>
      <c r="B8" s="37">
        <f t="shared" si="0"/>
        <v>51464.074670000002</v>
      </c>
      <c r="C8" s="33"/>
      <c r="D8" s="37">
        <f>IF(ISERROR(TER_handel_gas_kWh/1000),0,TER_handel_gas_kWh/1000)*0.902</f>
        <v>56139.826446879997</v>
      </c>
      <c r="E8" s="33">
        <f>$C$28*'E Balans VL '!I13/100/3.6*1000000</f>
        <v>1381.1382084066138</v>
      </c>
      <c r="F8" s="33">
        <f>$C$28*('E Balans VL '!L13+'E Balans VL '!N13)/100/3.6*1000000</f>
        <v>4911.2588871981698</v>
      </c>
      <c r="G8" s="34"/>
      <c r="H8" s="33"/>
      <c r="I8" s="33"/>
      <c r="J8" s="33">
        <f>$C$28*('E Balans VL '!D13+'E Balans VL '!E13)/100/3.6*1000000</f>
        <v>0</v>
      </c>
      <c r="K8" s="33"/>
      <c r="L8" s="33"/>
      <c r="M8" s="33"/>
      <c r="N8" s="33">
        <f>$C$28*'E Balans VL '!Y13/100/3.6*1000000</f>
        <v>20.400944365555407</v>
      </c>
      <c r="O8" s="33"/>
      <c r="P8" s="33"/>
      <c r="R8" s="32"/>
    </row>
    <row r="9" spans="1:18">
      <c r="A9" s="32" t="s">
        <v>50</v>
      </c>
      <c r="B9" s="37">
        <f t="shared" si="0"/>
        <v>880.2389300000001</v>
      </c>
      <c r="C9" s="33"/>
      <c r="D9" s="37">
        <f>IF(ISERROR(TER_gezond_gas_kWh/1000),0,TER_gezond_gas_kWh/1000)*0.902</f>
        <v>1998.69148193</v>
      </c>
      <c r="E9" s="33">
        <f>$C$29*'E Balans VL '!I10/100/3.6*1000000</f>
        <v>1.6498543730616606</v>
      </c>
      <c r="F9" s="33">
        <f>$C$29*('E Balans VL '!L10+'E Balans VL '!N10)/100/3.6*1000000</f>
        <v>72.363671607377825</v>
      </c>
      <c r="G9" s="34"/>
      <c r="H9" s="33"/>
      <c r="I9" s="33"/>
      <c r="J9" s="33">
        <f>$C$29*('E Balans VL '!D10+'E Balans VL '!E10)/100/3.6*1000000</f>
        <v>0</v>
      </c>
      <c r="K9" s="33"/>
      <c r="L9" s="33"/>
      <c r="M9" s="33"/>
      <c r="N9" s="33">
        <f>$C$29*'E Balans VL '!Y10/100/3.6*1000000</f>
        <v>6.8489156280085624</v>
      </c>
      <c r="O9" s="33"/>
      <c r="P9" s="33"/>
      <c r="R9" s="32"/>
    </row>
    <row r="10" spans="1:18">
      <c r="A10" s="32" t="s">
        <v>49</v>
      </c>
      <c r="B10" s="37">
        <f t="shared" si="0"/>
        <v>2291.151875</v>
      </c>
      <c r="C10" s="33"/>
      <c r="D10" s="37">
        <f>IF(ISERROR(TER_ander_gas_kWh/1000),0,TER_ander_gas_kWh/1000)*0.902</f>
        <v>2918.4205643340001</v>
      </c>
      <c r="E10" s="33">
        <f>$C$30*'E Balans VL '!I14/100/3.6*1000000</f>
        <v>3.5318338311957342</v>
      </c>
      <c r="F10" s="33">
        <f>$C$30*('E Balans VL '!L14+'E Balans VL '!N14)/100/3.6*1000000</f>
        <v>355.70196110099954</v>
      </c>
      <c r="G10" s="34"/>
      <c r="H10" s="33"/>
      <c r="I10" s="33"/>
      <c r="J10" s="33">
        <f>$C$30*('E Balans VL '!D14+'E Balans VL '!E14)/100/3.6*1000000</f>
        <v>3.8894719383712556E-2</v>
      </c>
      <c r="K10" s="33"/>
      <c r="L10" s="33"/>
      <c r="M10" s="33"/>
      <c r="N10" s="33">
        <f>$C$30*'E Balans VL '!Y14/100/3.6*1000000</f>
        <v>1515.7526496336056</v>
      </c>
      <c r="O10" s="33"/>
      <c r="P10" s="33"/>
      <c r="R10" s="32"/>
    </row>
    <row r="11" spans="1:18">
      <c r="A11" s="32" t="s">
        <v>54</v>
      </c>
      <c r="B11" s="37">
        <f t="shared" si="0"/>
        <v>2182.7667609999999</v>
      </c>
      <c r="C11" s="33"/>
      <c r="D11" s="37">
        <f>IF(ISERROR(TER_onderwijs_gas_kWh/1000),0,TER_onderwijs_gas_kWh/1000)*0.902</f>
        <v>6141.8465061360002</v>
      </c>
      <c r="E11" s="33">
        <f>$C$31*'E Balans VL '!I11/100/3.6*1000000</f>
        <v>55.675460825658476</v>
      </c>
      <c r="F11" s="33">
        <f>$C$31*('E Balans VL '!L11+'E Balans VL '!N11)/100/3.6*1000000</f>
        <v>262.49824799338489</v>
      </c>
      <c r="G11" s="34"/>
      <c r="H11" s="33"/>
      <c r="I11" s="33"/>
      <c r="J11" s="33">
        <f>$C$31*('E Balans VL '!D11+'E Balans VL '!E11)/100/3.6*1000000</f>
        <v>0</v>
      </c>
      <c r="K11" s="33"/>
      <c r="L11" s="33"/>
      <c r="M11" s="33"/>
      <c r="N11" s="33">
        <f>$C$31*'E Balans VL '!Y11/100/3.6*1000000</f>
        <v>4.8544200164961078</v>
      </c>
      <c r="O11" s="33"/>
      <c r="P11" s="33"/>
      <c r="R11" s="32"/>
    </row>
    <row r="12" spans="1:18">
      <c r="A12" s="32" t="s">
        <v>248</v>
      </c>
      <c r="B12" s="37">
        <f t="shared" si="0"/>
        <v>12817.45961</v>
      </c>
      <c r="C12" s="33"/>
      <c r="D12" s="37">
        <f>IF(ISERROR(TER_rest_gas_kWh/1000),0,TER_rest_gas_kWh/1000)*0.902</f>
        <v>18131.232735880003</v>
      </c>
      <c r="E12" s="33">
        <f>$C$32*'E Balans VL '!I8/100/3.6*1000000</f>
        <v>165.45273901176856</v>
      </c>
      <c r="F12" s="33">
        <f>$C$32*('E Balans VL '!L8+'E Balans VL '!N8)/100/3.6*1000000</f>
        <v>1472.550498390355</v>
      </c>
      <c r="G12" s="34"/>
      <c r="H12" s="33"/>
      <c r="I12" s="33"/>
      <c r="J12" s="33">
        <f>$C$32*('E Balans VL '!D8+'E Balans VL '!E8)/100/3.6*1000000</f>
        <v>2.4563983190961796E-2</v>
      </c>
      <c r="K12" s="33"/>
      <c r="L12" s="33"/>
      <c r="M12" s="33"/>
      <c r="N12" s="33">
        <f>$C$32*'E Balans VL '!Y8/100/3.6*1000000</f>
        <v>970.49744802711473</v>
      </c>
      <c r="O12" s="33"/>
      <c r="P12" s="33"/>
      <c r="R12" s="32"/>
    </row>
    <row r="13" spans="1:18">
      <c r="A13" s="16" t="s">
        <v>465</v>
      </c>
      <c r="B13" s="245">
        <f ca="1">'lokale energieproductie'!N39+'lokale energieproductie'!N32</f>
        <v>4000.5</v>
      </c>
      <c r="C13" s="245">
        <f ca="1">'lokale energieproductie'!O39+'lokale energieproductie'!O32</f>
        <v>5715</v>
      </c>
      <c r="D13" s="304">
        <f ca="1">('lokale energieproductie'!P32+'lokale energieproductie'!P39)*(-1)</f>
        <v>-11430</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84489.383853000007</v>
      </c>
      <c r="C16" s="21">
        <f t="shared" ca="1" si="1"/>
        <v>5715</v>
      </c>
      <c r="D16" s="21">
        <f t="shared" ca="1" si="1"/>
        <v>92299.521031685988</v>
      </c>
      <c r="E16" s="21">
        <f t="shared" si="1"/>
        <v>1708.2266074094666</v>
      </c>
      <c r="F16" s="21">
        <f t="shared" ca="1" si="1"/>
        <v>8391.3721983536034</v>
      </c>
      <c r="G16" s="21">
        <f t="shared" si="1"/>
        <v>0</v>
      </c>
      <c r="H16" s="21">
        <f t="shared" si="1"/>
        <v>0</v>
      </c>
      <c r="I16" s="21">
        <f t="shared" si="1"/>
        <v>0</v>
      </c>
      <c r="J16" s="21">
        <f t="shared" si="1"/>
        <v>6.3458702574674355E-2</v>
      </c>
      <c r="K16" s="21">
        <f t="shared" si="1"/>
        <v>0</v>
      </c>
      <c r="L16" s="21">
        <f t="shared" ca="1" si="1"/>
        <v>0</v>
      </c>
      <c r="M16" s="21">
        <f t="shared" si="1"/>
        <v>0</v>
      </c>
      <c r="N16" s="21">
        <f t="shared" ca="1" si="1"/>
        <v>2522.2509293744511</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0.1796156218183339</v>
      </c>
      <c r="C18" s="25">
        <f ca="1">'EF ele_warmte'!B22</f>
        <v>0.10458823529411765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15175.613217804495</v>
      </c>
      <c r="C20" s="23">
        <f t="shared" ref="C20:P20" ca="1" si="2">C16*C18</f>
        <v>597.72176470588238</v>
      </c>
      <c r="D20" s="23">
        <f t="shared" ca="1" si="2"/>
        <v>18644.503248400571</v>
      </c>
      <c r="E20" s="23">
        <f t="shared" si="2"/>
        <v>387.76743988194892</v>
      </c>
      <c r="F20" s="23">
        <f t="shared" ca="1" si="2"/>
        <v>2240.4963769604124</v>
      </c>
      <c r="G20" s="23">
        <f t="shared" si="2"/>
        <v>0</v>
      </c>
      <c r="H20" s="23">
        <f t="shared" si="2"/>
        <v>0</v>
      </c>
      <c r="I20" s="23">
        <f t="shared" si="2"/>
        <v>0</v>
      </c>
      <c r="J20" s="23">
        <f t="shared" si="2"/>
        <v>2.2464380711434719E-2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5856.1540969999996</v>
      </c>
      <c r="C26" s="39">
        <f>IF(ISERROR(B26*3.6/1000000/'E Balans VL '!Z12*100),0,B26*3.6/1000000/'E Balans VL '!Z12*100)</f>
        <v>0.12423295140210813</v>
      </c>
      <c r="D26" s="235" t="s">
        <v>692</v>
      </c>
      <c r="F26" s="6"/>
    </row>
    <row r="27" spans="1:18">
      <c r="A27" s="229" t="s">
        <v>52</v>
      </c>
      <c r="B27" s="33">
        <f>IF(ISERROR(TER_horeca_ele_kWh/1000),0,TER_horeca_ele_kWh/1000)</f>
        <v>4997.03791</v>
      </c>
      <c r="C27" s="39">
        <f>IF(ISERROR(B27*3.6/1000000/'E Balans VL '!Z9*100),0,B27*3.6/1000000/'E Balans VL '!Z9*100)</f>
        <v>0.37632122091609427</v>
      </c>
      <c r="D27" s="235" t="s">
        <v>692</v>
      </c>
      <c r="F27" s="6"/>
    </row>
    <row r="28" spans="1:18">
      <c r="A28" s="169" t="s">
        <v>51</v>
      </c>
      <c r="B28" s="33">
        <f>IF(ISERROR(TER_handel_ele_kWh/1000),0,TER_handel_ele_kWh/1000)</f>
        <v>51464.074670000002</v>
      </c>
      <c r="C28" s="39">
        <f>IF(ISERROR(B28*3.6/1000000/'E Balans VL '!Z13*100),0,B28*3.6/1000000/'E Balans VL '!Z13*100)</f>
        <v>1.493819736226156</v>
      </c>
      <c r="D28" s="235" t="s">
        <v>692</v>
      </c>
      <c r="F28" s="6"/>
    </row>
    <row r="29" spans="1:18">
      <c r="A29" s="229" t="s">
        <v>50</v>
      </c>
      <c r="B29" s="33">
        <f>IF(ISERROR(TER_gezond_ele_kWh/1000),0,TER_gezond_ele_kWh/1000)</f>
        <v>880.2389300000001</v>
      </c>
      <c r="C29" s="39">
        <f>IF(ISERROR(B29*3.6/1000000/'E Balans VL '!Z10*100),0,B29*3.6/1000000/'E Balans VL '!Z10*100)</f>
        <v>8.8773145818178509E-2</v>
      </c>
      <c r="D29" s="235" t="s">
        <v>692</v>
      </c>
      <c r="F29" s="6"/>
    </row>
    <row r="30" spans="1:18">
      <c r="A30" s="229" t="s">
        <v>49</v>
      </c>
      <c r="B30" s="33">
        <f>IF(ISERROR(TER_ander_ele_kWh/1000),0,TER_ander_ele_kWh/1000)</f>
        <v>2291.151875</v>
      </c>
      <c r="C30" s="39">
        <f>IF(ISERROR(B30*3.6/1000000/'E Balans VL '!Z14*100),0,B30*3.6/1000000/'E Balans VL '!Z14*100)</f>
        <v>0.16625432557396269</v>
      </c>
      <c r="D30" s="235" t="s">
        <v>692</v>
      </c>
      <c r="F30" s="6"/>
    </row>
    <row r="31" spans="1:18">
      <c r="A31" s="229" t="s">
        <v>54</v>
      </c>
      <c r="B31" s="33">
        <f>IF(ISERROR(TER_onderwijs_ele_kWh/1000),0,TER_onderwijs_ele_kWh/1000)</f>
        <v>2182.7667609999999</v>
      </c>
      <c r="C31" s="39">
        <f>IF(ISERROR(B31*3.6/1000000/'E Balans VL '!Z11*100),0,B31*3.6/1000000/'E Balans VL '!Z11*100)</f>
        <v>0.6221774132863811</v>
      </c>
      <c r="D31" s="235" t="s">
        <v>692</v>
      </c>
    </row>
    <row r="32" spans="1:18">
      <c r="A32" s="229" t="s">
        <v>248</v>
      </c>
      <c r="B32" s="33">
        <f>IF(ISERROR(TER_rest_ele_kWh/1000),0,TER_rest_ele_kWh/1000)</f>
        <v>12817.45961</v>
      </c>
      <c r="C32" s="39">
        <f>IF(ISERROR(B32*3.6/1000000/'E Balans VL '!Z8*100),0,B32*3.6/1000000/'E Balans VL '!Z8*100)</f>
        <v>0.10499801833082922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3</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60540.357283000005</v>
      </c>
      <c r="C5" s="17">
        <f>IF(ISERROR('Eigen informatie GS &amp; warmtenet'!B61),0,'Eigen informatie GS &amp; warmtenet'!B61)</f>
        <v>0</v>
      </c>
      <c r="D5" s="30">
        <f>SUM(D6:D15)</f>
        <v>30681.917815802</v>
      </c>
      <c r="E5" s="17">
        <f>SUM(E6:E15)</f>
        <v>9094.0699610464617</v>
      </c>
      <c r="F5" s="17">
        <f>SUM(F6:F15)</f>
        <v>28436.81125805488</v>
      </c>
      <c r="G5" s="18"/>
      <c r="H5" s="17"/>
      <c r="I5" s="17"/>
      <c r="J5" s="17">
        <f>SUM(J6:J15)</f>
        <v>270.73439047179625</v>
      </c>
      <c r="K5" s="17"/>
      <c r="L5" s="17"/>
      <c r="M5" s="17"/>
      <c r="N5" s="17">
        <f>SUM(N6:N15)</f>
        <v>3273.5543195688906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651.90890400000001</v>
      </c>
      <c r="C8" s="33"/>
      <c r="D8" s="37">
        <f>IF( ISERROR(IND_metaal_Gas_kWH/1000),0,IND_metaal_Gas_kWH/1000)*0.902</f>
        <v>772.9884264960001</v>
      </c>
      <c r="E8" s="33">
        <f>C30*'E Balans VL '!I18/100/3.6*1000000</f>
        <v>4.7030651899285223</v>
      </c>
      <c r="F8" s="33">
        <f>C30*'E Balans VL '!L18/100/3.6*1000000+C30*'E Balans VL '!N18/100/3.6*1000000</f>
        <v>61.658561960238899</v>
      </c>
      <c r="G8" s="34"/>
      <c r="H8" s="33"/>
      <c r="I8" s="33"/>
      <c r="J8" s="40">
        <f>C30*'E Balans VL '!D18/100/3.6*1000000+C30*'E Balans VL '!E18/100/3.6*1000000</f>
        <v>0.65569376401499546</v>
      </c>
      <c r="K8" s="33"/>
      <c r="L8" s="33"/>
      <c r="M8" s="33"/>
      <c r="N8" s="33">
        <f>C30*'E Balans VL '!Y18/100/3.6*1000000</f>
        <v>8.2418533272385091</v>
      </c>
      <c r="O8" s="33"/>
      <c r="P8" s="33"/>
      <c r="R8" s="32"/>
    </row>
    <row r="9" spans="1:18">
      <c r="A9" s="6" t="s">
        <v>32</v>
      </c>
      <c r="B9" s="37">
        <f t="shared" si="0"/>
        <v>27284.335739999999</v>
      </c>
      <c r="C9" s="33"/>
      <c r="D9" s="37">
        <f>IF( ISERROR(IND_andere_gas_kWh/1000),0,IND_andere_gas_kWh/1000)*0.902</f>
        <v>1980.0664844180001</v>
      </c>
      <c r="E9" s="33">
        <f>C31*'E Balans VL '!I19/100/3.6*1000000</f>
        <v>7560.8542708304694</v>
      </c>
      <c r="F9" s="33">
        <f>C31*'E Balans VL '!L19/100/3.6*1000000+C31*'E Balans VL '!N19/100/3.6*1000000</f>
        <v>22613.316423215951</v>
      </c>
      <c r="G9" s="34"/>
      <c r="H9" s="33"/>
      <c r="I9" s="33"/>
      <c r="J9" s="40">
        <f>C31*'E Balans VL '!D19/100/3.6*1000000+C31*'E Balans VL '!E19/100/3.6*1000000</f>
        <v>0</v>
      </c>
      <c r="K9" s="33"/>
      <c r="L9" s="33"/>
      <c r="M9" s="33"/>
      <c r="N9" s="33">
        <f>C31*'E Balans VL '!Y19/100/3.6*1000000</f>
        <v>1980.5090511695669</v>
      </c>
      <c r="O9" s="33"/>
      <c r="P9" s="33"/>
      <c r="R9" s="32"/>
    </row>
    <row r="10" spans="1:18">
      <c r="A10" s="6" t="s">
        <v>40</v>
      </c>
      <c r="B10" s="37">
        <f t="shared" si="0"/>
        <v>244.69868100000002</v>
      </c>
      <c r="C10" s="33"/>
      <c r="D10" s="37">
        <f>IF( ISERROR(IND_voed_gas_kWh/1000),0,IND_voed_gas_kWh/1000)*0.902</f>
        <v>105.73511894000001</v>
      </c>
      <c r="E10" s="33">
        <f>C32*'E Balans VL '!I20/100/3.6*1000000</f>
        <v>0.43319955012723399</v>
      </c>
      <c r="F10" s="33">
        <f>C32*'E Balans VL '!L20/100/3.6*1000000+C32*'E Balans VL '!N20/100/3.6*1000000</f>
        <v>13.215897518955746</v>
      </c>
      <c r="G10" s="34"/>
      <c r="H10" s="33"/>
      <c r="I10" s="33"/>
      <c r="J10" s="40">
        <f>C32*'E Balans VL '!D20/100/3.6*1000000+C32*'E Balans VL '!E20/100/3.6*1000000</f>
        <v>0</v>
      </c>
      <c r="K10" s="33"/>
      <c r="L10" s="33"/>
      <c r="M10" s="33"/>
      <c r="N10" s="33">
        <f>C32*'E Balans VL '!Y20/100/3.6*1000000</f>
        <v>14.218862153213548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27.195468000000002</v>
      </c>
      <c r="C13" s="33"/>
      <c r="D13" s="37">
        <f>IF( ISERROR(IND_papier_gas_kWh/1000),0,IND_papier_gas_kWh/1000)*0.902</f>
        <v>82.897465728</v>
      </c>
      <c r="E13" s="33">
        <f>C35*'E Balans VL '!I23/100/3.6*1000000</f>
        <v>4.0013871812590536E-2</v>
      </c>
      <c r="F13" s="33">
        <f>C35*'E Balans VL '!L23/100/3.6*1000000+C35*'E Balans VL '!N23/100/3.6*1000000</f>
        <v>0.29119021203625278</v>
      </c>
      <c r="G13" s="34"/>
      <c r="H13" s="33"/>
      <c r="I13" s="33"/>
      <c r="J13" s="40">
        <f>C35*'E Balans VL '!D23/100/3.6*1000000+C35*'E Balans VL '!E23/100/3.6*1000000</f>
        <v>2.9753367034041269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32332.218489999999</v>
      </c>
      <c r="C15" s="33"/>
      <c r="D15" s="37">
        <f>IF( ISERROR(IND_rest_gas_kWh/1000),0,IND_rest_gas_kWh/1000)*0.902</f>
        <v>27740.230320220002</v>
      </c>
      <c r="E15" s="33">
        <f>C37*'E Balans VL '!I15/100/3.6*1000000</f>
        <v>1528.0394116041243</v>
      </c>
      <c r="F15" s="33">
        <f>C37*'E Balans VL '!L15/100/3.6*1000000+C37*'E Balans VL '!N15/100/3.6*1000000</f>
        <v>5748.3291851477015</v>
      </c>
      <c r="G15" s="34"/>
      <c r="H15" s="33"/>
      <c r="I15" s="33"/>
      <c r="J15" s="40">
        <f>C37*'E Balans VL '!D15/100/3.6*1000000+C37*'E Balans VL '!E15/100/3.6*1000000</f>
        <v>267.10336000437712</v>
      </c>
      <c r="K15" s="33"/>
      <c r="L15" s="33"/>
      <c r="M15" s="33"/>
      <c r="N15" s="33">
        <f>C37*'E Balans VL '!Y15/100/3.6*1000000</f>
        <v>1270.5845529188719</v>
      </c>
      <c r="O15" s="33"/>
      <c r="P15" s="33"/>
      <c r="R15" s="32"/>
    </row>
    <row r="16" spans="1:18">
      <c r="A16" s="16" t="s">
        <v>465</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60540.357283000005</v>
      </c>
      <c r="C18" s="21">
        <f>C5+C16</f>
        <v>0</v>
      </c>
      <c r="D18" s="21">
        <f>MAX((D5+D16),0)</f>
        <v>30681.917815802</v>
      </c>
      <c r="E18" s="21">
        <f>MAX((E5+E16),0)</f>
        <v>9094.0699610464617</v>
      </c>
      <c r="F18" s="21">
        <f>MAX((F5+F16),0)</f>
        <v>28436.81125805488</v>
      </c>
      <c r="G18" s="21"/>
      <c r="H18" s="21"/>
      <c r="I18" s="21"/>
      <c r="J18" s="21">
        <f>MAX((J5+J16),0)</f>
        <v>270.73439047179625</v>
      </c>
      <c r="K18" s="21"/>
      <c r="L18" s="21">
        <f>MAX((L5+L16),0)</f>
        <v>0</v>
      </c>
      <c r="M18" s="21"/>
      <c r="N18" s="21">
        <f>MAX((N5+N16),0)</f>
        <v>3273.5543195688906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0.1796156218183339</v>
      </c>
      <c r="C20" s="25">
        <f ca="1">'EF ele_warmte'!B22</f>
        <v>0.10458823529411765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10873.993918490145</v>
      </c>
      <c r="C22" s="23">
        <f ca="1">C18*C20</f>
        <v>0</v>
      </c>
      <c r="D22" s="23">
        <f>D18*D20</f>
        <v>6197.7473987920048</v>
      </c>
      <c r="E22" s="23">
        <f>E18*E20</f>
        <v>2064.3538811575468</v>
      </c>
      <c r="F22" s="23">
        <f>F18*F20</f>
        <v>7592.6286059006534</v>
      </c>
      <c r="G22" s="23"/>
      <c r="H22" s="23"/>
      <c r="I22" s="23"/>
      <c r="J22" s="23">
        <f>J18*J20</f>
        <v>95.839974227015873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651.90890400000001</v>
      </c>
      <c r="C30" s="39">
        <f>IF(ISERROR(B30*3.6/1000000/'E Balans VL '!Z18*100),0,B30*3.6/1000000/'E Balans VL '!Z18*100)</f>
        <v>3.763368382338203E-2</v>
      </c>
      <c r="D30" s="235" t="s">
        <v>692</v>
      </c>
    </row>
    <row r="31" spans="1:18">
      <c r="A31" s="6" t="s">
        <v>32</v>
      </c>
      <c r="B31" s="37">
        <f>IF( ISERROR(IND_ander_ele_kWh/1000),0,IND_ander_ele_kWh/1000)</f>
        <v>27284.335739999999</v>
      </c>
      <c r="C31" s="39">
        <f>IF(ISERROR(B31*3.6/1000000/'E Balans VL '!Z19*100),0,B31*3.6/1000000/'E Balans VL '!Z19*100)</f>
        <v>1.3723136489721333</v>
      </c>
      <c r="D31" s="235" t="s">
        <v>692</v>
      </c>
    </row>
    <row r="32" spans="1:18">
      <c r="A32" s="169" t="s">
        <v>40</v>
      </c>
      <c r="B32" s="37">
        <f>IF( ISERROR(IND_voed_ele_kWh/1000),0,IND_voed_ele_kWh/1000)</f>
        <v>244.69868100000002</v>
      </c>
      <c r="C32" s="39">
        <f>IF(ISERROR(B32*3.6/1000000/'E Balans VL '!Z20*100),0,B32*3.6/1000000/'E Balans VL '!Z20*100)</f>
        <v>8.1499191587739422E-3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27.195468000000002</v>
      </c>
      <c r="C35" s="39">
        <f>IF(ISERROR(B35*3.6/1000000/'E Balans VL '!Z22*100),0,B35*3.6/1000000/'E Balans VL '!Z22*100)</f>
        <v>5.0728733458705695E-3</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32332.218489999999</v>
      </c>
      <c r="C37" s="39">
        <f>IF(ISERROR(B37*3.6/1000000/'E Balans VL '!Z15*100),0,B37*3.6/1000000/'E Balans VL '!Z15*100)</f>
        <v>0.25227972091522521</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814.47664499999996</v>
      </c>
      <c r="C5" s="17">
        <f>'Eigen informatie GS &amp; warmtenet'!B62</f>
        <v>0</v>
      </c>
      <c r="D5" s="30">
        <f>IF(ISERROR(SUM(LB_lb_gas_kWh,LB_rest_gas_kWh)/1000),0,SUM(LB_lb_gas_kWh,LB_rest_gas_kWh)/1000)*0.902</f>
        <v>6879.4055181719996</v>
      </c>
      <c r="E5" s="17">
        <f>B17*'E Balans VL '!I25/3.6*1000000/100</f>
        <v>25.419547509186778</v>
      </c>
      <c r="F5" s="17">
        <f>B17*('E Balans VL '!L25/3.6*1000000+'E Balans VL '!N25/3.6*1000000)/100</f>
        <v>2878.4506887188159</v>
      </c>
      <c r="G5" s="18"/>
      <c r="H5" s="17"/>
      <c r="I5" s="17"/>
      <c r="J5" s="17">
        <f>('E Balans VL '!D25+'E Balans VL '!E25)/3.6*1000000*landbouw!B17/100</f>
        <v>224.3939640435313</v>
      </c>
      <c r="K5" s="17"/>
      <c r="L5" s="17">
        <f>L6*(-1)</f>
        <v>0</v>
      </c>
      <c r="M5" s="17"/>
      <c r="N5" s="17">
        <f>N6*(-1)</f>
        <v>14541.428571428572</v>
      </c>
      <c r="O5" s="17"/>
      <c r="P5" s="17"/>
      <c r="R5" s="32"/>
    </row>
    <row r="6" spans="1:18">
      <c r="A6" s="16" t="s">
        <v>465</v>
      </c>
      <c r="B6" s="17" t="s">
        <v>204</v>
      </c>
      <c r="C6" s="17">
        <f>'lokale energieproductie'!O40+'lokale energieproductie'!O33</f>
        <v>7270.7142857142862</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-14541.428571428572</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814.47664499999996</v>
      </c>
      <c r="C8" s="21">
        <f>C5+C6</f>
        <v>7270.7142857142862</v>
      </c>
      <c r="D8" s="21">
        <f>MAX((D5+D6),0)</f>
        <v>6879.4055181719996</v>
      </c>
      <c r="E8" s="21">
        <f>MAX((E5+E6),0)</f>
        <v>25.419547509186778</v>
      </c>
      <c r="F8" s="21">
        <f>MAX((F5+F6),0)</f>
        <v>2878.4506887188159</v>
      </c>
      <c r="G8" s="21"/>
      <c r="H8" s="21"/>
      <c r="I8" s="21"/>
      <c r="J8" s="21">
        <f>MAX((J5+J6),0)</f>
        <v>224.3939640435313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0.1796156218183339</v>
      </c>
      <c r="C10" s="31">
        <f ca="1">'EF ele_warmte'!B22</f>
        <v>0.10458823529411765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146.29272904818538</v>
      </c>
      <c r="C12" s="23">
        <f ca="1">C8*C10</f>
        <v>760.4311764705883</v>
      </c>
      <c r="D12" s="23">
        <f>D8*D10</f>
        <v>1389.639914670744</v>
      </c>
      <c r="E12" s="23">
        <f>E8*E10</f>
        <v>5.7702372845853986</v>
      </c>
      <c r="F12" s="23">
        <f>F8*F10</f>
        <v>768.54633388792388</v>
      </c>
      <c r="G12" s="23"/>
      <c r="H12" s="23"/>
      <c r="I12" s="23"/>
      <c r="J12" s="23">
        <f>J8*J10</f>
        <v>79.435463271410072</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0.12107779200089777</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88.702293463757925</v>
      </c>
      <c r="C26" s="245">
        <f>B26*'GWP N2O_CH4'!B5</f>
        <v>1862.7481627389163</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25.266121559762286</v>
      </c>
      <c r="C27" s="245">
        <f>B27*'GWP N2O_CH4'!B5</f>
        <v>530.58855275500798</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1.2450177448333837</v>
      </c>
      <c r="C28" s="245">
        <f>B28*'GWP N2O_CH4'!B4</f>
        <v>385.95550089834893</v>
      </c>
      <c r="D28" s="50"/>
    </row>
    <row r="29" spans="1:4">
      <c r="A29" s="41" t="s">
        <v>265</v>
      </c>
      <c r="B29" s="245">
        <f>B34*'ha_N2O bodem landbouw'!B4</f>
        <v>11.034765115216096</v>
      </c>
      <c r="C29" s="245">
        <f>B29*'GWP N2O_CH4'!B4</f>
        <v>3420.7771857169901</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2.4197253132881946E-3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2.5292772099290046E-3</v>
      </c>
      <c r="C5" s="431" t="s">
        <v>204</v>
      </c>
      <c r="D5" s="416">
        <f>SUM(D6:D11)</f>
        <v>4.2994123580328263E-3</v>
      </c>
      <c r="E5" s="416">
        <f>SUM(E6:E11)</f>
        <v>3.9468512558683763E-3</v>
      </c>
      <c r="F5" s="429" t="s">
        <v>204</v>
      </c>
      <c r="G5" s="416">
        <f>SUM(G6:G11)</f>
        <v>1.6537465831674936</v>
      </c>
      <c r="H5" s="416">
        <f>SUM(H6:H11)</f>
        <v>0.38653262860060622</v>
      </c>
      <c r="I5" s="431" t="s">
        <v>204</v>
      </c>
      <c r="J5" s="431" t="s">
        <v>204</v>
      </c>
      <c r="K5" s="431" t="s">
        <v>204</v>
      </c>
      <c r="L5" s="431" t="s">
        <v>204</v>
      </c>
      <c r="M5" s="416">
        <f>SUM(M6:M11)</f>
        <v>0.12091736840949063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8.6020301620530135E-4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1.4521063336729633E-3</v>
      </c>
      <c r="E6" s="882">
        <f>vkm_GW_PW*SUMIFS(TableVerdeelsleutelVkm[LPG],TableVerdeelsleutelVkm[Voertuigtype],"Lichte voertuigen")*SUMIFS(TableECFTransport[EnergieConsumptieFactor (PJ per km)],TableECFTransport[Index],CONCATENATE($A6,"_LPG_LPG"))</f>
        <v>1.2724407461969919E-3</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0.39748577612969394</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0.12952813100652513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3.1487944467865167E-2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5.3102207098743041E-6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0.2026762748225355</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2.8172651926527461E-6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1.1682742832015532E-2</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7.3875891533636763E-4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1.592385778342762E-3</v>
      </c>
      <c r="E8" s="419">
        <f>vkm_NGW_PW*SUMIFS(TableVerdeelsleutelVkm[LPG],TableVerdeelsleutelVkm[Voertuigtype],"Lichte voertuigen")*SUMIFS(TableECFTransport[EnergieConsumptieFactor (PJ per km)],TableECFTransport[Index],CONCATENATE($A8,"_LPG_LPG"))</f>
        <v>1.3366675616603247E-3</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0.38577841902342813</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0.13998198191463795</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3.1505283076085751E-2</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2.0357436331226915E-6</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9.9887609779193504E-2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1.3036310286839408E-6</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5.7577539338468332E-3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9.1780067582025748E-4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1.2549202460171011E-3</v>
      </c>
      <c r="E10" s="419">
        <f>vkm_SW_PW*SUMIFS(TableVerdeelsleutelVkm[LPG],TableVerdeelsleutelVkm[Voertuigtype],"Lichte voertuigen")*SUMIFS(TableECFTransport[EnergieConsumptieFactor (PJ per km)],TableECFTransport[Index],CONCATENATE($A10,"_LPG_LPG"))</f>
        <v>1.3377429480110599E-3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0.38081484415638711</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0.11701557236263092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2.9698529216490757E-2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5.1686382240812725E-6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0.18710365925625569</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2.8224205908571222E-6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1.0785114883186576E-2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702.57700275805689</v>
      </c>
      <c r="C14" s="21"/>
      <c r="D14" s="21">
        <f t="shared" ref="D14:M14" si="0">((D5)*10^9/3600)+D12</f>
        <v>1194.281210564674</v>
      </c>
      <c r="E14" s="21">
        <f t="shared" si="0"/>
        <v>1096.347571074549</v>
      </c>
      <c r="F14" s="21"/>
      <c r="G14" s="21">
        <f t="shared" si="0"/>
        <v>459374.05087985931</v>
      </c>
      <c r="H14" s="21">
        <f t="shared" si="0"/>
        <v>107370.17461127951</v>
      </c>
      <c r="I14" s="21"/>
      <c r="J14" s="21"/>
      <c r="K14" s="21"/>
      <c r="L14" s="21"/>
      <c r="M14" s="21">
        <f t="shared" si="0"/>
        <v>33588.157891525174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0.1796156218183339</v>
      </c>
      <c r="C16" s="56">
        <f ca="1">'EF ele_warmte'!B22</f>
        <v>0.10458823529411765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126.19380522564968</v>
      </c>
      <c r="C18" s="23"/>
      <c r="D18" s="23">
        <f t="shared" ref="D18:M18" si="1">D14*D16</f>
        <v>241.24480453406417</v>
      </c>
      <c r="E18" s="23">
        <f t="shared" si="1"/>
        <v>248.87089863392265</v>
      </c>
      <c r="F18" s="23"/>
      <c r="G18" s="23">
        <f t="shared" si="1"/>
        <v>122652.87158492244</v>
      </c>
      <c r="H18" s="23">
        <f t="shared" si="1"/>
        <v>26735.173478208599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1.8175644780709272E-4</v>
      </c>
      <c r="C50" s="315">
        <f t="shared" ref="C50:P50" si="2">SUM(C51:C52)</f>
        <v>0</v>
      </c>
      <c r="D50" s="315">
        <f t="shared" si="2"/>
        <v>0</v>
      </c>
      <c r="E50" s="315">
        <f t="shared" si="2"/>
        <v>0</v>
      </c>
      <c r="F50" s="315">
        <f t="shared" si="2"/>
        <v>0</v>
      </c>
      <c r="G50" s="315">
        <f t="shared" si="2"/>
        <v>1.3168528391965577E-2</v>
      </c>
      <c r="H50" s="315">
        <f t="shared" si="2"/>
        <v>0</v>
      </c>
      <c r="I50" s="315">
        <f t="shared" si="2"/>
        <v>0</v>
      </c>
      <c r="J50" s="315">
        <f t="shared" si="2"/>
        <v>0</v>
      </c>
      <c r="K50" s="315">
        <f t="shared" si="2"/>
        <v>0</v>
      </c>
      <c r="L50" s="315">
        <f t="shared" si="2"/>
        <v>0</v>
      </c>
      <c r="M50" s="315">
        <f t="shared" si="2"/>
        <v>7.4485118174091554E-4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1.8175644780709272E-4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1.3168528391965577E-2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7.4485118174091554E-4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50.487902168636865</v>
      </c>
      <c r="C54" s="21">
        <f t="shared" ref="C54:P54" si="3">(C50)*10^9/3600</f>
        <v>0</v>
      </c>
      <c r="D54" s="21">
        <f t="shared" si="3"/>
        <v>0</v>
      </c>
      <c r="E54" s="21">
        <f t="shared" si="3"/>
        <v>0</v>
      </c>
      <c r="F54" s="21">
        <f t="shared" si="3"/>
        <v>0</v>
      </c>
      <c r="G54" s="21">
        <f t="shared" si="3"/>
        <v>3657.9245533237713</v>
      </c>
      <c r="H54" s="21">
        <f t="shared" si="3"/>
        <v>0</v>
      </c>
      <c r="I54" s="21">
        <f t="shared" si="3"/>
        <v>0</v>
      </c>
      <c r="J54" s="21">
        <f t="shared" si="3"/>
        <v>0</v>
      </c>
      <c r="K54" s="21">
        <f t="shared" si="3"/>
        <v>0</v>
      </c>
      <c r="L54" s="21">
        <f t="shared" si="3"/>
        <v>0</v>
      </c>
      <c r="M54" s="21">
        <f t="shared" si="3"/>
        <v>206.90310603914321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0.1796156218183339</v>
      </c>
      <c r="C56" s="56">
        <f ca="1">'EF ele_warmte'!B22</f>
        <v>0.10458823529411765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9.06841594232292</v>
      </c>
      <c r="C58" s="23">
        <f t="shared" ref="C58:P58" ca="1" si="4">C54*C56</f>
        <v>0</v>
      </c>
      <c r="D58" s="23">
        <f t="shared" si="4"/>
        <v>0</v>
      </c>
      <c r="E58" s="23">
        <f t="shared" si="4"/>
        <v>0</v>
      </c>
      <c r="F58" s="23">
        <f t="shared" si="4"/>
        <v>0</v>
      </c>
      <c r="G58" s="23">
        <f t="shared" si="4"/>
        <v>976.66585573744703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28602.810955918536</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6239.3391049414058</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N30</f>
        <v>9090</v>
      </c>
      <c r="C8" s="541">
        <f>B49</f>
        <v>4706.4705882352937</v>
      </c>
      <c r="D8" s="542"/>
      <c r="E8" s="542">
        <f>E49</f>
        <v>0</v>
      </c>
      <c r="F8" s="543"/>
      <c r="G8" s="544"/>
      <c r="H8" s="542">
        <f>I49</f>
        <v>0</v>
      </c>
      <c r="I8" s="542">
        <f>G49+F49</f>
        <v>0</v>
      </c>
      <c r="J8" s="542">
        <f>H49+D49+C49</f>
        <v>5987.6470588235297</v>
      </c>
      <c r="K8" s="542"/>
      <c r="L8" s="542"/>
      <c r="M8" s="542"/>
      <c r="N8" s="545"/>
      <c r="O8" s="546">
        <f>C8*$C$12+D8*$D$12+E8*$E$12+F8*$F$12+G8*$G$12+H8*$H$12+I8*$I$12+J8*$J$12</f>
        <v>950.70705882352934</v>
      </c>
      <c r="P8" s="1269"/>
      <c r="Q8" s="1270"/>
      <c r="S8" s="536"/>
      <c r="T8" s="1266"/>
      <c r="U8" s="1266"/>
    </row>
    <row r="9" spans="1:21" s="527" customFormat="1" ht="17.45" customHeight="1" thickBot="1">
      <c r="A9" s="547" t="s">
        <v>236</v>
      </c>
      <c r="B9" s="548">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43932.150060859945</v>
      </c>
      <c r="C10" s="556">
        <f t="shared" ref="C10:L10" si="0">SUM(C8:C9)</f>
        <v>4706.4705882352937</v>
      </c>
      <c r="D10" s="556">
        <f t="shared" si="0"/>
        <v>0</v>
      </c>
      <c r="E10" s="556">
        <f t="shared" si="0"/>
        <v>0</v>
      </c>
      <c r="F10" s="556">
        <f t="shared" si="0"/>
        <v>0</v>
      </c>
      <c r="G10" s="556">
        <f t="shared" si="0"/>
        <v>0</v>
      </c>
      <c r="H10" s="556">
        <f t="shared" si="0"/>
        <v>0</v>
      </c>
      <c r="I10" s="556">
        <f t="shared" si="0"/>
        <v>0</v>
      </c>
      <c r="J10" s="556">
        <f t="shared" si="0"/>
        <v>5987.6470588235297</v>
      </c>
      <c r="K10" s="556">
        <f t="shared" si="0"/>
        <v>0</v>
      </c>
      <c r="L10" s="556">
        <f t="shared" si="0"/>
        <v>0</v>
      </c>
      <c r="M10" s="963"/>
      <c r="N10" s="963"/>
      <c r="O10" s="557">
        <f>SUM(O4:O9)</f>
        <v>950.70705882352934</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O30</f>
        <v>12985.714285714286</v>
      </c>
      <c r="C17" s="572">
        <f>B50</f>
        <v>6723.5294117647063</v>
      </c>
      <c r="D17" s="573"/>
      <c r="E17" s="573">
        <f>E50</f>
        <v>0</v>
      </c>
      <c r="F17" s="574"/>
      <c r="G17" s="575"/>
      <c r="H17" s="572">
        <f>I50</f>
        <v>0</v>
      </c>
      <c r="I17" s="573">
        <f>G50+F50</f>
        <v>0</v>
      </c>
      <c r="J17" s="573">
        <f>H50+D50+C50</f>
        <v>8553.7815126050427</v>
      </c>
      <c r="K17" s="573"/>
      <c r="L17" s="573"/>
      <c r="M17" s="573"/>
      <c r="N17" s="964"/>
      <c r="O17" s="576">
        <f>C17*$C$22+E17*$E$22+H17*$H$22+I17*$I$22+J17*$J$22+D17*$D$22+F17*$F$22+G17*$G$22+K17*$K$22+L17*$L$22</f>
        <v>1358.1529411764707</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12985.714285714286</v>
      </c>
      <c r="C20" s="555">
        <f>SUM(C17:C19)</f>
        <v>6723.5294117647063</v>
      </c>
      <c r="D20" s="555">
        <f t="shared" ref="D20:L20" si="1">SUM(D17:D19)</f>
        <v>0</v>
      </c>
      <c r="E20" s="555">
        <f t="shared" si="1"/>
        <v>0</v>
      </c>
      <c r="F20" s="555">
        <f t="shared" si="1"/>
        <v>0</v>
      </c>
      <c r="G20" s="555">
        <f t="shared" si="1"/>
        <v>0</v>
      </c>
      <c r="H20" s="555">
        <f t="shared" si="1"/>
        <v>0</v>
      </c>
      <c r="I20" s="555">
        <f t="shared" si="1"/>
        <v>0</v>
      </c>
      <c r="J20" s="555">
        <f t="shared" si="1"/>
        <v>8553.7815126050427</v>
      </c>
      <c r="K20" s="555">
        <f t="shared" si="1"/>
        <v>0</v>
      </c>
      <c r="L20" s="555">
        <f t="shared" si="1"/>
        <v>0</v>
      </c>
      <c r="M20" s="555"/>
      <c r="N20" s="555"/>
      <c r="O20" s="581">
        <f>SUM(O17:O19)</f>
        <v>1358.1529411764707</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23027</v>
      </c>
      <c r="C28" s="783">
        <v>1500</v>
      </c>
      <c r="D28" s="633"/>
      <c r="E28" s="632"/>
      <c r="F28" s="632"/>
      <c r="G28" s="632" t="s">
        <v>900</v>
      </c>
      <c r="H28" s="632" t="s">
        <v>901</v>
      </c>
      <c r="I28" s="632"/>
      <c r="J28" s="782"/>
      <c r="K28" s="782"/>
      <c r="L28" s="632" t="s">
        <v>902</v>
      </c>
      <c r="M28" s="632">
        <v>1131</v>
      </c>
      <c r="N28" s="632">
        <v>5089.5</v>
      </c>
      <c r="O28" s="632">
        <v>7270.7142857142862</v>
      </c>
      <c r="P28" s="632">
        <v>0</v>
      </c>
      <c r="Q28" s="632">
        <v>14541.428571428572</v>
      </c>
      <c r="R28" s="632">
        <v>0</v>
      </c>
      <c r="S28" s="632">
        <v>0</v>
      </c>
      <c r="T28" s="632">
        <v>0</v>
      </c>
      <c r="U28" s="632">
        <v>0</v>
      </c>
      <c r="V28" s="632">
        <v>0</v>
      </c>
      <c r="W28" s="632">
        <v>0</v>
      </c>
      <c r="X28" s="632">
        <v>10</v>
      </c>
      <c r="Y28" s="632" t="s">
        <v>105</v>
      </c>
      <c r="Z28" s="634" t="s">
        <v>105</v>
      </c>
    </row>
    <row r="29" spans="1:26" s="586" customFormat="1" ht="25.5" hidden="1">
      <c r="A29" s="585"/>
      <c r="B29" s="783">
        <v>23027</v>
      </c>
      <c r="C29" s="783">
        <v>1500</v>
      </c>
      <c r="D29" s="633"/>
      <c r="E29" s="632"/>
      <c r="F29" s="632"/>
      <c r="G29" s="632" t="s">
        <v>900</v>
      </c>
      <c r="H29" s="632" t="s">
        <v>901</v>
      </c>
      <c r="I29" s="632"/>
      <c r="J29" s="782"/>
      <c r="K29" s="782"/>
      <c r="L29" s="632" t="s">
        <v>902</v>
      </c>
      <c r="M29" s="632">
        <v>889</v>
      </c>
      <c r="N29" s="632">
        <v>4000.5</v>
      </c>
      <c r="O29" s="632">
        <v>5715</v>
      </c>
      <c r="P29" s="632">
        <v>11430</v>
      </c>
      <c r="Q29" s="632">
        <v>0</v>
      </c>
      <c r="R29" s="632">
        <v>0</v>
      </c>
      <c r="S29" s="632">
        <v>0</v>
      </c>
      <c r="T29" s="632">
        <v>0</v>
      </c>
      <c r="U29" s="632">
        <v>0</v>
      </c>
      <c r="V29" s="632">
        <v>0</v>
      </c>
      <c r="W29" s="632">
        <v>0</v>
      </c>
      <c r="X29" s="632">
        <v>1100</v>
      </c>
      <c r="Y29" s="632" t="s">
        <v>51</v>
      </c>
      <c r="Z29" s="634" t="s">
        <v>149</v>
      </c>
    </row>
    <row r="30" spans="1:26" s="566" customFormat="1" hidden="1">
      <c r="A30" s="588" t="s">
        <v>268</v>
      </c>
      <c r="B30" s="589"/>
      <c r="C30" s="589"/>
      <c r="D30" s="589"/>
      <c r="E30" s="589"/>
      <c r="F30" s="589"/>
      <c r="G30" s="589"/>
      <c r="H30" s="589"/>
      <c r="I30" s="589"/>
      <c r="J30" s="589"/>
      <c r="K30" s="589"/>
      <c r="L30" s="590"/>
      <c r="M30" s="590">
        <f>SUM(M28:M29)</f>
        <v>2020</v>
      </c>
      <c r="N30" s="590">
        <f>SUM(N28:N29)</f>
        <v>9090</v>
      </c>
      <c r="O30" s="590">
        <f>SUM(O28:O29)</f>
        <v>12985.714285714286</v>
      </c>
      <c r="P30" s="590">
        <f>SUM(P28:P29)</f>
        <v>11430</v>
      </c>
      <c r="Q30" s="590">
        <f>SUM(Q28:Q29)</f>
        <v>14541.428571428572</v>
      </c>
      <c r="R30" s="590">
        <f>SUM(R28:R29)</f>
        <v>0</v>
      </c>
      <c r="S30" s="590">
        <f>SUM(S28:S29)</f>
        <v>0</v>
      </c>
      <c r="T30" s="590">
        <f>SUM(T28:T29)</f>
        <v>0</v>
      </c>
      <c r="U30" s="590">
        <f>SUM(U28:U29)</f>
        <v>0</v>
      </c>
      <c r="V30" s="590">
        <f>SUM(V28:V29)</f>
        <v>0</v>
      </c>
      <c r="W30" s="590">
        <f>SUM(W28:W29)</f>
        <v>0</v>
      </c>
      <c r="X30" s="591"/>
      <c r="Y30" s="591"/>
      <c r="Z30" s="592"/>
    </row>
    <row r="31" spans="1:26" s="566" customFormat="1">
      <c r="A31" s="588" t="s">
        <v>275</v>
      </c>
      <c r="B31" s="589"/>
      <c r="C31" s="589"/>
      <c r="D31" s="589"/>
      <c r="E31" s="589"/>
      <c r="F31" s="589"/>
      <c r="G31" s="589"/>
      <c r="H31" s="589"/>
      <c r="I31" s="589"/>
      <c r="J31" s="589"/>
      <c r="K31" s="589"/>
      <c r="L31" s="590"/>
      <c r="M31" s="590">
        <f>SUMIF($Z$28:$Z$29,"industrie",M28:M29)</f>
        <v>0</v>
      </c>
      <c r="N31" s="590">
        <f>SUMIF($Z$28:$Z$29,"industrie",N28:N29)</f>
        <v>0</v>
      </c>
      <c r="O31" s="590">
        <f>SUMIF($Z$28:$Z$29,"industrie",O28:O29)</f>
        <v>0</v>
      </c>
      <c r="P31" s="590">
        <f>SUMIF($Z$28:$Z$29,"industrie",P28:P29)</f>
        <v>0</v>
      </c>
      <c r="Q31" s="590">
        <f>SUMIF($Z$28:$Z$29,"industrie",Q28:Q29)</f>
        <v>0</v>
      </c>
      <c r="R31" s="590">
        <f>SUMIF($Z$28:$Z$29,"industrie",R28:R29)</f>
        <v>0</v>
      </c>
      <c r="S31" s="590">
        <f>SUMIF($Z$28:$Z$29,"industrie",S28:S29)</f>
        <v>0</v>
      </c>
      <c r="T31" s="590">
        <f>SUMIF($Z$28:$Z$29,"industrie",T28:T29)</f>
        <v>0</v>
      </c>
      <c r="U31" s="590">
        <f>SUMIF($Z$28:$Z$29,"industrie",U28:U29)</f>
        <v>0</v>
      </c>
      <c r="V31" s="590">
        <f>SUMIF($Z$28:$Z$29,"industrie",V28:V29)</f>
        <v>0</v>
      </c>
      <c r="W31" s="590">
        <f>SUMIF($Z$28:$Z$29,"industrie",W28:W29)</f>
        <v>0</v>
      </c>
      <c r="X31" s="591"/>
      <c r="Y31" s="591"/>
      <c r="Z31" s="592"/>
    </row>
    <row r="32" spans="1:26" s="566" customFormat="1">
      <c r="A32" s="588" t="s">
        <v>276</v>
      </c>
      <c r="B32" s="589"/>
      <c r="C32" s="589"/>
      <c r="D32" s="589"/>
      <c r="E32" s="589"/>
      <c r="F32" s="589"/>
      <c r="G32" s="589"/>
      <c r="H32" s="589"/>
      <c r="I32" s="589"/>
      <c r="J32" s="589"/>
      <c r="K32" s="589"/>
      <c r="L32" s="590"/>
      <c r="M32" s="590">
        <f ca="1">SUMIF($Z$28:AC29,"tertiair",M28:M29)</f>
        <v>889</v>
      </c>
      <c r="N32" s="590">
        <f ca="1">SUMIF($Z$28:AD29,"tertiair",N28:N29)</f>
        <v>4000.5</v>
      </c>
      <c r="O32" s="590">
        <f ca="1">SUMIF($Z$28:AE29,"tertiair",O28:O29)</f>
        <v>5715</v>
      </c>
      <c r="P32" s="590">
        <f ca="1">SUMIF($Z$28:AF29,"tertiair",P28:P29)</f>
        <v>11430</v>
      </c>
      <c r="Q32" s="590">
        <f ca="1">SUMIF($Z$28:AG29,"tertiair",Q28:Q29)</f>
        <v>0</v>
      </c>
      <c r="R32" s="590">
        <f ca="1">SUMIF($Z$28:AH29,"tertiair",R28:R29)</f>
        <v>0</v>
      </c>
      <c r="S32" s="590">
        <f ca="1">SUMIF($Z$28:AI29,"tertiair",S28:S29)</f>
        <v>0</v>
      </c>
      <c r="T32" s="590">
        <f ca="1">SUMIF($Z$28:AJ29,"tertiair",T28:T29)</f>
        <v>0</v>
      </c>
      <c r="U32" s="590">
        <f ca="1">SUMIF($Z$28:AK29,"tertiair",U28:U29)</f>
        <v>0</v>
      </c>
      <c r="V32" s="590">
        <f ca="1">SUMIF($Z$28:AL29,"tertiair",V28:V29)</f>
        <v>0</v>
      </c>
      <c r="W32" s="590">
        <f ca="1">SUMIF($Z$28:AM29,"tertiair",W28:W29)</f>
        <v>0</v>
      </c>
      <c r="X32" s="591"/>
      <c r="Y32" s="591"/>
      <c r="Z32" s="592"/>
    </row>
    <row r="33" spans="1:27" s="566" customFormat="1" ht="15.75" thickBot="1">
      <c r="A33" s="593" t="s">
        <v>277</v>
      </c>
      <c r="B33" s="594"/>
      <c r="C33" s="594"/>
      <c r="D33" s="594"/>
      <c r="E33" s="594"/>
      <c r="F33" s="594"/>
      <c r="G33" s="594"/>
      <c r="H33" s="594"/>
      <c r="I33" s="594"/>
      <c r="J33" s="594"/>
      <c r="K33" s="594"/>
      <c r="L33" s="595"/>
      <c r="M33" s="595">
        <f>SUMIF($Z$28:$Z$29,"landbouw",M28:M29)</f>
        <v>1131</v>
      </c>
      <c r="N33" s="595">
        <f>SUMIF($Z$28:$Z$29,"landbouw",N28:N29)</f>
        <v>5089.5</v>
      </c>
      <c r="O33" s="595">
        <f>SUMIF($Z$28:$Z$29,"landbouw",O28:O29)</f>
        <v>7270.7142857142862</v>
      </c>
      <c r="P33" s="595">
        <f>SUMIF($Z$28:$Z$29,"landbouw",P28:P29)</f>
        <v>0</v>
      </c>
      <c r="Q33" s="595">
        <f>SUMIF($Z$28:$Z$29,"landbouw",Q28:Q29)</f>
        <v>14541.428571428572</v>
      </c>
      <c r="R33" s="595">
        <f>SUMIF($Z$28:$Z$29,"landbouw",R28:R29)</f>
        <v>0</v>
      </c>
      <c r="S33" s="595">
        <f>SUMIF($Z$28:$Z$29,"landbouw",S28:S29)</f>
        <v>0</v>
      </c>
      <c r="T33" s="595">
        <f>SUMIF($Z$28:$Z$29,"landbouw",T28:T29)</f>
        <v>0</v>
      </c>
      <c r="U33" s="595">
        <f>SUMIF($Z$28:$Z$29,"landbouw",U28:U29)</f>
        <v>0</v>
      </c>
      <c r="V33" s="595">
        <f>SUMIF($Z$28:$Z$29,"landbouw",V28:V29)</f>
        <v>0</v>
      </c>
      <c r="W33" s="595">
        <f>SUMIF($Z$28:$Z$29,"landbouw",W28:W29)</f>
        <v>0</v>
      </c>
      <c r="X33" s="596"/>
      <c r="Y33" s="596"/>
      <c r="Z33" s="597"/>
    </row>
    <row r="34" spans="1:27" s="527" customFormat="1" ht="15.75" thickBot="1">
      <c r="A34" s="598"/>
      <c r="B34" s="599"/>
      <c r="C34" s="599"/>
      <c r="D34" s="599"/>
      <c r="E34" s="599"/>
      <c r="F34" s="599"/>
      <c r="G34" s="599"/>
      <c r="H34" s="599"/>
      <c r="I34" s="599"/>
      <c r="J34" s="599"/>
      <c r="K34" s="599"/>
      <c r="L34" s="582"/>
      <c r="M34" s="582"/>
      <c r="N34" s="582"/>
      <c r="O34" s="583"/>
      <c r="P34" s="583"/>
    </row>
    <row r="35" spans="1:27" s="527" customFormat="1" ht="45">
      <c r="A35" s="600" t="s">
        <v>269</v>
      </c>
      <c r="B35" s="629" t="s">
        <v>89</v>
      </c>
      <c r="C35" s="629" t="s">
        <v>90</v>
      </c>
      <c r="D35" s="629"/>
      <c r="E35" s="629"/>
      <c r="F35" s="629"/>
      <c r="G35" s="629" t="s">
        <v>91</v>
      </c>
      <c r="H35" s="629" t="s">
        <v>92</v>
      </c>
      <c r="I35" s="629"/>
      <c r="J35" s="629"/>
      <c r="K35" s="629"/>
      <c r="L35" s="629" t="s">
        <v>93</v>
      </c>
      <c r="M35" s="630" t="s">
        <v>286</v>
      </c>
      <c r="N35" s="630" t="s">
        <v>94</v>
      </c>
      <c r="O35" s="630" t="s">
        <v>95</v>
      </c>
      <c r="P35" s="630" t="s">
        <v>511</v>
      </c>
      <c r="Q35" s="630" t="s">
        <v>96</v>
      </c>
      <c r="R35" s="630" t="s">
        <v>97</v>
      </c>
      <c r="S35" s="630" t="s">
        <v>98</v>
      </c>
      <c r="T35" s="630" t="s">
        <v>99</v>
      </c>
      <c r="U35" s="630" t="s">
        <v>100</v>
      </c>
      <c r="V35" s="630" t="s">
        <v>101</v>
      </c>
      <c r="W35" s="629" t="s">
        <v>102</v>
      </c>
      <c r="X35" s="629" t="s">
        <v>287</v>
      </c>
      <c r="Y35" s="629" t="s">
        <v>103</v>
      </c>
      <c r="Z35" s="631" t="s">
        <v>288</v>
      </c>
    </row>
    <row r="36" spans="1:27" s="601" customFormat="1" ht="12.75" hidden="1">
      <c r="A36" s="587"/>
      <c r="B36" s="783"/>
      <c r="C36" s="783"/>
      <c r="D36" s="635"/>
      <c r="E36" s="635"/>
      <c r="F36" s="635"/>
      <c r="G36" s="635"/>
      <c r="H36" s="635"/>
      <c r="I36" s="635"/>
      <c r="J36" s="782"/>
      <c r="K36" s="782"/>
      <c r="L36" s="635"/>
      <c r="M36" s="635"/>
      <c r="N36" s="635"/>
      <c r="O36" s="635"/>
      <c r="P36" s="635"/>
      <c r="Q36" s="635"/>
      <c r="R36" s="635"/>
      <c r="S36" s="635"/>
      <c r="T36" s="635"/>
      <c r="U36" s="635"/>
      <c r="V36" s="635"/>
      <c r="W36" s="635"/>
      <c r="X36" s="635"/>
      <c r="Y36" s="635"/>
      <c r="Z36" s="636"/>
    </row>
    <row r="37" spans="1:27" s="566" customFormat="1" hidden="1">
      <c r="A37" s="588" t="s">
        <v>268</v>
      </c>
      <c r="B37" s="589"/>
      <c r="C37" s="589"/>
      <c r="D37" s="589"/>
      <c r="E37" s="589"/>
      <c r="F37" s="589"/>
      <c r="G37" s="589"/>
      <c r="H37" s="589"/>
      <c r="I37" s="589"/>
      <c r="J37" s="589"/>
      <c r="K37" s="589"/>
      <c r="L37" s="590"/>
      <c r="M37" s="590">
        <f>SUM(M36:M36)</f>
        <v>0</v>
      </c>
      <c r="N37" s="590">
        <f>SUM(N36:N36)</f>
        <v>0</v>
      </c>
      <c r="O37" s="590">
        <f>SUM(O36:O36)</f>
        <v>0</v>
      </c>
      <c r="P37" s="590">
        <f>SUM(P36:P36)</f>
        <v>0</v>
      </c>
      <c r="Q37" s="590">
        <f>SUM(Q36:Q36)</f>
        <v>0</v>
      </c>
      <c r="R37" s="590">
        <f>SUM(R36:R36)</f>
        <v>0</v>
      </c>
      <c r="S37" s="590">
        <f>SUM(S36:S36)</f>
        <v>0</v>
      </c>
      <c r="T37" s="590">
        <f>SUM(T36:T36)</f>
        <v>0</v>
      </c>
      <c r="U37" s="590">
        <f>SUM(U36:U36)</f>
        <v>0</v>
      </c>
      <c r="V37" s="590">
        <f>SUM(V36:V36)</f>
        <v>0</v>
      </c>
      <c r="W37" s="590">
        <f>SUM(W36:W36)</f>
        <v>0</v>
      </c>
      <c r="X37" s="591"/>
      <c r="Y37" s="591"/>
      <c r="Z37" s="592"/>
    </row>
    <row r="38" spans="1:27" s="566" customFormat="1">
      <c r="A38" s="588" t="s">
        <v>275</v>
      </c>
      <c r="B38" s="589"/>
      <c r="C38" s="589"/>
      <c r="D38" s="589"/>
      <c r="E38" s="589"/>
      <c r="F38" s="589"/>
      <c r="G38" s="589"/>
      <c r="H38" s="589"/>
      <c r="I38" s="589"/>
      <c r="J38" s="589"/>
      <c r="K38" s="589"/>
      <c r="L38" s="590"/>
      <c r="M38" s="590">
        <f>SUMIF($Z$36:$Z$36,"industrie",M36:M36)</f>
        <v>0</v>
      </c>
      <c r="N38" s="590">
        <f>SUMIF($Z$36:$Z$36,"industrie",N36:N36)</f>
        <v>0</v>
      </c>
      <c r="O38" s="590">
        <f>SUMIF($Z$36:$Z$36,"industrie",O36:O36)</f>
        <v>0</v>
      </c>
      <c r="P38" s="590">
        <f>SUMIF($Z$36:$Z$36,"industrie",P36:P36)</f>
        <v>0</v>
      </c>
      <c r="Q38" s="590">
        <f>SUMIF($Z$36:$Z$36,"industrie",Q36:Q36)</f>
        <v>0</v>
      </c>
      <c r="R38" s="590">
        <f>SUMIF($Z$36:$Z$36,"industrie",R36:R36)</f>
        <v>0</v>
      </c>
      <c r="S38" s="590">
        <f>SUMIF($Z$36:$Z$36,"industrie",S36:S36)</f>
        <v>0</v>
      </c>
      <c r="T38" s="590">
        <f>SUMIF($Z$36:$Z$36,"industrie",T36:T36)</f>
        <v>0</v>
      </c>
      <c r="U38" s="590">
        <f>SUMIF($Z$36:$Z$36,"industrie",U36:U36)</f>
        <v>0</v>
      </c>
      <c r="V38" s="590">
        <f>SUMIF($Z$36:$Z$36,"industrie",V36:V36)</f>
        <v>0</v>
      </c>
      <c r="W38" s="590">
        <f>SUMIF($Z$36:$Z$36,"industrie",W36:W36)</f>
        <v>0</v>
      </c>
      <c r="X38" s="591"/>
      <c r="Y38" s="591"/>
      <c r="Z38" s="592"/>
    </row>
    <row r="39" spans="1:27" s="566" customFormat="1">
      <c r="A39" s="588" t="s">
        <v>276</v>
      </c>
      <c r="B39" s="589"/>
      <c r="C39" s="589"/>
      <c r="D39" s="589"/>
      <c r="E39" s="589"/>
      <c r="F39" s="589"/>
      <c r="G39" s="589"/>
      <c r="H39" s="589"/>
      <c r="I39" s="589"/>
      <c r="J39" s="589"/>
      <c r="K39" s="589"/>
      <c r="L39" s="590"/>
      <c r="M39" s="590">
        <f>SUMIF($Z$36:$Z$37,"tertiair",M36:M37)</f>
        <v>0</v>
      </c>
      <c r="N39" s="590">
        <f>SUMIF($Z$36:$Z$37,"tertiair",N36:N37)</f>
        <v>0</v>
      </c>
      <c r="O39" s="590">
        <f>SUMIF($Z$36:$Z$37,"tertiair",O36:O37)</f>
        <v>0</v>
      </c>
      <c r="P39" s="590">
        <f>SUMIF($Z$36:$Z$37,"tertiair",P36:P37)</f>
        <v>0</v>
      </c>
      <c r="Q39" s="590">
        <f>SUMIF($Z$36:$Z$37,"tertiair",Q36:Q37)</f>
        <v>0</v>
      </c>
      <c r="R39" s="590">
        <f>SUMIF($Z$36:$Z$37,"tertiair",R36:R37)</f>
        <v>0</v>
      </c>
      <c r="S39" s="590">
        <f>SUMIF($Z$36:$Z$37,"tertiair",S36:S37)</f>
        <v>0</v>
      </c>
      <c r="T39" s="590">
        <f>SUMIF($Z$36:$Z$37,"tertiair",T36:T37)</f>
        <v>0</v>
      </c>
      <c r="U39" s="590">
        <f>SUMIF($Z$36:$Z$37,"tertiair",U36:U37)</f>
        <v>0</v>
      </c>
      <c r="V39" s="590">
        <f>SUMIF($Z$36:$Z$37,"tertiair",V36:V37)</f>
        <v>0</v>
      </c>
      <c r="W39" s="590">
        <f>SUMIF($Z$36:$Z$37,"tertiair",W36:W37)</f>
        <v>0</v>
      </c>
      <c r="X39" s="591"/>
      <c r="Y39" s="591"/>
      <c r="Z39" s="592"/>
    </row>
    <row r="40" spans="1:27" s="566" customFormat="1" ht="15.75" thickBot="1">
      <c r="A40" s="593" t="s">
        <v>277</v>
      </c>
      <c r="B40" s="594"/>
      <c r="C40" s="594"/>
      <c r="D40" s="594"/>
      <c r="E40" s="594"/>
      <c r="F40" s="594"/>
      <c r="G40" s="594"/>
      <c r="H40" s="594"/>
      <c r="I40" s="594"/>
      <c r="J40" s="594"/>
      <c r="K40" s="594"/>
      <c r="L40" s="595"/>
      <c r="M40" s="595">
        <f>SUMIF($Z$36:$Z$38,"landbouw",M36:M38)</f>
        <v>0</v>
      </c>
      <c r="N40" s="595">
        <f>SUMIF($Z$36:$Z$38,"landbouw",N36:N38)</f>
        <v>0</v>
      </c>
      <c r="O40" s="595">
        <f>SUMIF($Z$36:$Z$38,"landbouw",O36:O38)</f>
        <v>0</v>
      </c>
      <c r="P40" s="595">
        <f>SUMIF($Z$36:$Z$38,"landbouw",P36:P38)</f>
        <v>0</v>
      </c>
      <c r="Q40" s="595">
        <f>SUMIF($Z$36:$Z$38,"landbouw",Q36:Q38)</f>
        <v>0</v>
      </c>
      <c r="R40" s="595">
        <f>SUMIF($Z$36:$Z$38,"landbouw",R36:R38)</f>
        <v>0</v>
      </c>
      <c r="S40" s="595">
        <f>SUMIF($Z$36:$Z$38,"landbouw",S36:S38)</f>
        <v>0</v>
      </c>
      <c r="T40" s="595">
        <f>SUMIF($Z$36:$Z$38,"landbouw",T36:T38)</f>
        <v>0</v>
      </c>
      <c r="U40" s="595">
        <f>SUMIF($Z$36:$Z$38,"landbouw",U36:U38)</f>
        <v>0</v>
      </c>
      <c r="V40" s="595">
        <f>SUMIF($Z$36:$Z$38,"landbouw",V36:V38)</f>
        <v>0</v>
      </c>
      <c r="W40" s="595">
        <f>SUMIF($Z$36:$Z$38,"landbouw",W36:W38)</f>
        <v>0</v>
      </c>
      <c r="X40" s="596"/>
      <c r="Y40" s="596"/>
      <c r="Z40" s="597"/>
    </row>
    <row r="41" spans="1:27" s="602" customForma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row>
    <row r="42" spans="1:27" s="602" customFormat="1" ht="15.75" thickBo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row>
    <row r="43" spans="1:27">
      <c r="A43" s="603" t="s">
        <v>270</v>
      </c>
      <c r="B43" s="604"/>
      <c r="C43" s="604"/>
      <c r="D43" s="604"/>
      <c r="E43" s="604"/>
      <c r="F43" s="604"/>
      <c r="G43" s="604"/>
      <c r="H43" s="604"/>
      <c r="I43" s="605"/>
      <c r="J43" s="606"/>
      <c r="K43" s="606"/>
      <c r="L43" s="607"/>
      <c r="M43" s="607"/>
      <c r="N43" s="607"/>
      <c r="O43" s="607"/>
      <c r="P43" s="607"/>
    </row>
    <row r="44" spans="1:27">
      <c r="A44" s="609"/>
      <c r="B44" s="599"/>
      <c r="C44" s="599"/>
      <c r="D44" s="599"/>
      <c r="E44" s="599"/>
      <c r="F44" s="599"/>
      <c r="G44" s="599"/>
      <c r="H44" s="599"/>
      <c r="I44" s="610"/>
      <c r="J44" s="599"/>
      <c r="K44" s="599"/>
      <c r="L44" s="607"/>
      <c r="M44" s="607"/>
      <c r="N44" s="607"/>
      <c r="O44" s="607"/>
      <c r="P44" s="607"/>
    </row>
    <row r="45" spans="1:27">
      <c r="A45" s="611"/>
      <c r="B45" s="612" t="s">
        <v>271</v>
      </c>
      <c r="C45" s="612" t="s">
        <v>272</v>
      </c>
      <c r="D45" s="612"/>
      <c r="E45" s="612"/>
      <c r="F45" s="612"/>
      <c r="G45" s="612"/>
      <c r="H45" s="612"/>
      <c r="I45" s="613"/>
      <c r="J45" s="612"/>
      <c r="K45" s="612"/>
      <c r="L45" s="612"/>
      <c r="M45" s="612"/>
      <c r="N45" s="612"/>
      <c r="O45" s="612"/>
      <c r="P45" s="607"/>
    </row>
    <row r="46" spans="1:27">
      <c r="A46" s="609" t="s">
        <v>268</v>
      </c>
      <c r="B46" s="614">
        <f>IF(ISERROR(O30/(O30+N30)),0,O30/(O30+N30))</f>
        <v>0.58823529411764708</v>
      </c>
      <c r="C46" s="615">
        <f>IF(ISERROR(N30/(O30+N30)),0,N30/(N30+O30))</f>
        <v>0.41176470588235292</v>
      </c>
      <c r="D46" s="582"/>
      <c r="E46" s="582"/>
      <c r="F46" s="582"/>
      <c r="G46" s="582"/>
      <c r="H46" s="582"/>
      <c r="I46" s="616"/>
      <c r="J46" s="582"/>
      <c r="K46" s="582"/>
      <c r="L46" s="617"/>
      <c r="M46" s="617"/>
      <c r="N46" s="617"/>
      <c r="O46" s="617"/>
      <c r="P46" s="607"/>
    </row>
    <row r="47" spans="1:27">
      <c r="A47" s="609"/>
      <c r="B47" s="618"/>
      <c r="C47" s="618"/>
      <c r="D47" s="618"/>
      <c r="E47" s="618"/>
      <c r="F47" s="618"/>
      <c r="G47" s="618"/>
      <c r="H47" s="618"/>
      <c r="I47" s="619"/>
      <c r="J47" s="618"/>
      <c r="K47" s="618"/>
      <c r="L47" s="620"/>
      <c r="M47" s="620"/>
      <c r="N47" s="620"/>
      <c r="O47" s="620"/>
      <c r="P47" s="607"/>
    </row>
    <row r="48" spans="1:27" ht="30">
      <c r="A48" s="621"/>
      <c r="B48" s="622" t="s">
        <v>511</v>
      </c>
      <c r="C48" s="622" t="s">
        <v>96</v>
      </c>
      <c r="D48" s="622" t="s">
        <v>97</v>
      </c>
      <c r="E48" s="622" t="s">
        <v>98</v>
      </c>
      <c r="F48" s="622" t="s">
        <v>99</v>
      </c>
      <c r="G48" s="622" t="s">
        <v>100</v>
      </c>
      <c r="H48" s="622" t="s">
        <v>101</v>
      </c>
      <c r="I48" s="623" t="s">
        <v>102</v>
      </c>
      <c r="J48" s="612"/>
      <c r="K48" s="612"/>
      <c r="L48" s="620"/>
      <c r="M48" s="620"/>
      <c r="N48" s="620"/>
      <c r="O48" s="607"/>
      <c r="P48" s="607"/>
    </row>
    <row r="49" spans="1:16">
      <c r="A49" s="611" t="s">
        <v>273</v>
      </c>
      <c r="B49" s="624">
        <f t="shared" ref="B49:I49" si="2">$C$46*P30</f>
        <v>4706.4705882352937</v>
      </c>
      <c r="C49" s="624">
        <f t="shared" si="2"/>
        <v>5987.6470588235297</v>
      </c>
      <c r="D49" s="624">
        <f t="shared" si="2"/>
        <v>0</v>
      </c>
      <c r="E49" s="624">
        <f t="shared" si="2"/>
        <v>0</v>
      </c>
      <c r="F49" s="624">
        <f t="shared" si="2"/>
        <v>0</v>
      </c>
      <c r="G49" s="624">
        <f t="shared" si="2"/>
        <v>0</v>
      </c>
      <c r="H49" s="624">
        <f t="shared" si="2"/>
        <v>0</v>
      </c>
      <c r="I49" s="625">
        <f t="shared" si="2"/>
        <v>0</v>
      </c>
      <c r="J49" s="582"/>
      <c r="K49" s="582"/>
      <c r="L49" s="620"/>
      <c r="M49" s="620"/>
      <c r="N49" s="620"/>
      <c r="O49" s="607"/>
      <c r="P49" s="607"/>
    </row>
    <row r="50" spans="1:16" ht="15.75" thickBot="1">
      <c r="A50" s="626" t="s">
        <v>274</v>
      </c>
      <c r="B50" s="627">
        <f t="shared" ref="B50:I50" si="3">$B$46*P30</f>
        <v>6723.5294117647063</v>
      </c>
      <c r="C50" s="627">
        <f t="shared" si="3"/>
        <v>8553.7815126050427</v>
      </c>
      <c r="D50" s="627">
        <f t="shared" si="3"/>
        <v>0</v>
      </c>
      <c r="E50" s="627">
        <f t="shared" si="3"/>
        <v>0</v>
      </c>
      <c r="F50" s="627">
        <f t="shared" si="3"/>
        <v>0</v>
      </c>
      <c r="G50" s="627">
        <f t="shared" si="3"/>
        <v>0</v>
      </c>
      <c r="H50" s="627">
        <f t="shared" si="3"/>
        <v>0</v>
      </c>
      <c r="I50" s="628">
        <f t="shared" si="3"/>
        <v>0</v>
      </c>
      <c r="J50" s="582"/>
      <c r="K50" s="582"/>
      <c r="L50" s="620"/>
      <c r="M50" s="620"/>
      <c r="N50" s="620"/>
      <c r="O50" s="607"/>
      <c r="P50" s="607"/>
    </row>
    <row r="51" spans="1:16">
      <c r="J51" s="562"/>
      <c r="K51" s="562"/>
      <c r="L51" s="562"/>
      <c r="M51" s="562"/>
      <c r="N51" s="562"/>
    </row>
    <row r="52" spans="1:16">
      <c r="J52" s="562"/>
      <c r="K52" s="562"/>
      <c r="L52" s="562"/>
      <c r="M52" s="562"/>
      <c r="N52"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2021-11-11T12:36:55Z</dcterms:modified>
</cp:coreProperties>
</file>