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F84FD545-0036-4E6B-94E8-8DD5531B1B36}"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D10" i="22" l="1"/>
  <c r="A3" i="23"/>
  <c r="A4" i="23"/>
  <c r="A7" i="23"/>
  <c r="A8" i="23"/>
  <c r="D6" i="22" s="1"/>
  <c r="A9" i="23"/>
  <c r="A10" i="23"/>
  <c r="A11" i="23"/>
  <c r="A12" i="23"/>
  <c r="A13" i="23"/>
  <c r="A14" i="23"/>
  <c r="A15" i="23"/>
  <c r="A16" i="23"/>
  <c r="A17" i="23"/>
  <c r="A18" i="23"/>
  <c r="A19" i="23"/>
  <c r="A20" i="23"/>
  <c r="A21" i="23"/>
  <c r="A22" i="23"/>
  <c r="A23" i="23"/>
  <c r="A24" i="23"/>
  <c r="A25" i="23"/>
  <c r="A26" i="23"/>
  <c r="A27" i="23"/>
  <c r="A28" i="23"/>
  <c r="A29" i="23"/>
  <c r="A30" i="23"/>
  <c r="B51"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I9" i="18"/>
  <c r="I77" i="14" s="1"/>
  <c r="I9" i="59" s="1"/>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8" i="15"/>
  <c r="C20" i="15" s="1"/>
  <c r="D40" i="14" s="1"/>
  <c r="C10" i="13"/>
  <c r="C12" i="13" s="1"/>
  <c r="C56" i="22"/>
  <c r="C58" i="22" s="1"/>
  <c r="D49" i="14" s="1"/>
  <c r="D52" i="14" s="1"/>
  <c r="C20" i="16"/>
  <c r="C22" i="16" s="1"/>
  <c r="D43" i="14" s="1"/>
  <c r="C22" i="59"/>
  <c r="C17" i="19"/>
  <c r="C19" i="19" s="1"/>
  <c r="D39" i="14" s="1"/>
  <c r="C10" i="17"/>
  <c r="C12" i="17" s="1"/>
  <c r="D54" i="14" s="1"/>
  <c r="D56" i="14" s="1"/>
  <c r="C29" i="20"/>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<sst xmlns="http://schemas.openxmlformats.org/spreadsheetml/2006/main" count="2477" uniqueCount="903">
  <si>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</si>
  <si>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</si>
  <si>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</si>
  <si>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</si>
  <si>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</si>
  <si>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</si>
  <si>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</si>
  <si>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</si>
  <si>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</si>
  <si>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</si>
  <si>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</si>
  <si>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</si>
  <si>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</si>
  <si>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</si>
  <si>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</si>
  <si>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</si>
  <si>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</si>
  <si>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</si>
  <si>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</si>
  <si>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</si>
  <si>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</si>
  <si>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</si>
  <si>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</si>
  <si>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</si>
  <si>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</si>
  <si>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</si>
  <si>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</si>
  <si>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</si>
  <si>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</si>
  <si>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</si>
  <si>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</si>
  <si>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</si>
  <si>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</si>
  <si>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</si>
  <si>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</si>
  <si>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</si>
  <si>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</si>
  <si>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</si>
  <si>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</si>
  <si>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</si>
  <si>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</si>
  <si>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</si>
  <si>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</si>
  <si>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</si>
  <si>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</si>
  <si>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</si>
  <si>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</si>
  <si>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</si>
  <si>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</si>
  <si>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</si>
  <si>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</si>
  <si>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</si>
  <si>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</si>
  <si>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</si>
  <si>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</si>
  <si>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</si>
  <si>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</si>
  <si>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</si>
  <si>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</si>
  <si>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</si>
  <si>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</si>
  <si>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</si>
  <si>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</si>
  <si>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</si>
  <si>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</si>
  <si>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</si>
  <si>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</si>
  <si>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</si>
  <si>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</si>
  <si>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</si>
  <si>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</si>
  <si>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</si>
  <si>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</si>
  <si>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</si>
  <si>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</si>
  <si>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</si>
  <si>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</si>
  <si>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</si>
  <si>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</si>
  <si>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</si>
  <si>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</si>
  <si>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</si>
  <si>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</si>
  <si>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</si>
  <si>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</si>
  <si>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</si>
  <si>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</si>
  <si>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</si>
  <si>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</si>
  <si>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</si>
  <si>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</si>
  <si>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</si>
  <si>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</si>
  <si>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</si>
  <si>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</si>
  <si>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</si>
  <si>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</si>
  <si>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</si>
  <si>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</si>
  <si>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</si>
  <si>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</si>
  <si>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</si>
  <si>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</si>
  <si>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</si>
  <si>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</si>
  <si>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</si>
  <si>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</si>
  <si>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</si>
  <si>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</si>
  <si>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</si>
  <si>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</si>
  <si>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</si>
  <si>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</si>
  <si>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</si>
  <si>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</si>
  <si>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</si>
  <si>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</si>
  <si>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</si>
  <si>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</si>
  <si>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</si>
  <si>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</si>
  <si>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</si>
  <si>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</si>
  <si>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</si>
  <si>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</si>
  <si>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</si>
  <si>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</si>
  <si>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</si>
  <si>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</si>
  <si>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</si>
  <si>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</si>
  <si>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</si>
  <si>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</si>
  <si>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</si>
  <si>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</si>
  <si>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</si>
  <si>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</si>
  <si>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</si>
  <si>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</si>
  <si>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</si>
  <si>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</si>
  <si>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</si>
  <si>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</si>
  <si>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</si>
  <si>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</si>
  <si>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</si>
  <si>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</si>
  <si>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</si>
  <si>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</si>
  <si>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</si>
  <si>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</si>
  <si>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</si>
  <si>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</si>
  <si>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</si>
  <si>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</si>
  <si>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</si>
  <si>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</si>
  <si>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</si>
  <si>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</si>
  <si>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</si>
  <si>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</si>
  <si>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</si>
  <si>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</si>
  <si>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</si>
  <si>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</si>
  <si>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</si>
  <si>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</si>
  <si>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</si>
  <si>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</si>
  <si>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</si>
  <si>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</si>
  <si>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</si>
  <si>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</si>
  <si>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</si>
  <si>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</si>
  <si>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</si>
  <si>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</si>
  <si>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</si>
  <si>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</si>
  <si>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</si>
  <si>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</si>
  <si>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</si>
  <si>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</si>
  <si>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</si>
  <si>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</si>
  <si>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</si>
  <si>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</si>
  <si>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</si>
  <si>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</si>
  <si>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</si>
  <si>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</si>
  <si>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</si>
  <si>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</si>
  <si>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</si>
  <si>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</si>
  <si>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</si>
  <si>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</si>
  <si>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</si>
  <si>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</si>
  <si>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</si>
  <si>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</si>
  <si>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</si>
  <si>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</si>
  <si>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</si>
  <si>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</si>
  <si>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</si>
  <si>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</si>
  <si>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</si>
  <si>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</si>
  <si>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</si>
  <si>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</si>
  <si>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</si>
  <si>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</si>
  <si>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</si>
  <si>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</si>
  <si>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</si>
  <si>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</si>
  <si>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</si>
  <si>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</si>
  <si>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</si>
  <si>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</si>
  <si>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</si>
  <si>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</si>
  <si>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</si>
  <si>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</si>
  <si>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</si>
  <si>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</si>
  <si>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</si>
  <si>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</si>
  <si>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</si>
  <si>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</si>
  <si>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</si>
  <si>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</si>
  <si>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</si>
  <si>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</si>
  <si>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</si>
  <si>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</si>
  <si>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</si>
  <si>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</si>
  <si>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</si>
  <si>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</si>
  <si>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</si>
  <si>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</si>
  <si>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</si>
  <si>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</si>
  <si>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</si>
  <si>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</si>
  <si>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</si>
  <si>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</si>
  <si>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</si>
  <si>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</si>
  <si>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</si>
  <si>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</si>
  <si>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</si>
  <si>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</si>
  <si>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</si>
  <si>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</si>
  <si>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</si>
  <si>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</si>
  <si>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</si>
  <si>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</si>
  <si>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</si>
  <si>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</si>
  <si>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</si>
  <si>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</si>
  <si>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</si>
  <si>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</si>
  <si>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</si>
  <si>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</si>
  <si>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</si>
  <si>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</si>
  <si>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</si>
  <si>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</si>
  <si>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</si>
  <si>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</si>
  <si>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</si>
  <si>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</si>
  <si>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</si>
  <si>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</si>
  <si>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</si>
  <si>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</si>
  <si>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</si>
  <si>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</si>
  <si>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</si>
  <si>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</si>
  <si>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</si>
  <si>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</si>
  <si>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</si>
  <si>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</si>
  <si>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</si>
  <si>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</si>
  <si>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</si>
  <si>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</si>
  <si>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</si>
  <si>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</si>
  <si>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</si>
  <si>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</si>
  <si>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</si>
  <si>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</si>
  <si>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</si>
  <si>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</si>
  <si>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</si>
  <si>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</si>
  <si>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</si>
  <si>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</si>
  <si>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</si>
  <si>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</si>
  <si>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</si>
  <si>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</si>
  <si>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</si>
  <si>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</si>
  <si>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</si>
  <si>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</si>
  <si>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</si>
  <si>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</si>
  <si>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</si>
  <si>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</si>
  <si>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</si>
  <si>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</si>
  <si>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</si>
  <si>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</si>
  <si>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</si>
  <si>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</si>
  <si>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</si>
  <si>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</si>
  <si>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</si>
  <si>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</si>
  <si>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</si>
  <si>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</si>
  <si>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</si>
  <si>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</si>
  <si>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</si>
  <si>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</si>
  <si>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</si>
  <si>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</si>
  <si>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</si>
  <si>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</si>
  <si>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</si>
  <si>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</si>
  <si>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</si>
  <si>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</si>
  <si>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</si>
  <si>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</si>
  <si>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</si>
  <si>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</si>
  <si>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</si>
  <si>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</si>
  <si>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</si>
  <si>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</si>
  <si>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</si>
  <si>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</si>
  <si>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</si>
  <si>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</si>
  <si>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</si>
  <si>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</si>
  <si>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</si>
  <si>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</si>
  <si>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</si>
  <si>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</si>
  <si>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</si>
  <si>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</si>
  <si>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</si>
  <si>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</si>
  <si>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</si>
  <si>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</si>
  <si>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</si>
  <si>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</si>
  <si>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</si>
  <si>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</si>
  <si>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</si>
  <si>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</si>
  <si>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</si>
  <si>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</si>
  <si>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</si>
  <si>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</si>
  <si>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</si>
  <si>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</si>
  <si>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</si>
  <si>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</si>
  <si>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</si>
  <si>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</si>
  <si>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</si>
  <si>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</si>
  <si>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</si>
  <si>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</si>
  <si>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</si>
  <si>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</si>
  <si>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</si>
  <si>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</si>
  <si>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</si>
  <si>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</si>
  <si>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</si>
  <si>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</si>
  <si>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</si>
  <si>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</si>
  <si>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</si>
  <si>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</si>
  <si>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</si>
  <si>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</si>
  <si>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</si>
  <si>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</si>
  <si>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</si>
  <si>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</si>
  <si>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</si>
  <si>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</si>
  <si>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</si>
  <si>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</si>
  <si>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</si>
  <si>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</si>
  <si>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</si>
  <si>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</si>
  <si>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</si>
  <si>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</si>
  <si>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</si>
  <si>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</si>
  <si>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</si>
  <si>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</si>
  <si>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</si>
  <si>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</si>
  <si>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</si>
  <si>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</si>
  <si>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</si>
  <si>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</si>
  <si>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</si>
  <si>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</si>
  <si>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</si>
  <si>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</si>
  <si>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</si>
  <si>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</si>
  <si>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</si>
  <si>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</si>
  <si>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</si>
  <si>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</si>
  <si>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</si>
  <si>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</si>
  <si>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</si>
  <si>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</si>
  <si>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</si>
  <si>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</si>
  <si>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</si>
  <si>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</si>
  <si>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</si>
  <si>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</si>
  <si>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</si>
  <si>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</si>
  <si>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</si>
  <si>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</si>
  <si>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</si>
  <si>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</si>
  <si>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</si>
  <si>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</si>
  <si>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</si>
  <si>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</si>
  <si>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</si>
  <si>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</si>
  <si>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</si>
  <si>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</si>
  <si>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</si>
  <si>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</si>
  <si>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</si>
  <si>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</si>
  <si>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</si>
  <si>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</si>
  <si>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</si>
  <si>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</si>
  <si>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</si>
  <si>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</si>
  <si>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</si>
  <si>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</si>
  <si>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</si>
  <si>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</si>
  <si>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</si>
  <si>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</si>
  <si>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</si>
  <si>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</si>
  <si>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</si>
  <si>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</si>
  <si>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</si>
  <si>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</si>
  <si>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</si>
  <si>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</si>
  <si>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</si>
  <si>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</si>
  <si>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</si>
  <si>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</si>
  <si>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</si>
  <si>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</si>
  <si>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</si>
  <si>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</si>
  <si>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</si>
  <si>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</si>
  <si>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</si>
  <si>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</si>
  <si>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</si>
  <si>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</si>
  <si>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</si>
  <si>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</si>
  <si>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</si>
  <si>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</si>
  <si>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</si>
  <si>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</si>
  <si>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</si>
  <si>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</si>
  <si>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</si>
  <si>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</si>
  <si>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</si>
  <si>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</si>
  <si>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</si>
  <si>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</si>
  <si>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</si>
  <si>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</si>
  <si>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</si>
  <si>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</si>
  <si>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</si>
  <si>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</si>
  <si>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</si>
  <si>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</si>
  <si>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</si>
  <si>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</si>
  <si>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</si>
  <si>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</si>
  <si>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</si>
  <si>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</si>
  <si>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</si>
  <si>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</si>
  <si>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</si>
  <si>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</si>
  <si>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</si>
  <si>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</si>
  <si>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</si>
  <si>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</si>
  <si>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</si>
  <si>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</si>
  <si>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</si>
  <si>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</si>
  <si>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</si>
  <si>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</si>
  <si>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</si>
  <si>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</si>
  <si>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</si>
  <si>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</si>
  <si>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</si>
  <si>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</si>
  <si>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</si>
  <si>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</si>
  <si>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</si>
  <si>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</si>
  <si>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</si>
  <si>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</si>
  <si>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</si>
  <si>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</si>
  <si>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</si>
  <si>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</si>
  <si>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</si>
  <si>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</si>
  <si>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</si>
  <si>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</si>
  <si>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</si>
  <si>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</si>
  <si>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</si>
  <si>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</si>
  <si>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</si>
  <si>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</si>
  <si>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</si>
  <si>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</si>
  <si>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</si>
  <si>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</si>
  <si>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</si>
  <si>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</si>
  <si>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</si>
  <si>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</si>
  <si>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</si>
  <si>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</si>
  <si>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</si>
  <si>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</si>
  <si>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</si>
  <si>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</si>
  <si>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</si>
  <si>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</si>
  <si>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</si>
  <si>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</si>
  <si>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</si>
  <si>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</si>
  <si>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</si>
  <si>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</si>
  <si>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</si>
  <si>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</si>
  <si>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</si>
  <si>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</si>
  <si>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</si>
  <si>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</si>
  <si>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</si>
  <si>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</si>
  <si>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</si>
  <si>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</si>
  <si>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</si>
  <si>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</si>
  <si>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</si>
  <si>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</si>
  <si>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</si>
  <si>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</si>
  <si>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</si>
  <si>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</si>
  <si>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</si>
  <si>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</si>
  <si>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</si>
  <si>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</si>
  <si>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</si>
  <si>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</si>
  <si>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</si>
  <si>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</si>
  <si>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</si>
  <si>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</si>
  <si>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</si>
  <si>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</si>
  <si>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</si>
  <si>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</si>
  <si>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</si>
  <si>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</si>
  <si>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</si>
  <si>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</si>
  <si>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</si>
  <si>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</si>
  <si>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</si>
  <si>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</si>
  <si>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</si>
  <si>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</si>
  <si>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</si>
  <si>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</si>
  <si>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</si>
  <si>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</si>
  <si>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</si>
  <si>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</si>
  <si>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</si>
  <si>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</si>
  <si>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</si>
  <si>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</si>
  <si>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</si>
  <si>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</si>
  <si>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</si>
  <si>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</si>
  <si>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</si>
  <si>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</si>
  <si>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</si>
  <si>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</si>
  <si>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</si>
  <si>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</si>
  <si>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</si>
  <si>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</si>
  <si>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</si>
  <si>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</si>
  <si>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</si>
  <si>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</si>
  <si>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</si>
  <si>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</si>
  <si>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</si>
  <si>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</si>
  <si>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</si>
  <si>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</si>
  <si>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</si>
  <si>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</si>
  <si>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</si>
  <si>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</si>
  <si>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</si>
  <si>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</si>
  <si>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</si>
  <si>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</si>
  <si>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</si>
  <si>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</si>
  <si>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</si>
  <si>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</si>
  <si>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</si>
  <si>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</si>
  <si>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</si>
  <si>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</si>
  <si>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</si>
  <si>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</si>
  <si>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</si>
  <si>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</si>
  <si>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</si>
  <si>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</si>
  <si>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</si>
  <si>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</si>
  <si>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</si>
  <si>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</si>
  <si>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</si>
  <si>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</si>
  <si>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</si>
  <si>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</si>
  <si>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</si>
  <si>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</si>
  <si>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</si>
  <si>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</si>
  <si>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</si>
  <si>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</si>
  <si>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</si>
  <si>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</si>
  <si>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</si>
  <si>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</si>
  <si>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</si>
  <si>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</si>
  <si>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</si>
  <si>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</si>
  <si>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</si>
  <si>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</si>
  <si>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</si>
  <si>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</si>
  <si>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</si>
  <si>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</si>
  <si>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</si>
  <si>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</si>
  <si>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</si>
  <si>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</si>
  <si>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</si>
  <si>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</si>
  <si>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</si>
  <si>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</si>
  <si>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</si>
  <si>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</si>
  <si>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</si>
  <si>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</si>
  <si>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</si>
  <si>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</si>
  <si>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</si>
  <si>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</si>
  <si>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</si>
  <si>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</si>
  <si>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</si>
  <si>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</si>
  <si>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</si>
  <si>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</si>
  <si>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</si>
  <si>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</si>
  <si>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</si>
  <si>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</si>
  <si>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</si>
  <si>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</si>
  <si>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</si>
  <si>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</si>
  <si>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</si>
  <si>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</si>
  <si>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</si>
  <si>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</si>
  <si>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</si>
  <si>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</si>
  <si>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</si>
  <si>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</si>
  <si>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</si>
  <si>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</si>
  <si>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</si>
  <si>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</si>
  <si>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</si>
  <si>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</si>
  <si>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</si>
  <si>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</si>
  <si>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</si>
  <si>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</si>
  <si>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</si>
  <si>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</si>
  <si>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</si>
  <si>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</si>
  <si>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</si>
  <si>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</si>
  <si>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</si>
  <si>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</si>
  <si>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</si>
  <si>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</si>
  <si>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</si>
  <si>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</si>
  <si>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</si>
  <si>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</si>
  <si>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</si>
  <si>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</si>
  <si>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</si>
  <si>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</si>
  <si>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</si>
  <si>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</si>
  <si>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</si>
  <si>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</si>
  <si>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</si>
  <si>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</si>
  <si>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</si>
  <si>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</si>
  <si>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</si>
  <si>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</si>
  <si>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</si>
  <si>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</si>
  <si>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</si>
  <si>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</si>
  <si>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</si>
  <si>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</si>
  <si>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</si>
  <si>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</si>
  <si>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</si>
  <si>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</si>
  <si>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</si>
  <si>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</si>
  <si>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</si>
  <si>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</si>
  <si>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</si>
  <si>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</si>
  <si>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</si>
  <si>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</si>
  <si>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</si>
  <si>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</si>
  <si>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</si>
  <si>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</si>
  <si>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</si>
  <si>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</si>
  <si>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</si>
  <si>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</si>
  <si>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</si>
  <si>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</si>
  <si>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</si>
  <si>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</si>
  <si>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</si>
  <si>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</si>
  <si>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</si>
  <si>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</si>
  <si>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</si>
  <si>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</si>
  <si>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</si>
  <si>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</si>
  <si>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</si>
  <si>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</si>
  <si>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</si>
  <si>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</si>
  <si>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</si>
  <si>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</si>
  <si>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</si>
  <si>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</si>
  <si>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</si>
  <si>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</si>
  <si>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</si>
  <si>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</si>
  <si>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</si>
  <si>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</si>
  <si>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</si>
  <si>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</si>
  <si>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</si>
  <si>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</si>
  <si>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</si>
  <si>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</si>
  <si>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</si>
  <si>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</si>
  <si>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</si>
  <si>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</si>
  <si>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</si>
  <si>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</si>
  <si>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</si>
  <si>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</si>
  <si>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</si>
  <si>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</si>
  <si>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</si>
  <si>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</si>
  <si>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</si>
  <si>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</si>
  <si>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</si>
  <si>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</si>
  <si>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</si>
  <si>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</si>
  <si>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</si>
  <si>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</si>
  <si>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</si>
  <si>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</si>
  <si>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</si>
  <si>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</si>
  <si>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</si>
  <si>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</si>
  <si>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</si>
  <si>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</si>
  <si>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</si>
  <si>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</si>
  <si>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</si>
  <si>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</si>
  <si>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</si>
  <si>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</si>
  <si>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</si>
  <si>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</si>
  <si>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</si>
  <si>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</si>
  <si>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</si>
  <si>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</si>
  <si>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</si>
  <si>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</si>
  <si>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</si>
  <si>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</si>
  <si>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</si>
  <si>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</si>
  <si>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</si>
  <si>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</si>
  <si>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</si>
  <si>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</si>
  <si>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</si>
  <si>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</si>
  <si>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</si>
  <si>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</si>
  <si>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23024</t>
  </si>
  <si>
    <t>GOOIK</t>
  </si>
  <si>
    <t>referentietaak LNE (2017); Jaarverslag De Lijn</t>
  </si>
  <si>
    <t>interne verbrandingsmotor</t>
  </si>
  <si>
    <t>WKK interne verbrandinsgmotor (gas)</t>
  </si>
  <si>
    <t>PBE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</si>
</sst>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0ED6FDF5-A2AC-479D-B7FA-0A4E8347A29B}"/>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77722.718654770186</c:v>
                </c:pt>
                <c:pt idx="1">
                  <c:v>14550.359346081988</c:v>
                </c:pt>
                <c:pt idx="2">
                  <c:v>531.76099999999997</c:v>
                </c:pt>
                <c:pt idx="3">
                  <c:v>5145.0520846389618</c:v>
                </c:pt>
                <c:pt idx="4">
                  <c:v>3609.9610982303611</c:v>
                </c:pt>
                <c:pt idx="5">
                  <c:v>69698.622811255205</c:v>
                </c:pt>
                <c:pt idx="6">
                  <c:v>2377.816411614308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77722.718654770186</c:v>
                </c:pt>
                <c:pt idx="1">
                  <c:v>14550.359346081988</c:v>
                </c:pt>
                <c:pt idx="2">
                  <c:v>531.76099999999997</c:v>
                </c:pt>
                <c:pt idx="3">
                  <c:v>5145.0520846389618</c:v>
                </c:pt>
                <c:pt idx="4">
                  <c:v>3609.9610982303611</c:v>
                </c:pt>
                <c:pt idx="5">
                  <c:v>69698.622811255205</c:v>
                </c:pt>
                <c:pt idx="6">
                  <c:v>2377.816411614308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16614.727183340518</c:v>
                </c:pt>
                <c:pt idx="1">
                  <c:v>2878.2406214318257</c:v>
                </c:pt>
                <c:pt idx="2">
                  <c:v>104.27565449733223</c:v>
                </c:pt>
                <c:pt idx="3">
                  <c:v>1303.6175768484852</c:v>
                </c:pt>
                <c:pt idx="4">
                  <c:v>740.11702569459976</c:v>
                </c:pt>
                <c:pt idx="5">
                  <c:v>17350.452243108564</c:v>
                </c:pt>
                <c:pt idx="6">
                  <c:v>599.15310855283815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16614.727183340518</c:v>
                </c:pt>
                <c:pt idx="1">
                  <c:v>2878.2406214318257</c:v>
                </c:pt>
                <c:pt idx="2">
                  <c:v>104.27565449733223</c:v>
                </c:pt>
                <c:pt idx="3">
                  <c:v>1303.6175768484852</c:v>
                </c:pt>
                <c:pt idx="4">
                  <c:v>740.11702569459976</c:v>
                </c:pt>
                <c:pt idx="5">
                  <c:v>17350.452243108564</c:v>
                </c:pt>
                <c:pt idx="6">
                  <c:v>599.15310855283815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23024</v>
      </c>
      <c r="B6" s="384"/>
      <c r="C6" s="385"/>
    </row>
    <row r="7" spans="1:7" s="382" customFormat="1" ht="15.75" customHeight="1">
      <c r="A7" s="386" t="str">
        <f>txtMunicipality</f>
        <v>GOOIK</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7357.5930430000008</v>
      </c>
      <c r="D10" s="679">
        <f ca="1">tertiair!C16</f>
        <v>0</v>
      </c>
      <c r="E10" s="679">
        <f ca="1">tertiair!D16</f>
        <v>6548.7108631999999</v>
      </c>
      <c r="F10" s="679">
        <f>tertiair!E16</f>
        <v>91.782555717909474</v>
      </c>
      <c r="G10" s="679">
        <f ca="1">tertiair!F16</f>
        <v>734.27902766529837</v>
      </c>
      <c r="H10" s="679">
        <f>tertiair!G16</f>
        <v>0</v>
      </c>
      <c r="I10" s="679">
        <f>tertiair!H16</f>
        <v>0</v>
      </c>
      <c r="J10" s="679">
        <f>tertiair!I16</f>
        <v>0</v>
      </c>
      <c r="K10" s="679">
        <f>tertiair!J16</f>
        <v>7.3258498036630256E-3</v>
      </c>
      <c r="L10" s="679">
        <f>tertiair!K16</f>
        <v>0</v>
      </c>
      <c r="M10" s="679">
        <f ca="1">tertiair!L16</f>
        <v>0</v>
      </c>
      <c r="N10" s="679">
        <f>tertiair!M16</f>
        <v>0</v>
      </c>
      <c r="O10" s="679">
        <f ca="1">tertiair!N16</f>
        <v>297.20839234248263</v>
      </c>
      <c r="P10" s="679">
        <f>tertiair!O16</f>
        <v>0</v>
      </c>
      <c r="Q10" s="680">
        <f>tertiair!P16</f>
        <v>52.539138306495019</v>
      </c>
      <c r="R10" s="682">
        <f ca="1">SUM(C10:Q10)</f>
        <v>15082.120346081989</v>
      </c>
      <c r="S10" s="67"/>
    </row>
    <row r="11" spans="1:19" s="442" customFormat="1">
      <c r="A11" s="800" t="s">
        <v>213</v>
      </c>
      <c r="B11" s="805"/>
      <c r="C11" s="679">
        <f>huishoudens!B8</f>
        <v>16495.624978090924</v>
      </c>
      <c r="D11" s="679">
        <f>huishoudens!C8</f>
        <v>0</v>
      </c>
      <c r="E11" s="679">
        <f>huishoudens!D8</f>
        <v>18624.234871000001</v>
      </c>
      <c r="F11" s="679">
        <f>huishoudens!E8</f>
        <v>2111.8821208774357</v>
      </c>
      <c r="G11" s="679">
        <f>huishoudens!F8</f>
        <v>34046.354518413107</v>
      </c>
      <c r="H11" s="679">
        <f>huishoudens!G8</f>
        <v>0</v>
      </c>
      <c r="I11" s="679">
        <f>huishoudens!H8</f>
        <v>0</v>
      </c>
      <c r="J11" s="679">
        <f>huishoudens!I8</f>
        <v>0</v>
      </c>
      <c r="K11" s="679">
        <f>huishoudens!J8</f>
        <v>136.01368526003444</v>
      </c>
      <c r="L11" s="679">
        <f>huishoudens!K8</f>
        <v>0</v>
      </c>
      <c r="M11" s="679">
        <f>huishoudens!L8</f>
        <v>0</v>
      </c>
      <c r="N11" s="679">
        <f>huishoudens!M8</f>
        <v>0</v>
      </c>
      <c r="O11" s="679">
        <f>huishoudens!N8</f>
        <v>5578.649701981918</v>
      </c>
      <c r="P11" s="679">
        <f>huishoudens!O8</f>
        <v>255.9306103009271</v>
      </c>
      <c r="Q11" s="680">
        <f>huishoudens!P8</f>
        <v>474.02816884582603</v>
      </c>
      <c r="R11" s="682">
        <f>SUM(C11:Q11)</f>
        <v>77722.718654770186</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2067.8371459999998</v>
      </c>
      <c r="D13" s="679">
        <f>industrie!C18</f>
        <v>0</v>
      </c>
      <c r="E13" s="679">
        <f>industrie!D18</f>
        <v>342.52367600000002</v>
      </c>
      <c r="F13" s="679">
        <f>industrie!E18</f>
        <v>225.14054058339511</v>
      </c>
      <c r="G13" s="679">
        <f>industrie!F18</f>
        <v>801.33737125915775</v>
      </c>
      <c r="H13" s="679">
        <f>industrie!G18</f>
        <v>0</v>
      </c>
      <c r="I13" s="679">
        <f>industrie!H18</f>
        <v>0</v>
      </c>
      <c r="J13" s="679">
        <f>industrie!I18</f>
        <v>0</v>
      </c>
      <c r="K13" s="679">
        <f>industrie!J18</f>
        <v>1.0474866011919994</v>
      </c>
      <c r="L13" s="679">
        <f>industrie!K18</f>
        <v>0</v>
      </c>
      <c r="M13" s="679">
        <f>industrie!L18</f>
        <v>0</v>
      </c>
      <c r="N13" s="679">
        <f>industrie!M18</f>
        <v>0</v>
      </c>
      <c r="O13" s="679">
        <f>industrie!N18</f>
        <v>172.0748777866163</v>
      </c>
      <c r="P13" s="679">
        <f>industrie!O18</f>
        <v>0</v>
      </c>
      <c r="Q13" s="680">
        <f>industrie!P18</f>
        <v>0</v>
      </c>
      <c r="R13" s="682">
        <f>SUM(C13:Q13)</f>
        <v>3609.9610982303611</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25921.055167090926</v>
      </c>
      <c r="D16" s="715">
        <f t="shared" ref="D16:R16" ca="1" si="0">SUM(D9:D15)</f>
        <v>0</v>
      </c>
      <c r="E16" s="715">
        <f t="shared" ca="1" si="0"/>
        <v>25515.469410200003</v>
      </c>
      <c r="F16" s="715">
        <f t="shared" si="0"/>
        <v>2428.8052171787403</v>
      </c>
      <c r="G16" s="715">
        <f t="shared" ca="1" si="0"/>
        <v>35581.97091733756</v>
      </c>
      <c r="H16" s="715">
        <f t="shared" si="0"/>
        <v>0</v>
      </c>
      <c r="I16" s="715">
        <f t="shared" si="0"/>
        <v>0</v>
      </c>
      <c r="J16" s="715">
        <f t="shared" si="0"/>
        <v>0</v>
      </c>
      <c r="K16" s="715">
        <f t="shared" si="0"/>
        <v>137.06849771103009</v>
      </c>
      <c r="L16" s="715">
        <f t="shared" si="0"/>
        <v>0</v>
      </c>
      <c r="M16" s="715">
        <f t="shared" ca="1" si="0"/>
        <v>0</v>
      </c>
      <c r="N16" s="715">
        <f t="shared" si="0"/>
        <v>0</v>
      </c>
      <c r="O16" s="715">
        <f t="shared" ca="1" si="0"/>
        <v>6047.9329721110171</v>
      </c>
      <c r="P16" s="715">
        <f t="shared" si="0"/>
        <v>255.9306103009271</v>
      </c>
      <c r="Q16" s="715">
        <f t="shared" si="0"/>
        <v>526.56730715232106</v>
      </c>
      <c r="R16" s="715">
        <f t="shared" ca="1" si="0"/>
        <v>96414.800099082524</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30.661886756734912</v>
      </c>
      <c r="D19" s="679">
        <f>transport!C54</f>
        <v>0</v>
      </c>
      <c r="E19" s="679">
        <f>transport!D54</f>
        <v>0</v>
      </c>
      <c r="F19" s="679">
        <f>transport!E54</f>
        <v>0</v>
      </c>
      <c r="G19" s="679">
        <f>transport!F54</f>
        <v>0</v>
      </c>
      <c r="H19" s="679">
        <f>transport!G54</f>
        <v>2221.4998762290975</v>
      </c>
      <c r="I19" s="679">
        <f>transport!H54</f>
        <v>0</v>
      </c>
      <c r="J19" s="679">
        <f>transport!I54</f>
        <v>0</v>
      </c>
      <c r="K19" s="679">
        <f>transport!J54</f>
        <v>0</v>
      </c>
      <c r="L19" s="679">
        <f>transport!K54</f>
        <v>0</v>
      </c>
      <c r="M19" s="679">
        <f>transport!L54</f>
        <v>0</v>
      </c>
      <c r="N19" s="679">
        <f>transport!M54</f>
        <v>125.65464862847574</v>
      </c>
      <c r="O19" s="679">
        <f>transport!N54</f>
        <v>0</v>
      </c>
      <c r="P19" s="679">
        <f>transport!O54</f>
        <v>0</v>
      </c>
      <c r="Q19" s="680">
        <f>transport!P54</f>
        <v>0</v>
      </c>
      <c r="R19" s="682">
        <f>SUM(C19:Q19)</f>
        <v>2377.816411614308</v>
      </c>
      <c r="S19" s="67"/>
    </row>
    <row r="20" spans="1:19" s="442" customFormat="1">
      <c r="A20" s="800" t="s">
        <v>295</v>
      </c>
      <c r="B20" s="805"/>
      <c r="C20" s="679">
        <f>transport!B14</f>
        <v>72.310097816780043</v>
      </c>
      <c r="D20" s="679">
        <f>transport!C14</f>
        <v>0</v>
      </c>
      <c r="E20" s="679">
        <f>transport!D14</f>
        <v>129.1993007494263</v>
      </c>
      <c r="F20" s="679">
        <f>transport!E14</f>
        <v>111.85478648204912</v>
      </c>
      <c r="G20" s="679">
        <f>transport!F14</f>
        <v>0</v>
      </c>
      <c r="H20" s="679">
        <f>transport!G14</f>
        <v>54033.560602435478</v>
      </c>
      <c r="I20" s="679">
        <f>transport!H14</f>
        <v>11477.199280723893</v>
      </c>
      <c r="J20" s="679">
        <f>transport!I14</f>
        <v>0</v>
      </c>
      <c r="K20" s="679">
        <f>transport!J14</f>
        <v>0</v>
      </c>
      <c r="L20" s="679">
        <f>transport!K14</f>
        <v>0</v>
      </c>
      <c r="M20" s="679">
        <f>transport!L14</f>
        <v>0</v>
      </c>
      <c r="N20" s="679">
        <f>transport!M14</f>
        <v>3874.4987430475676</v>
      </c>
      <c r="O20" s="679">
        <f>transport!N14</f>
        <v>0</v>
      </c>
      <c r="P20" s="679">
        <f>transport!O14</f>
        <v>0</v>
      </c>
      <c r="Q20" s="680">
        <f>transport!P14</f>
        <v>0</v>
      </c>
      <c r="R20" s="682">
        <f>SUM(C20:Q20)</f>
        <v>69698.622811255205</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102.97198457351496</v>
      </c>
      <c r="D22" s="803">
        <f t="shared" ref="D22:R22" si="1">SUM(D18:D21)</f>
        <v>0</v>
      </c>
      <c r="E22" s="803">
        <f t="shared" si="1"/>
        <v>129.1993007494263</v>
      </c>
      <c r="F22" s="803">
        <f t="shared" si="1"/>
        <v>111.85478648204912</v>
      </c>
      <c r="G22" s="803">
        <f t="shared" si="1"/>
        <v>0</v>
      </c>
      <c r="H22" s="803">
        <f t="shared" si="1"/>
        <v>56255.060478664578</v>
      </c>
      <c r="I22" s="803">
        <f t="shared" si="1"/>
        <v>11477.199280723893</v>
      </c>
      <c r="J22" s="803">
        <f t="shared" si="1"/>
        <v>0</v>
      </c>
      <c r="K22" s="803">
        <f t="shared" si="1"/>
        <v>0</v>
      </c>
      <c r="L22" s="803">
        <f t="shared" si="1"/>
        <v>0</v>
      </c>
      <c r="M22" s="803">
        <f t="shared" si="1"/>
        <v>0</v>
      </c>
      <c r="N22" s="803">
        <f t="shared" si="1"/>
        <v>4000.1533916760432</v>
      </c>
      <c r="O22" s="803">
        <f t="shared" si="1"/>
        <v>0</v>
      </c>
      <c r="P22" s="803">
        <f t="shared" si="1"/>
        <v>0</v>
      </c>
      <c r="Q22" s="803">
        <f t="shared" si="1"/>
        <v>0</v>
      </c>
      <c r="R22" s="803">
        <f t="shared" si="1"/>
        <v>72076.439222869507</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1039.193</v>
      </c>
      <c r="D24" s="679">
        <f>+landbouw!C8</f>
        <v>62.357142857142847</v>
      </c>
      <c r="E24" s="679">
        <f>+landbouw!D8</f>
        <v>52.141011999999996</v>
      </c>
      <c r="F24" s="679">
        <f>+landbouw!E8</f>
        <v>32.432870846424741</v>
      </c>
      <c r="G24" s="679">
        <f>+landbouw!F8</f>
        <v>3672.6231806950982</v>
      </c>
      <c r="H24" s="679">
        <f>+landbouw!G8</f>
        <v>0</v>
      </c>
      <c r="I24" s="679">
        <f>+landbouw!H8</f>
        <v>0</v>
      </c>
      <c r="J24" s="679">
        <f>+landbouw!I8</f>
        <v>0</v>
      </c>
      <c r="K24" s="679">
        <f>+landbouw!J8</f>
        <v>286.30487824029558</v>
      </c>
      <c r="L24" s="679">
        <f>+landbouw!K8</f>
        <v>0</v>
      </c>
      <c r="M24" s="679">
        <f>+landbouw!L8</f>
        <v>0</v>
      </c>
      <c r="N24" s="679">
        <f>+landbouw!M8</f>
        <v>0</v>
      </c>
      <c r="O24" s="679">
        <f>+landbouw!N8</f>
        <v>0</v>
      </c>
      <c r="P24" s="679">
        <f>+landbouw!O8</f>
        <v>0</v>
      </c>
      <c r="Q24" s="680">
        <f>+landbouw!P8</f>
        <v>0</v>
      </c>
      <c r="R24" s="682">
        <f>SUM(C24:Q24)</f>
        <v>5145.0520846389618</v>
      </c>
      <c r="S24" s="67"/>
    </row>
    <row r="25" spans="1:19" s="442" customFormat="1" ht="15" thickBot="1">
      <c r="A25" s="822" t="s">
        <v>708</v>
      </c>
      <c r="B25" s="941"/>
      <c r="C25" s="942">
        <f>IF(Onbekend_ele_kWh="---",0,Onbekend_ele_kWh)/1000+IF(REST_rest_ele_kWh="---",0,REST_rest_ele_kWh)/1000</f>
        <v>225.86435</v>
      </c>
      <c r="D25" s="942"/>
      <c r="E25" s="942">
        <f>IF(onbekend_gas_kWh="---",0,onbekend_gas_kWh)/1000+IF(REST_rest_gas_kWh="---",0,REST_rest_gas_kWh)/1000</f>
        <v>430.09199999999998</v>
      </c>
      <c r="F25" s="942"/>
      <c r="G25" s="942"/>
      <c r="H25" s="942"/>
      <c r="I25" s="942"/>
      <c r="J25" s="942"/>
      <c r="K25" s="942"/>
      <c r="L25" s="942"/>
      <c r="M25" s="942"/>
      <c r="N25" s="942"/>
      <c r="O25" s="942"/>
      <c r="P25" s="942"/>
      <c r="Q25" s="943"/>
      <c r="R25" s="682">
        <f>SUM(C25:Q25)</f>
        <v>655.95634999999993</v>
      </c>
      <c r="S25" s="67"/>
    </row>
    <row r="26" spans="1:19" s="442" customFormat="1" ht="15.75" thickBot="1">
      <c r="A26" s="687" t="s">
        <v>709</v>
      </c>
      <c r="B26" s="808"/>
      <c r="C26" s="803">
        <f>SUM(C24:C25)</f>
        <v>1265.05735</v>
      </c>
      <c r="D26" s="803">
        <f t="shared" ref="D26:R26" si="2">SUM(D24:D25)</f>
        <v>62.357142857142847</v>
      </c>
      <c r="E26" s="803">
        <f t="shared" si="2"/>
        <v>482.23301199999997</v>
      </c>
      <c r="F26" s="803">
        <f t="shared" si="2"/>
        <v>32.432870846424741</v>
      </c>
      <c r="G26" s="803">
        <f t="shared" si="2"/>
        <v>3672.6231806950982</v>
      </c>
      <c r="H26" s="803">
        <f t="shared" si="2"/>
        <v>0</v>
      </c>
      <c r="I26" s="803">
        <f t="shared" si="2"/>
        <v>0</v>
      </c>
      <c r="J26" s="803">
        <f t="shared" si="2"/>
        <v>0</v>
      </c>
      <c r="K26" s="803">
        <f t="shared" si="2"/>
        <v>286.30487824029558</v>
      </c>
      <c r="L26" s="803">
        <f t="shared" si="2"/>
        <v>0</v>
      </c>
      <c r="M26" s="803">
        <f t="shared" si="2"/>
        <v>0</v>
      </c>
      <c r="N26" s="803">
        <f t="shared" si="2"/>
        <v>0</v>
      </c>
      <c r="O26" s="803">
        <f t="shared" si="2"/>
        <v>0</v>
      </c>
      <c r="P26" s="803">
        <f t="shared" si="2"/>
        <v>0</v>
      </c>
      <c r="Q26" s="803">
        <f t="shared" si="2"/>
        <v>0</v>
      </c>
      <c r="R26" s="803">
        <f t="shared" si="2"/>
        <v>5801.0084346389613</v>
      </c>
      <c r="S26" s="67"/>
    </row>
    <row r="27" spans="1:19" s="442" customFormat="1" ht="17.25" thickTop="1" thickBot="1">
      <c r="A27" s="688" t="s">
        <v>109</v>
      </c>
      <c r="B27" s="795"/>
      <c r="C27" s="689">
        <f ca="1">C22+C16+C26</f>
        <v>27289.084501664442</v>
      </c>
      <c r="D27" s="689">
        <f t="shared" ref="D27:R27" ca="1" si="3">D22+D16+D26</f>
        <v>62.357142857142847</v>
      </c>
      <c r="E27" s="689">
        <f t="shared" ca="1" si="3"/>
        <v>26126.901722949431</v>
      </c>
      <c r="F27" s="689">
        <f t="shared" si="3"/>
        <v>2573.0928745072142</v>
      </c>
      <c r="G27" s="689">
        <f t="shared" ca="1" si="3"/>
        <v>39254.594098032656</v>
      </c>
      <c r="H27" s="689">
        <f t="shared" si="3"/>
        <v>56255.060478664578</v>
      </c>
      <c r="I27" s="689">
        <f t="shared" si="3"/>
        <v>11477.199280723893</v>
      </c>
      <c r="J27" s="689">
        <f t="shared" si="3"/>
        <v>0</v>
      </c>
      <c r="K27" s="689">
        <f t="shared" si="3"/>
        <v>423.37337595132567</v>
      </c>
      <c r="L27" s="689">
        <f t="shared" si="3"/>
        <v>0</v>
      </c>
      <c r="M27" s="689">
        <f t="shared" ca="1" si="3"/>
        <v>0</v>
      </c>
      <c r="N27" s="689">
        <f t="shared" si="3"/>
        <v>4000.1533916760432</v>
      </c>
      <c r="O27" s="689">
        <f t="shared" ca="1" si="3"/>
        <v>6047.9329721110171</v>
      </c>
      <c r="P27" s="689">
        <f t="shared" si="3"/>
        <v>255.9306103009271</v>
      </c>
      <c r="Q27" s="689">
        <f t="shared" si="3"/>
        <v>526.56730715232106</v>
      </c>
      <c r="R27" s="689">
        <f t="shared" ca="1" si="3"/>
        <v>174292.24775659101</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1442.7869476773276</v>
      </c>
      <c r="D40" s="679">
        <f ca="1">tertiair!C20</f>
        <v>0</v>
      </c>
      <c r="E40" s="679">
        <f ca="1">tertiair!D20</f>
        <v>1322.8395943664</v>
      </c>
      <c r="F40" s="679">
        <f>tertiair!E20</f>
        <v>20.834640147965452</v>
      </c>
      <c r="G40" s="679">
        <f ca="1">tertiair!F20</f>
        <v>196.05250038663468</v>
      </c>
      <c r="H40" s="679">
        <f>tertiair!G20</f>
        <v>0</v>
      </c>
      <c r="I40" s="679">
        <f>tertiair!H20</f>
        <v>0</v>
      </c>
      <c r="J40" s="679">
        <f>tertiair!I20</f>
        <v>0</v>
      </c>
      <c r="K40" s="679">
        <f>tertiair!J20</f>
        <v>2.5933508304967108E-3</v>
      </c>
      <c r="L40" s="679">
        <f>tertiair!K20</f>
        <v>0</v>
      </c>
      <c r="M40" s="679">
        <f ca="1">tertiair!L20</f>
        <v>0</v>
      </c>
      <c r="N40" s="679">
        <f>tertiair!M20</f>
        <v>0</v>
      </c>
      <c r="O40" s="679">
        <f ca="1">tertiair!N20</f>
        <v>0</v>
      </c>
      <c r="P40" s="679">
        <f>tertiair!O20</f>
        <v>0</v>
      </c>
      <c r="Q40" s="762">
        <f>tertiair!P20</f>
        <v>0</v>
      </c>
      <c r="R40" s="841">
        <f t="shared" ca="1" si="4"/>
        <v>2982.5162759291579</v>
      </c>
    </row>
    <row r="41" spans="1:18">
      <c r="A41" s="813" t="s">
        <v>213</v>
      </c>
      <c r="B41" s="820"/>
      <c r="C41" s="679">
        <f ca="1">huishoudens!B12</f>
        <v>3234.7089969609897</v>
      </c>
      <c r="D41" s="679">
        <f ca="1">huishoudens!C12</f>
        <v>0</v>
      </c>
      <c r="E41" s="679">
        <f>huishoudens!D12</f>
        <v>3762.0954439420002</v>
      </c>
      <c r="F41" s="679">
        <f>huishoudens!E12</f>
        <v>479.39724143917789</v>
      </c>
      <c r="G41" s="679">
        <f>huishoudens!F12</f>
        <v>9090.3766564162997</v>
      </c>
      <c r="H41" s="679">
        <f>huishoudens!G12</f>
        <v>0</v>
      </c>
      <c r="I41" s="679">
        <f>huishoudens!H12</f>
        <v>0</v>
      </c>
      <c r="J41" s="679">
        <f>huishoudens!I12</f>
        <v>0</v>
      </c>
      <c r="K41" s="679">
        <f>huishoudens!J12</f>
        <v>48.148844582052185</v>
      </c>
      <c r="L41" s="679">
        <f>huishoudens!K12</f>
        <v>0</v>
      </c>
      <c r="M41" s="679">
        <f>huishoudens!L12</f>
        <v>0</v>
      </c>
      <c r="N41" s="679">
        <f>huishoudens!M12</f>
        <v>0</v>
      </c>
      <c r="O41" s="679">
        <f>huishoudens!N12</f>
        <v>0</v>
      </c>
      <c r="P41" s="679">
        <f>huishoudens!O12</f>
        <v>0</v>
      </c>
      <c r="Q41" s="762">
        <f>huishoudens!P12</f>
        <v>0</v>
      </c>
      <c r="R41" s="841">
        <f t="shared" ca="1" si="4"/>
        <v>16614.727183340518</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405.49245204715191</v>
      </c>
      <c r="D43" s="679">
        <f ca="1">industrie!C22</f>
        <v>0</v>
      </c>
      <c r="E43" s="679">
        <f>industrie!D22</f>
        <v>69.189782552000011</v>
      </c>
      <c r="F43" s="679">
        <f>industrie!E22</f>
        <v>51.106902712430688</v>
      </c>
      <c r="G43" s="679">
        <f>industrie!F22</f>
        <v>213.95707812619514</v>
      </c>
      <c r="H43" s="679">
        <f>industrie!G22</f>
        <v>0</v>
      </c>
      <c r="I43" s="679">
        <f>industrie!H22</f>
        <v>0</v>
      </c>
      <c r="J43" s="679">
        <f>industrie!I22</f>
        <v>0</v>
      </c>
      <c r="K43" s="679">
        <f>industrie!J22</f>
        <v>0.37081025682196778</v>
      </c>
      <c r="L43" s="679">
        <f>industrie!K22</f>
        <v>0</v>
      </c>
      <c r="M43" s="679">
        <f>industrie!L22</f>
        <v>0</v>
      </c>
      <c r="N43" s="679">
        <f>industrie!M22</f>
        <v>0</v>
      </c>
      <c r="O43" s="679">
        <f>industrie!N22</f>
        <v>0</v>
      </c>
      <c r="P43" s="679">
        <f>industrie!O22</f>
        <v>0</v>
      </c>
      <c r="Q43" s="762">
        <f>industrie!P22</f>
        <v>0</v>
      </c>
      <c r="R43" s="840">
        <f t="shared" ca="1" si="4"/>
        <v>740.11702569459976</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5082.9883966854695</v>
      </c>
      <c r="D46" s="715">
        <f t="shared" ref="D46:Q46" ca="1" si="5">SUM(D39:D45)</f>
        <v>0</v>
      </c>
      <c r="E46" s="715">
        <f t="shared" ca="1" si="5"/>
        <v>5154.1248208604002</v>
      </c>
      <c r="F46" s="715">
        <f t="shared" si="5"/>
        <v>551.33878429957406</v>
      </c>
      <c r="G46" s="715">
        <f t="shared" ca="1" si="5"/>
        <v>9500.3862349291303</v>
      </c>
      <c r="H46" s="715">
        <f t="shared" si="5"/>
        <v>0</v>
      </c>
      <c r="I46" s="715">
        <f t="shared" si="5"/>
        <v>0</v>
      </c>
      <c r="J46" s="715">
        <f t="shared" si="5"/>
        <v>0</v>
      </c>
      <c r="K46" s="715">
        <f t="shared" si="5"/>
        <v>48.522248189704648</v>
      </c>
      <c r="L46" s="715">
        <f t="shared" si="5"/>
        <v>0</v>
      </c>
      <c r="M46" s="715">
        <f t="shared" ca="1" si="5"/>
        <v>0</v>
      </c>
      <c r="N46" s="715">
        <f t="shared" si="5"/>
        <v>0</v>
      </c>
      <c r="O46" s="715">
        <f t="shared" ca="1" si="5"/>
        <v>0</v>
      </c>
      <c r="P46" s="715">
        <f t="shared" si="5"/>
        <v>0</v>
      </c>
      <c r="Q46" s="715">
        <f t="shared" si="5"/>
        <v>0</v>
      </c>
      <c r="R46" s="715">
        <f ca="1">SUM(R39:R45)</f>
        <v>20337.360484964272</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6.0126415996690552</v>
      </c>
      <c r="D49" s="679">
        <f ca="1">transport!C58</f>
        <v>0</v>
      </c>
      <c r="E49" s="679">
        <f>transport!D58</f>
        <v>0</v>
      </c>
      <c r="F49" s="679">
        <f>transport!E58</f>
        <v>0</v>
      </c>
      <c r="G49" s="679">
        <f>transport!F58</f>
        <v>0</v>
      </c>
      <c r="H49" s="679">
        <f>transport!G58</f>
        <v>593.14046695316904</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599.15310855283815</v>
      </c>
    </row>
    <row r="50" spans="1:18">
      <c r="A50" s="816" t="s">
        <v>295</v>
      </c>
      <c r="B50" s="826"/>
      <c r="C50" s="685">
        <f ca="1">transport!B18</f>
        <v>14.179646075230892</v>
      </c>
      <c r="D50" s="685">
        <f>transport!C18</f>
        <v>0</v>
      </c>
      <c r="E50" s="685">
        <f>transport!D18</f>
        <v>26.098258751384115</v>
      </c>
      <c r="F50" s="685">
        <f>transport!E18</f>
        <v>25.391036531425151</v>
      </c>
      <c r="G50" s="685">
        <f>transport!F18</f>
        <v>0</v>
      </c>
      <c r="H50" s="685">
        <f>transport!G18</f>
        <v>14426.960680850274</v>
      </c>
      <c r="I50" s="685">
        <f>transport!H18</f>
        <v>2857.8226209002491</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17350.452243108564</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20.192287674899948</v>
      </c>
      <c r="D52" s="715">
        <f t="shared" ref="D52:Q52" ca="1" si="6">SUM(D48:D51)</f>
        <v>0</v>
      </c>
      <c r="E52" s="715">
        <f t="shared" si="6"/>
        <v>26.098258751384115</v>
      </c>
      <c r="F52" s="715">
        <f t="shared" si="6"/>
        <v>25.391036531425151</v>
      </c>
      <c r="G52" s="715">
        <f t="shared" si="6"/>
        <v>0</v>
      </c>
      <c r="H52" s="715">
        <f t="shared" si="6"/>
        <v>15020.101147803443</v>
      </c>
      <c r="I52" s="715">
        <f t="shared" si="6"/>
        <v>2857.8226209002491</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17949.605351661401</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203.7805145996908</v>
      </c>
      <c r="D54" s="685">
        <f ca="1">+landbouw!C12</f>
        <v>0</v>
      </c>
      <c r="E54" s="685">
        <f>+landbouw!D12</f>
        <v>10.532484424</v>
      </c>
      <c r="F54" s="685">
        <f>+landbouw!E12</f>
        <v>7.3622616821384161</v>
      </c>
      <c r="G54" s="685">
        <f>+landbouw!F12</f>
        <v>980.59038924559127</v>
      </c>
      <c r="H54" s="685">
        <f>+landbouw!G12</f>
        <v>0</v>
      </c>
      <c r="I54" s="685">
        <f>+landbouw!H12</f>
        <v>0</v>
      </c>
      <c r="J54" s="685">
        <f>+landbouw!I12</f>
        <v>0</v>
      </c>
      <c r="K54" s="685">
        <f>+landbouw!J12</f>
        <v>101.35192689706463</v>
      </c>
      <c r="L54" s="685">
        <f>+landbouw!K12</f>
        <v>0</v>
      </c>
      <c r="M54" s="685">
        <f>+landbouw!L12</f>
        <v>0</v>
      </c>
      <c r="N54" s="685">
        <f>+landbouw!M12</f>
        <v>0</v>
      </c>
      <c r="O54" s="685">
        <f>+landbouw!N12</f>
        <v>0</v>
      </c>
      <c r="P54" s="685">
        <f>+landbouw!O12</f>
        <v>0</v>
      </c>
      <c r="Q54" s="686">
        <f>+landbouw!P12</f>
        <v>0</v>
      </c>
      <c r="R54" s="714">
        <f ca="1">SUM(C54:Q54)</f>
        <v>1303.6175768484852</v>
      </c>
    </row>
    <row r="55" spans="1:18" ht="15" thickBot="1">
      <c r="A55" s="816" t="s">
        <v>708</v>
      </c>
      <c r="B55" s="826"/>
      <c r="C55" s="685">
        <f ca="1">C25*'EF ele_warmte'!B12</f>
        <v>44.29086172898073</v>
      </c>
      <c r="D55" s="685"/>
      <c r="E55" s="685">
        <f>E25*EF_CO2_aardgas</f>
        <v>86.878584000000004</v>
      </c>
      <c r="F55" s="685"/>
      <c r="G55" s="685"/>
      <c r="H55" s="685"/>
      <c r="I55" s="685"/>
      <c r="J55" s="685"/>
      <c r="K55" s="685"/>
      <c r="L55" s="685"/>
      <c r="M55" s="685"/>
      <c r="N55" s="685"/>
      <c r="O55" s="685"/>
      <c r="P55" s="685"/>
      <c r="Q55" s="686"/>
      <c r="R55" s="714">
        <f ca="1">SUM(C55:Q55)</f>
        <v>131.16944572898075</v>
      </c>
    </row>
    <row r="56" spans="1:18" ht="15.75" thickBot="1">
      <c r="A56" s="814" t="s">
        <v>709</v>
      </c>
      <c r="B56" s="827"/>
      <c r="C56" s="715">
        <f ca="1">SUM(C54:C55)</f>
        <v>248.07137632867153</v>
      </c>
      <c r="D56" s="715">
        <f t="shared" ref="D56:Q56" ca="1" si="7">SUM(D54:D55)</f>
        <v>0</v>
      </c>
      <c r="E56" s="715">
        <f t="shared" si="7"/>
        <v>97.411068424000007</v>
      </c>
      <c r="F56" s="715">
        <f t="shared" si="7"/>
        <v>7.3622616821384161</v>
      </c>
      <c r="G56" s="715">
        <f t="shared" si="7"/>
        <v>980.59038924559127</v>
      </c>
      <c r="H56" s="715">
        <f t="shared" si="7"/>
        <v>0</v>
      </c>
      <c r="I56" s="715">
        <f t="shared" si="7"/>
        <v>0</v>
      </c>
      <c r="J56" s="715">
        <f t="shared" si="7"/>
        <v>0</v>
      </c>
      <c r="K56" s="715">
        <f t="shared" si="7"/>
        <v>101.35192689706463</v>
      </c>
      <c r="L56" s="715">
        <f t="shared" si="7"/>
        <v>0</v>
      </c>
      <c r="M56" s="715">
        <f t="shared" si="7"/>
        <v>0</v>
      </c>
      <c r="N56" s="715">
        <f t="shared" si="7"/>
        <v>0</v>
      </c>
      <c r="O56" s="715">
        <f t="shared" si="7"/>
        <v>0</v>
      </c>
      <c r="P56" s="715">
        <f t="shared" si="7"/>
        <v>0</v>
      </c>
      <c r="Q56" s="716">
        <f t="shared" si="7"/>
        <v>0</v>
      </c>
      <c r="R56" s="717">
        <f ca="1">SUM(R54:R55)</f>
        <v>1434.7870225774659</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5351.2520606890412</v>
      </c>
      <c r="D61" s="723">
        <f t="shared" ref="D61:Q61" ca="1" si="8">D46+D52+D56</f>
        <v>0</v>
      </c>
      <c r="E61" s="723">
        <f t="shared" ca="1" si="8"/>
        <v>5277.6341480357851</v>
      </c>
      <c r="F61" s="723">
        <f t="shared" si="8"/>
        <v>584.0920825131376</v>
      </c>
      <c r="G61" s="723">
        <f t="shared" ca="1" si="8"/>
        <v>10480.976624174722</v>
      </c>
      <c r="H61" s="723">
        <f t="shared" si="8"/>
        <v>15020.101147803443</v>
      </c>
      <c r="I61" s="723">
        <f t="shared" si="8"/>
        <v>2857.8226209002491</v>
      </c>
      <c r="J61" s="723">
        <f t="shared" si="8"/>
        <v>0</v>
      </c>
      <c r="K61" s="723">
        <f t="shared" si="8"/>
        <v>149.87417508676927</v>
      </c>
      <c r="L61" s="723">
        <f t="shared" si="8"/>
        <v>0</v>
      </c>
      <c r="M61" s="723">
        <f t="shared" ca="1" si="8"/>
        <v>0</v>
      </c>
      <c r="N61" s="723">
        <f t="shared" si="8"/>
        <v>0</v>
      </c>
      <c r="O61" s="723">
        <f t="shared" ca="1" si="8"/>
        <v>0</v>
      </c>
      <c r="P61" s="723">
        <f t="shared" si="8"/>
        <v>0</v>
      </c>
      <c r="Q61" s="723">
        <f t="shared" si="8"/>
        <v>0</v>
      </c>
      <c r="R61" s="723">
        <f ca="1">R46+R52+R56</f>
        <v>39721.752859203145</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0.19609496465015719</v>
      </c>
      <c r="D63" s="769">
        <f t="shared" ca="1" si="9"/>
        <v>0</v>
      </c>
      <c r="E63" s="967">
        <f t="shared" ca="1" si="9"/>
        <v>0.20200000000000001</v>
      </c>
      <c r="F63" s="769">
        <f t="shared" si="9"/>
        <v>0.22699999999999998</v>
      </c>
      <c r="G63" s="769">
        <f t="shared" ca="1" si="9"/>
        <v>0.26700000000000007</v>
      </c>
      <c r="H63" s="769">
        <f t="shared" si="9"/>
        <v>0.26700000000000002</v>
      </c>
      <c r="I63" s="769">
        <f t="shared" si="9"/>
        <v>0.24899999999999997</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0</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3031.6242723022642</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43.649999999999991</v>
      </c>
      <c r="C76" s="736">
        <f>'lokale energieproductie'!B8*IFERROR(SUM(D76:H76)/SUM(D76:O76),0)</f>
        <v>0</v>
      </c>
      <c r="D76" s="950">
        <f>'lokale energieproductie'!C8</f>
        <v>0</v>
      </c>
      <c r="E76" s="951">
        <f>'lokale energieproductie'!D8</f>
        <v>0</v>
      </c>
      <c r="F76" s="951">
        <f>'lokale energieproductie'!E8</f>
        <v>0</v>
      </c>
      <c r="G76" s="951">
        <f>'lokale energieproductie'!F8</f>
        <v>0</v>
      </c>
      <c r="H76" s="951">
        <f>'lokale energieproductie'!G8</f>
        <v>0</v>
      </c>
      <c r="I76" s="951">
        <f>'lokale energieproductie'!I8</f>
        <v>0</v>
      </c>
      <c r="J76" s="951">
        <f>'lokale energieproductie'!J8</f>
        <v>51.35294117647058</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0</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3075.2742723022643</v>
      </c>
      <c r="C78" s="741">
        <f>SUM(C72:C77)</f>
        <v>0</v>
      </c>
      <c r="D78" s="742">
        <f t="shared" ref="D78:H78" si="10">SUM(D76:D77)</f>
        <v>0</v>
      </c>
      <c r="E78" s="742">
        <f t="shared" si="10"/>
        <v>0</v>
      </c>
      <c r="F78" s="742">
        <f t="shared" si="10"/>
        <v>0</v>
      </c>
      <c r="G78" s="742">
        <f t="shared" si="10"/>
        <v>0</v>
      </c>
      <c r="H78" s="742">
        <f t="shared" si="10"/>
        <v>0</v>
      </c>
      <c r="I78" s="742">
        <f>SUM(I76:I77)</f>
        <v>0</v>
      </c>
      <c r="J78" s="742">
        <f>SUM(J76:J77)</f>
        <v>51.35294117647058</v>
      </c>
      <c r="K78" s="742">
        <f t="shared" ref="K78:L78" si="11">SUM(K76:K77)</f>
        <v>0</v>
      </c>
      <c r="L78" s="742">
        <f t="shared" si="11"/>
        <v>0</v>
      </c>
      <c r="M78" s="742">
        <f>SUM(M76:M77)</f>
        <v>0</v>
      </c>
      <c r="N78" s="742">
        <f>SUM(N76:N77)</f>
        <v>0</v>
      </c>
      <c r="O78" s="851">
        <f>SUM(O76:O77)</f>
        <v>0</v>
      </c>
      <c r="P78" s="743">
        <v>0</v>
      </c>
      <c r="Q78" s="743">
        <f>SUM(Q76:Q77)</f>
        <v>0</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62.357142857142847</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73.361344537815114</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0</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62.357142857142847</v>
      </c>
      <c r="C90" s="741">
        <f>SUM(C87:C89)</f>
        <v>0</v>
      </c>
      <c r="D90" s="741">
        <f t="shared" ref="D90:H90" si="12">SUM(D87:D89)</f>
        <v>0</v>
      </c>
      <c r="E90" s="741">
        <f t="shared" si="12"/>
        <v>0</v>
      </c>
      <c r="F90" s="741">
        <f t="shared" si="12"/>
        <v>0</v>
      </c>
      <c r="G90" s="741">
        <f t="shared" si="12"/>
        <v>0</v>
      </c>
      <c r="H90" s="741">
        <f t="shared" si="12"/>
        <v>0</v>
      </c>
      <c r="I90" s="741">
        <f>SUM(I87:I89)</f>
        <v>0</v>
      </c>
      <c r="J90" s="741">
        <f>SUM(J87:J89)</f>
        <v>73.361344537815114</v>
      </c>
      <c r="K90" s="741">
        <f t="shared" ref="K90:L90" si="13">SUM(K87:K89)</f>
        <v>0</v>
      </c>
      <c r="L90" s="741">
        <f t="shared" si="13"/>
        <v>0</v>
      </c>
      <c r="M90" s="741">
        <f>SUM(M87:M89)</f>
        <v>0</v>
      </c>
      <c r="N90" s="741">
        <f>SUM(N87:N89)</f>
        <v>0</v>
      </c>
      <c r="O90" s="741">
        <f>SUM(O87:O89)</f>
        <v>0</v>
      </c>
      <c r="P90" s="741">
        <v>0</v>
      </c>
      <c r="Q90" s="741">
        <f>SUM(Q87:Q89)</f>
        <v>0</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16495.624978090924</v>
      </c>
      <c r="C4" s="446">
        <f>huishoudens!C8</f>
        <v>0</v>
      </c>
      <c r="D4" s="446">
        <f>huishoudens!D8</f>
        <v>18624.234871000001</v>
      </c>
      <c r="E4" s="446">
        <f>huishoudens!E8</f>
        <v>2111.8821208774357</v>
      </c>
      <c r="F4" s="446">
        <f>huishoudens!F8</f>
        <v>34046.354518413107</v>
      </c>
      <c r="G4" s="446">
        <f>huishoudens!G8</f>
        <v>0</v>
      </c>
      <c r="H4" s="446">
        <f>huishoudens!H8</f>
        <v>0</v>
      </c>
      <c r="I4" s="446">
        <f>huishoudens!I8</f>
        <v>0</v>
      </c>
      <c r="J4" s="446">
        <f>huishoudens!J8</f>
        <v>136.01368526003444</v>
      </c>
      <c r="K4" s="446">
        <f>huishoudens!K8</f>
        <v>0</v>
      </c>
      <c r="L4" s="446">
        <f>huishoudens!L8</f>
        <v>0</v>
      </c>
      <c r="M4" s="446">
        <f>huishoudens!M8</f>
        <v>0</v>
      </c>
      <c r="N4" s="446">
        <f>huishoudens!N8</f>
        <v>5578.649701981918</v>
      </c>
      <c r="O4" s="446">
        <f>huishoudens!O8</f>
        <v>255.9306103009271</v>
      </c>
      <c r="P4" s="447">
        <f>huishoudens!P8</f>
        <v>474.02816884582603</v>
      </c>
      <c r="Q4" s="448">
        <f>SUM(B4:P4)</f>
        <v>77722.718654770186</v>
      </c>
    </row>
    <row r="5" spans="1:17">
      <c r="A5" s="445" t="s">
        <v>149</v>
      </c>
      <c r="B5" s="446">
        <f ca="1">tertiair!B16</f>
        <v>6825.8320430000003</v>
      </c>
      <c r="C5" s="446">
        <f ca="1">tertiair!C16</f>
        <v>0</v>
      </c>
      <c r="D5" s="446">
        <f ca="1">tertiair!D16</f>
        <v>6548.7108631999999</v>
      </c>
      <c r="E5" s="446">
        <f>tertiair!E16</f>
        <v>91.782555717909474</v>
      </c>
      <c r="F5" s="446">
        <f ca="1">tertiair!F16</f>
        <v>734.27902766529837</v>
      </c>
      <c r="G5" s="446">
        <f>tertiair!G16</f>
        <v>0</v>
      </c>
      <c r="H5" s="446">
        <f>tertiair!H16</f>
        <v>0</v>
      </c>
      <c r="I5" s="446">
        <f>tertiair!I16</f>
        <v>0</v>
      </c>
      <c r="J5" s="446">
        <f>tertiair!J16</f>
        <v>7.3258498036630256E-3</v>
      </c>
      <c r="K5" s="446">
        <f>tertiair!K16</f>
        <v>0</v>
      </c>
      <c r="L5" s="446">
        <f ca="1">tertiair!L16</f>
        <v>0</v>
      </c>
      <c r="M5" s="446">
        <f>tertiair!M16</f>
        <v>0</v>
      </c>
      <c r="N5" s="446">
        <f ca="1">tertiair!N16</f>
        <v>297.20839234248263</v>
      </c>
      <c r="O5" s="446">
        <f>tertiair!O16</f>
        <v>0</v>
      </c>
      <c r="P5" s="447">
        <f>tertiair!P16</f>
        <v>52.539138306495019</v>
      </c>
      <c r="Q5" s="445">
        <f t="shared" ref="Q5:Q14" ca="1" si="0">SUM(B5:P5)</f>
        <v>14550.359346081988</v>
      </c>
    </row>
    <row r="6" spans="1:17">
      <c r="A6" s="445" t="s">
        <v>187</v>
      </c>
      <c r="B6" s="446">
        <f>'openbare verlichting'!B8</f>
        <v>531.76099999999997</v>
      </c>
      <c r="C6" s="446"/>
      <c r="D6" s="446"/>
      <c r="E6" s="446"/>
      <c r="F6" s="446"/>
      <c r="G6" s="446"/>
      <c r="H6" s="446"/>
      <c r="I6" s="446"/>
      <c r="J6" s="446"/>
      <c r="K6" s="446"/>
      <c r="L6" s="446"/>
      <c r="M6" s="446"/>
      <c r="N6" s="446"/>
      <c r="O6" s="446"/>
      <c r="P6" s="447"/>
      <c r="Q6" s="445">
        <f t="shared" si="0"/>
        <v>531.76099999999997</v>
      </c>
    </row>
    <row r="7" spans="1:17">
      <c r="A7" s="445" t="s">
        <v>105</v>
      </c>
      <c r="B7" s="446">
        <f>landbouw!B8</f>
        <v>1039.193</v>
      </c>
      <c r="C7" s="446">
        <f>landbouw!C8</f>
        <v>62.357142857142847</v>
      </c>
      <c r="D7" s="446">
        <f>landbouw!D8</f>
        <v>52.141011999999996</v>
      </c>
      <c r="E7" s="446">
        <f>landbouw!E8</f>
        <v>32.432870846424741</v>
      </c>
      <c r="F7" s="446">
        <f>landbouw!F8</f>
        <v>3672.6231806950982</v>
      </c>
      <c r="G7" s="446">
        <f>landbouw!G8</f>
        <v>0</v>
      </c>
      <c r="H7" s="446">
        <f>landbouw!H8</f>
        <v>0</v>
      </c>
      <c r="I7" s="446">
        <f>landbouw!I8</f>
        <v>0</v>
      </c>
      <c r="J7" s="446">
        <f>landbouw!J8</f>
        <v>286.30487824029558</v>
      </c>
      <c r="K7" s="446">
        <f>landbouw!K8</f>
        <v>0</v>
      </c>
      <c r="L7" s="446">
        <f>landbouw!L8</f>
        <v>0</v>
      </c>
      <c r="M7" s="446">
        <f>landbouw!M8</f>
        <v>0</v>
      </c>
      <c r="N7" s="446">
        <f>landbouw!N8</f>
        <v>0</v>
      </c>
      <c r="O7" s="446">
        <f>landbouw!O8</f>
        <v>0</v>
      </c>
      <c r="P7" s="447">
        <f>landbouw!P8</f>
        <v>0</v>
      </c>
      <c r="Q7" s="445">
        <f t="shared" si="0"/>
        <v>5145.0520846389618</v>
      </c>
    </row>
    <row r="8" spans="1:17">
      <c r="A8" s="445" t="s">
        <v>612</v>
      </c>
      <c r="B8" s="446">
        <f>industrie!B18</f>
        <v>2067.8371459999998</v>
      </c>
      <c r="C8" s="446">
        <f>industrie!C18</f>
        <v>0</v>
      </c>
      <c r="D8" s="446">
        <f>industrie!D18</f>
        <v>342.52367600000002</v>
      </c>
      <c r="E8" s="446">
        <f>industrie!E18</f>
        <v>225.14054058339511</v>
      </c>
      <c r="F8" s="446">
        <f>industrie!F18</f>
        <v>801.33737125915775</v>
      </c>
      <c r="G8" s="446">
        <f>industrie!G18</f>
        <v>0</v>
      </c>
      <c r="H8" s="446">
        <f>industrie!H18</f>
        <v>0</v>
      </c>
      <c r="I8" s="446">
        <f>industrie!I18</f>
        <v>0</v>
      </c>
      <c r="J8" s="446">
        <f>industrie!J18</f>
        <v>1.0474866011919994</v>
      </c>
      <c r="K8" s="446">
        <f>industrie!K18</f>
        <v>0</v>
      </c>
      <c r="L8" s="446">
        <f>industrie!L18</f>
        <v>0</v>
      </c>
      <c r="M8" s="446">
        <f>industrie!M18</f>
        <v>0</v>
      </c>
      <c r="N8" s="446">
        <f>industrie!N18</f>
        <v>172.0748777866163</v>
      </c>
      <c r="O8" s="446">
        <f>industrie!O18</f>
        <v>0</v>
      </c>
      <c r="P8" s="447">
        <f>industrie!P18</f>
        <v>0</v>
      </c>
      <c r="Q8" s="445">
        <f t="shared" si="0"/>
        <v>3609.9610982303611</v>
      </c>
    </row>
    <row r="9" spans="1:17" s="451" customFormat="1">
      <c r="A9" s="449" t="s">
        <v>538</v>
      </c>
      <c r="B9" s="450">
        <f>transport!B14</f>
        <v>72.310097816780043</v>
      </c>
      <c r="C9" s="450">
        <f>transport!C14</f>
        <v>0</v>
      </c>
      <c r="D9" s="450">
        <f>transport!D14</f>
        <v>129.1993007494263</v>
      </c>
      <c r="E9" s="450">
        <f>transport!E14</f>
        <v>111.85478648204912</v>
      </c>
      <c r="F9" s="450">
        <f>transport!F14</f>
        <v>0</v>
      </c>
      <c r="G9" s="450">
        <f>transport!G14</f>
        <v>54033.560602435478</v>
      </c>
      <c r="H9" s="450">
        <f>transport!H14</f>
        <v>11477.199280723893</v>
      </c>
      <c r="I9" s="450">
        <f>transport!I14</f>
        <v>0</v>
      </c>
      <c r="J9" s="450">
        <f>transport!J14</f>
        <v>0</v>
      </c>
      <c r="K9" s="450">
        <f>transport!K14</f>
        <v>0</v>
      </c>
      <c r="L9" s="450">
        <f>transport!L14</f>
        <v>0</v>
      </c>
      <c r="M9" s="450">
        <f>transport!M14</f>
        <v>3874.4987430475676</v>
      </c>
      <c r="N9" s="450">
        <f>transport!N14</f>
        <v>0</v>
      </c>
      <c r="O9" s="450">
        <f>transport!O14</f>
        <v>0</v>
      </c>
      <c r="P9" s="450">
        <f>transport!P14</f>
        <v>0</v>
      </c>
      <c r="Q9" s="449">
        <f>SUM(B9:P9)</f>
        <v>69698.622811255205</v>
      </c>
    </row>
    <row r="10" spans="1:17">
      <c r="A10" s="445" t="s">
        <v>528</v>
      </c>
      <c r="B10" s="446">
        <f>transport!B54</f>
        <v>30.661886756734912</v>
      </c>
      <c r="C10" s="446">
        <f>transport!C54</f>
        <v>0</v>
      </c>
      <c r="D10" s="446">
        <f>transport!D54</f>
        <v>0</v>
      </c>
      <c r="E10" s="446">
        <f>transport!E54</f>
        <v>0</v>
      </c>
      <c r="F10" s="446">
        <f>transport!F54</f>
        <v>0</v>
      </c>
      <c r="G10" s="446">
        <f>transport!G54</f>
        <v>2221.4998762290975</v>
      </c>
      <c r="H10" s="446">
        <f>transport!H54</f>
        <v>0</v>
      </c>
      <c r="I10" s="446">
        <f>transport!I54</f>
        <v>0</v>
      </c>
      <c r="J10" s="446">
        <f>transport!J54</f>
        <v>0</v>
      </c>
      <c r="K10" s="446">
        <f>transport!K54</f>
        <v>0</v>
      </c>
      <c r="L10" s="446">
        <f>transport!L54</f>
        <v>0</v>
      </c>
      <c r="M10" s="446">
        <f>transport!M54</f>
        <v>125.65464862847574</v>
      </c>
      <c r="N10" s="446">
        <f>transport!N54</f>
        <v>0</v>
      </c>
      <c r="O10" s="446">
        <f>transport!O54</f>
        <v>0</v>
      </c>
      <c r="P10" s="447">
        <f>transport!P54</f>
        <v>0</v>
      </c>
      <c r="Q10" s="445">
        <f t="shared" si="0"/>
        <v>2377.816411614308</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225.86435</v>
      </c>
      <c r="C14" s="453"/>
      <c r="D14" s="453">
        <f>'SEAP template'!E25</f>
        <v>430.09199999999998</v>
      </c>
      <c r="E14" s="453"/>
      <c r="F14" s="453"/>
      <c r="G14" s="453"/>
      <c r="H14" s="453"/>
      <c r="I14" s="453"/>
      <c r="J14" s="453"/>
      <c r="K14" s="453"/>
      <c r="L14" s="453"/>
      <c r="M14" s="453"/>
      <c r="N14" s="453"/>
      <c r="O14" s="453"/>
      <c r="P14" s="454"/>
      <c r="Q14" s="445">
        <f t="shared" si="0"/>
        <v>655.95634999999993</v>
      </c>
    </row>
    <row r="15" spans="1:17" s="457" customFormat="1">
      <c r="A15" s="455" t="s">
        <v>532</v>
      </c>
      <c r="B15" s="456">
        <f ca="1">SUM(B4:B14)</f>
        <v>27289.084501664431</v>
      </c>
      <c r="C15" s="456">
        <f t="shared" ref="C15:Q15" ca="1" si="1">SUM(C4:C14)</f>
        <v>62.357142857142847</v>
      </c>
      <c r="D15" s="456">
        <f t="shared" ca="1" si="1"/>
        <v>26126.901722949431</v>
      </c>
      <c r="E15" s="456">
        <f t="shared" si="1"/>
        <v>2573.0928745072142</v>
      </c>
      <c r="F15" s="456">
        <f t="shared" ca="1" si="1"/>
        <v>39254.594098032656</v>
      </c>
      <c r="G15" s="456">
        <f t="shared" si="1"/>
        <v>56255.060478664578</v>
      </c>
      <c r="H15" s="456">
        <f t="shared" si="1"/>
        <v>11477.199280723893</v>
      </c>
      <c r="I15" s="456">
        <f t="shared" si="1"/>
        <v>0</v>
      </c>
      <c r="J15" s="456">
        <f t="shared" si="1"/>
        <v>423.37337595132573</v>
      </c>
      <c r="K15" s="456">
        <f t="shared" si="1"/>
        <v>0</v>
      </c>
      <c r="L15" s="456">
        <f t="shared" ca="1" si="1"/>
        <v>0</v>
      </c>
      <c r="M15" s="456">
        <f t="shared" si="1"/>
        <v>4000.1533916760432</v>
      </c>
      <c r="N15" s="456">
        <f t="shared" ca="1" si="1"/>
        <v>6047.9329721110171</v>
      </c>
      <c r="O15" s="456">
        <f t="shared" si="1"/>
        <v>255.9306103009271</v>
      </c>
      <c r="P15" s="456">
        <f t="shared" si="1"/>
        <v>526.56730715232106</v>
      </c>
      <c r="Q15" s="456">
        <f t="shared" ca="1" si="1"/>
        <v>174292.24775659098</v>
      </c>
    </row>
    <row r="17" spans="1:17">
      <c r="A17" s="458" t="s">
        <v>533</v>
      </c>
      <c r="B17" s="774">
        <f ca="1">huishoudens!B10</f>
        <v>0.19609496465015719</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3234.7089969609897</v>
      </c>
      <c r="C22" s="446">
        <f t="shared" ref="C22:C32" ca="1" si="3">C4*$C$17</f>
        <v>0</v>
      </c>
      <c r="D22" s="446">
        <f t="shared" ref="D22:D32" si="4">D4*$D$17</f>
        <v>3762.0954439420002</v>
      </c>
      <c r="E22" s="446">
        <f t="shared" ref="E22:E32" si="5">E4*$E$17</f>
        <v>479.39724143917789</v>
      </c>
      <c r="F22" s="446">
        <f t="shared" ref="F22:F32" si="6">F4*$F$17</f>
        <v>9090.3766564162997</v>
      </c>
      <c r="G22" s="446">
        <f t="shared" ref="G22:G32" si="7">G4*$G$17</f>
        <v>0</v>
      </c>
      <c r="H22" s="446">
        <f t="shared" ref="H22:H32" si="8">H4*$H$17</f>
        <v>0</v>
      </c>
      <c r="I22" s="446">
        <f t="shared" ref="I22:I32" si="9">I4*$I$17</f>
        <v>0</v>
      </c>
      <c r="J22" s="446">
        <f t="shared" ref="J22:J32" si="10">J4*$J$17</f>
        <v>48.148844582052185</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16614.727183340518</v>
      </c>
    </row>
    <row r="23" spans="1:17">
      <c r="A23" s="445" t="s">
        <v>149</v>
      </c>
      <c r="B23" s="446">
        <f t="shared" ca="1" si="2"/>
        <v>1338.5112931799954</v>
      </c>
      <c r="C23" s="446">
        <f t="shared" ca="1" si="3"/>
        <v>0</v>
      </c>
      <c r="D23" s="446">
        <f t="shared" ca="1" si="4"/>
        <v>1322.8395943664</v>
      </c>
      <c r="E23" s="446">
        <f t="shared" si="5"/>
        <v>20.834640147965452</v>
      </c>
      <c r="F23" s="446">
        <f t="shared" ca="1" si="6"/>
        <v>196.05250038663468</v>
      </c>
      <c r="G23" s="446">
        <f t="shared" si="7"/>
        <v>0</v>
      </c>
      <c r="H23" s="446">
        <f t="shared" si="8"/>
        <v>0</v>
      </c>
      <c r="I23" s="446">
        <f t="shared" si="9"/>
        <v>0</v>
      </c>
      <c r="J23" s="446">
        <f t="shared" si="10"/>
        <v>2.5933508304967108E-3</v>
      </c>
      <c r="K23" s="446">
        <f t="shared" si="11"/>
        <v>0</v>
      </c>
      <c r="L23" s="446">
        <f t="shared" ca="1" si="12"/>
        <v>0</v>
      </c>
      <c r="M23" s="446">
        <f t="shared" si="13"/>
        <v>0</v>
      </c>
      <c r="N23" s="446">
        <f t="shared" ca="1" si="14"/>
        <v>0</v>
      </c>
      <c r="O23" s="446">
        <f t="shared" si="15"/>
        <v>0</v>
      </c>
      <c r="P23" s="447">
        <f t="shared" si="16"/>
        <v>0</v>
      </c>
      <c r="Q23" s="445">
        <f t="shared" ref="Q23:Q31" ca="1" si="17">SUM(B23:P23)</f>
        <v>2878.2406214318257</v>
      </c>
    </row>
    <row r="24" spans="1:17">
      <c r="A24" s="445" t="s">
        <v>187</v>
      </c>
      <c r="B24" s="446">
        <f t="shared" ca="1" si="2"/>
        <v>104.27565449733223</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104.27565449733223</v>
      </c>
    </row>
    <row r="25" spans="1:17">
      <c r="A25" s="445" t="s">
        <v>105</v>
      </c>
      <c r="B25" s="446">
        <f t="shared" ca="1" si="2"/>
        <v>203.7805145996908</v>
      </c>
      <c r="C25" s="446">
        <f t="shared" ca="1" si="3"/>
        <v>0</v>
      </c>
      <c r="D25" s="446">
        <f t="shared" si="4"/>
        <v>10.532484424</v>
      </c>
      <c r="E25" s="446">
        <f t="shared" si="5"/>
        <v>7.3622616821384161</v>
      </c>
      <c r="F25" s="446">
        <f t="shared" si="6"/>
        <v>980.59038924559127</v>
      </c>
      <c r="G25" s="446">
        <f t="shared" si="7"/>
        <v>0</v>
      </c>
      <c r="H25" s="446">
        <f t="shared" si="8"/>
        <v>0</v>
      </c>
      <c r="I25" s="446">
        <f t="shared" si="9"/>
        <v>0</v>
      </c>
      <c r="J25" s="446">
        <f t="shared" si="10"/>
        <v>101.35192689706463</v>
      </c>
      <c r="K25" s="446">
        <f t="shared" si="11"/>
        <v>0</v>
      </c>
      <c r="L25" s="446">
        <f t="shared" si="12"/>
        <v>0</v>
      </c>
      <c r="M25" s="446">
        <f t="shared" si="13"/>
        <v>0</v>
      </c>
      <c r="N25" s="446">
        <f t="shared" si="14"/>
        <v>0</v>
      </c>
      <c r="O25" s="446">
        <f t="shared" si="15"/>
        <v>0</v>
      </c>
      <c r="P25" s="447">
        <f t="shared" si="16"/>
        <v>0</v>
      </c>
      <c r="Q25" s="445">
        <f t="shared" ca="1" si="17"/>
        <v>1303.6175768484852</v>
      </c>
    </row>
    <row r="26" spans="1:17">
      <c r="A26" s="445" t="s">
        <v>612</v>
      </c>
      <c r="B26" s="446">
        <f t="shared" ca="1" si="2"/>
        <v>405.49245204715191</v>
      </c>
      <c r="C26" s="446">
        <f t="shared" ca="1" si="3"/>
        <v>0</v>
      </c>
      <c r="D26" s="446">
        <f t="shared" si="4"/>
        <v>69.189782552000011</v>
      </c>
      <c r="E26" s="446">
        <f t="shared" si="5"/>
        <v>51.106902712430688</v>
      </c>
      <c r="F26" s="446">
        <f t="shared" si="6"/>
        <v>213.95707812619514</v>
      </c>
      <c r="G26" s="446">
        <f t="shared" si="7"/>
        <v>0</v>
      </c>
      <c r="H26" s="446">
        <f t="shared" si="8"/>
        <v>0</v>
      </c>
      <c r="I26" s="446">
        <f t="shared" si="9"/>
        <v>0</v>
      </c>
      <c r="J26" s="446">
        <f t="shared" si="10"/>
        <v>0.37081025682196778</v>
      </c>
      <c r="K26" s="446">
        <f t="shared" si="11"/>
        <v>0</v>
      </c>
      <c r="L26" s="446">
        <f t="shared" si="12"/>
        <v>0</v>
      </c>
      <c r="M26" s="446">
        <f t="shared" si="13"/>
        <v>0</v>
      </c>
      <c r="N26" s="446">
        <f t="shared" si="14"/>
        <v>0</v>
      </c>
      <c r="O26" s="446">
        <f t="shared" si="15"/>
        <v>0</v>
      </c>
      <c r="P26" s="447">
        <f t="shared" si="16"/>
        <v>0</v>
      </c>
      <c r="Q26" s="445">
        <f t="shared" ca="1" si="17"/>
        <v>740.11702569459976</v>
      </c>
    </row>
    <row r="27" spans="1:17" s="451" customFormat="1">
      <c r="A27" s="449" t="s">
        <v>538</v>
      </c>
      <c r="B27" s="768">
        <f t="shared" ca="1" si="2"/>
        <v>14.179646075230892</v>
      </c>
      <c r="C27" s="450">
        <f t="shared" ca="1" si="3"/>
        <v>0</v>
      </c>
      <c r="D27" s="450">
        <f t="shared" si="4"/>
        <v>26.098258751384115</v>
      </c>
      <c r="E27" s="450">
        <f t="shared" si="5"/>
        <v>25.391036531425151</v>
      </c>
      <c r="F27" s="450">
        <f t="shared" si="6"/>
        <v>0</v>
      </c>
      <c r="G27" s="450">
        <f t="shared" si="7"/>
        <v>14426.960680850274</v>
      </c>
      <c r="H27" s="450">
        <f t="shared" si="8"/>
        <v>2857.8226209002491</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17350.452243108564</v>
      </c>
    </row>
    <row r="28" spans="1:17" ht="16.5" customHeight="1">
      <c r="A28" s="445" t="s">
        <v>528</v>
      </c>
      <c r="B28" s="446">
        <f t="shared" ca="1" si="2"/>
        <v>6.0126415996690552</v>
      </c>
      <c r="C28" s="446">
        <f t="shared" ca="1" si="3"/>
        <v>0</v>
      </c>
      <c r="D28" s="446">
        <f t="shared" si="4"/>
        <v>0</v>
      </c>
      <c r="E28" s="446">
        <f t="shared" si="5"/>
        <v>0</v>
      </c>
      <c r="F28" s="446">
        <f t="shared" si="6"/>
        <v>0</v>
      </c>
      <c r="G28" s="446">
        <f t="shared" si="7"/>
        <v>593.14046695316904</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599.15310855283815</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44.29086172898073</v>
      </c>
      <c r="C32" s="446">
        <f t="shared" ca="1" si="3"/>
        <v>0</v>
      </c>
      <c r="D32" s="446">
        <f t="shared" si="4"/>
        <v>86.878584000000004</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131.16944572898075</v>
      </c>
    </row>
    <row r="33" spans="1:17" s="457" customFormat="1">
      <c r="A33" s="455" t="s">
        <v>532</v>
      </c>
      <c r="B33" s="456">
        <f ca="1">SUM(B22:B32)</f>
        <v>5351.2520606890421</v>
      </c>
      <c r="C33" s="456">
        <f t="shared" ref="C33:Q33" ca="1" si="19">SUM(C22:C32)</f>
        <v>0</v>
      </c>
      <c r="D33" s="456">
        <f t="shared" ca="1" si="19"/>
        <v>5277.6341480357851</v>
      </c>
      <c r="E33" s="456">
        <f t="shared" si="19"/>
        <v>584.0920825131376</v>
      </c>
      <c r="F33" s="456">
        <f t="shared" ca="1" si="19"/>
        <v>10480.976624174722</v>
      </c>
      <c r="G33" s="456">
        <f t="shared" si="19"/>
        <v>15020.101147803443</v>
      </c>
      <c r="H33" s="456">
        <f t="shared" si="19"/>
        <v>2857.8226209002491</v>
      </c>
      <c r="I33" s="456">
        <f t="shared" si="19"/>
        <v>0</v>
      </c>
      <c r="J33" s="456">
        <f t="shared" si="19"/>
        <v>149.87417508676927</v>
      </c>
      <c r="K33" s="456">
        <f t="shared" si="19"/>
        <v>0</v>
      </c>
      <c r="L33" s="456">
        <f t="shared" ca="1" si="19"/>
        <v>0</v>
      </c>
      <c r="M33" s="456">
        <f t="shared" si="19"/>
        <v>0</v>
      </c>
      <c r="N33" s="456">
        <f t="shared" ca="1" si="19"/>
        <v>0</v>
      </c>
      <c r="O33" s="456">
        <f t="shared" si="19"/>
        <v>0</v>
      </c>
      <c r="P33" s="456">
        <f t="shared" si="19"/>
        <v>0</v>
      </c>
      <c r="Q33" s="456">
        <f t="shared" ca="1" si="19"/>
        <v>39721.752859203138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0</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3031.6242723022642</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43.649999999999991</v>
      </c>
      <c r="C8" s="1019">
        <f>'SEAP template'!C76</f>
        <v>0</v>
      </c>
      <c r="D8" s="1019">
        <f>'SEAP template'!D76</f>
        <v>0</v>
      </c>
      <c r="E8" s="1019">
        <f>'SEAP template'!E76</f>
        <v>0</v>
      </c>
      <c r="F8" s="1019">
        <f>'SEAP template'!F76</f>
        <v>0</v>
      </c>
      <c r="G8" s="1019">
        <f>'SEAP template'!G76</f>
        <v>0</v>
      </c>
      <c r="H8" s="1019">
        <f>'SEAP template'!H76</f>
        <v>0</v>
      </c>
      <c r="I8" s="1019">
        <f>'SEAP template'!I76</f>
        <v>0</v>
      </c>
      <c r="J8" s="1019">
        <f>'SEAP template'!J76</f>
        <v>51.35294117647058</v>
      </c>
      <c r="K8" s="1019">
        <f>'SEAP template'!K76</f>
        <v>0</v>
      </c>
      <c r="L8" s="1019">
        <f>'SEAP template'!L76</f>
        <v>0</v>
      </c>
      <c r="M8" s="1019">
        <f>'SEAP template'!M76</f>
        <v>0</v>
      </c>
      <c r="N8" s="1019">
        <f>'SEAP template'!N76</f>
        <v>0</v>
      </c>
      <c r="O8" s="1019">
        <f>'SEAP template'!O76</f>
        <v>0</v>
      </c>
      <c r="P8" s="1020">
        <f>'SEAP template'!Q76</f>
        <v>0</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3075.2742723022643</v>
      </c>
      <c r="C10" s="1021">
        <f>SUM(C4:C9)</f>
        <v>0</v>
      </c>
      <c r="D10" s="1021">
        <f t="shared" ref="D10:H10" si="0">SUM(D8:D9)</f>
        <v>0</v>
      </c>
      <c r="E10" s="1021">
        <f t="shared" si="0"/>
        <v>0</v>
      </c>
      <c r="F10" s="1021">
        <f t="shared" si="0"/>
        <v>0</v>
      </c>
      <c r="G10" s="1021">
        <f t="shared" si="0"/>
        <v>0</v>
      </c>
      <c r="H10" s="1021">
        <f t="shared" si="0"/>
        <v>0</v>
      </c>
      <c r="I10" s="1021">
        <f>SUM(I8:I9)</f>
        <v>0</v>
      </c>
      <c r="J10" s="1021">
        <f>SUM(J8:J9)</f>
        <v>51.35294117647058</v>
      </c>
      <c r="K10" s="1021">
        <f t="shared" ref="K10:L10" si="1">SUM(K8:K9)</f>
        <v>0</v>
      </c>
      <c r="L10" s="1021">
        <f t="shared" si="1"/>
        <v>0</v>
      </c>
      <c r="M10" s="1021">
        <f>SUM(M8:M9)</f>
        <v>0</v>
      </c>
      <c r="N10" s="1021">
        <f>SUM(N8:N9)</f>
        <v>0</v>
      </c>
      <c r="O10" s="1021">
        <f>SUM(O8:O9)</f>
        <v>0</v>
      </c>
      <c r="P10" s="1021">
        <f>SUM(P8:P9)</f>
        <v>0</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0.19609496465015719</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62.357142857142847</v>
      </c>
      <c r="C17" s="1022">
        <f>'SEAP template'!C87</f>
        <v>0</v>
      </c>
      <c r="D17" s="1020">
        <f>'SEAP template'!D87</f>
        <v>0</v>
      </c>
      <c r="E17" s="1020">
        <f>'SEAP template'!E87</f>
        <v>0</v>
      </c>
      <c r="F17" s="1020">
        <f>'SEAP template'!F87</f>
        <v>0</v>
      </c>
      <c r="G17" s="1020">
        <f>'SEAP template'!G87</f>
        <v>0</v>
      </c>
      <c r="H17" s="1020">
        <f>'SEAP template'!H87</f>
        <v>0</v>
      </c>
      <c r="I17" s="1020">
        <f>'SEAP template'!I87</f>
        <v>0</v>
      </c>
      <c r="J17" s="1020">
        <f>'SEAP template'!J87</f>
        <v>73.361344537815114</v>
      </c>
      <c r="K17" s="1020">
        <f>'SEAP template'!K87</f>
        <v>0</v>
      </c>
      <c r="L17" s="1020">
        <f>'SEAP template'!L87</f>
        <v>0</v>
      </c>
      <c r="M17" s="1020">
        <f>'SEAP template'!M87</f>
        <v>0</v>
      </c>
      <c r="N17" s="1020">
        <f>'SEAP template'!N87</f>
        <v>0</v>
      </c>
      <c r="O17" s="1020">
        <f>'SEAP template'!O87</f>
        <v>0</v>
      </c>
      <c r="P17" s="1020">
        <f>'SEAP template'!Q87</f>
        <v>0</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62.357142857142847</v>
      </c>
      <c r="C20" s="1021">
        <f>SUM(C17:C19)</f>
        <v>0</v>
      </c>
      <c r="D20" s="1021">
        <f t="shared" ref="D20:H20" si="2">SUM(D17:D19)</f>
        <v>0</v>
      </c>
      <c r="E20" s="1021">
        <f t="shared" si="2"/>
        <v>0</v>
      </c>
      <c r="F20" s="1021">
        <f t="shared" si="2"/>
        <v>0</v>
      </c>
      <c r="G20" s="1021">
        <f t="shared" si="2"/>
        <v>0</v>
      </c>
      <c r="H20" s="1021">
        <f t="shared" si="2"/>
        <v>0</v>
      </c>
      <c r="I20" s="1021">
        <f>SUM(I17:I19)</f>
        <v>0</v>
      </c>
      <c r="J20" s="1021">
        <f>SUM(J17:J19)</f>
        <v>73.361344537815114</v>
      </c>
      <c r="K20" s="1021">
        <f t="shared" ref="K20:L20" si="3">SUM(K17:K19)</f>
        <v>0</v>
      </c>
      <c r="L20" s="1021">
        <f t="shared" si="3"/>
        <v>0</v>
      </c>
      <c r="M20" s="1021">
        <f>SUM(M17:M19)</f>
        <v>0</v>
      </c>
      <c r="N20" s="1021">
        <f>SUM(N17:N19)</f>
        <v>0</v>
      </c>
      <c r="O20" s="1021">
        <f>SUM(O17:O19)</f>
        <v>0</v>
      </c>
      <c r="P20" s="1021">
        <f>SUM(P17:P19)</f>
        <v>0</v>
      </c>
    </row>
    <row r="21" spans="1:16">
      <c r="B21" s="879"/>
    </row>
    <row r="22" spans="1:16">
      <c r="A22" s="458" t="s">
        <v>780</v>
      </c>
      <c r="B22" s="774" t="s">
        <v>778</v>
      </c>
      <c r="C22" s="774">
        <f ca="1">'EF ele_warmte'!B22</f>
        <v>0</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0.19609496465015719</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0.19609496465015719</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0.19609496465015719</v>
      </c>
      <c r="C29" s="495">
        <f ca="1">'EF ele_warmte'!B22</f>
        <v>0</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3698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2716.3</v>
      </c>
      <c r="C14" s="326"/>
      <c r="D14" s="326"/>
      <c r="E14" s="326"/>
      <c r="F14" s="326"/>
    </row>
    <row r="15" spans="1:6">
      <c r="A15" s="1296" t="s">
        <v>177</v>
      </c>
      <c r="B15" s="1297">
        <v>53</v>
      </c>
      <c r="C15" s="326"/>
      <c r="D15" s="326"/>
      <c r="E15" s="326"/>
      <c r="F15" s="326"/>
    </row>
    <row r="16" spans="1:6">
      <c r="A16" s="1296" t="s">
        <v>6</v>
      </c>
      <c r="B16" s="1297">
        <v>1670</v>
      </c>
      <c r="C16" s="326"/>
      <c r="D16" s="326"/>
      <c r="E16" s="326"/>
      <c r="F16" s="326"/>
    </row>
    <row r="17" spans="1:6">
      <c r="A17" s="1296" t="s">
        <v>7</v>
      </c>
      <c r="B17" s="1297">
        <v>637</v>
      </c>
      <c r="C17" s="326"/>
      <c r="D17" s="326"/>
      <c r="E17" s="326"/>
      <c r="F17" s="326"/>
    </row>
    <row r="18" spans="1:6">
      <c r="A18" s="1296" t="s">
        <v>8</v>
      </c>
      <c r="B18" s="1297">
        <v>1152</v>
      </c>
      <c r="C18" s="326"/>
      <c r="D18" s="326"/>
      <c r="E18" s="326"/>
      <c r="F18" s="326"/>
    </row>
    <row r="19" spans="1:6">
      <c r="A19" s="1296" t="s">
        <v>9</v>
      </c>
      <c r="B19" s="1297">
        <v>995</v>
      </c>
      <c r="C19" s="326"/>
      <c r="D19" s="326"/>
      <c r="E19" s="326"/>
      <c r="F19" s="326"/>
    </row>
    <row r="20" spans="1:6">
      <c r="A20" s="1296" t="s">
        <v>10</v>
      </c>
      <c r="B20" s="1297">
        <v>830</v>
      </c>
      <c r="C20" s="326"/>
      <c r="D20" s="326"/>
      <c r="E20" s="326"/>
      <c r="F20" s="326"/>
    </row>
    <row r="21" spans="1:6">
      <c r="A21" s="1296" t="s">
        <v>11</v>
      </c>
      <c r="B21" s="1297">
        <v>71</v>
      </c>
      <c r="C21" s="326"/>
      <c r="D21" s="326"/>
      <c r="E21" s="326"/>
      <c r="F21" s="326"/>
    </row>
    <row r="22" spans="1:6">
      <c r="A22" s="1296" t="s">
        <v>12</v>
      </c>
      <c r="B22" s="1297">
        <v>273</v>
      </c>
      <c r="C22" s="326"/>
      <c r="D22" s="326"/>
      <c r="E22" s="326"/>
      <c r="F22" s="326"/>
    </row>
    <row r="23" spans="1:6">
      <c r="A23" s="1296" t="s">
        <v>13</v>
      </c>
      <c r="B23" s="1297">
        <v>4</v>
      </c>
      <c r="C23" s="326"/>
      <c r="D23" s="326"/>
      <c r="E23" s="326"/>
      <c r="F23" s="326"/>
    </row>
    <row r="24" spans="1:6">
      <c r="A24" s="1296" t="s">
        <v>14</v>
      </c>
      <c r="B24" s="1297">
        <v>1</v>
      </c>
      <c r="C24" s="326"/>
      <c r="D24" s="326"/>
      <c r="E24" s="326"/>
      <c r="F24" s="326"/>
    </row>
    <row r="25" spans="1:6">
      <c r="A25" s="1296" t="s">
        <v>15</v>
      </c>
      <c r="B25" s="1297">
        <v>35</v>
      </c>
      <c r="C25" s="326"/>
      <c r="D25" s="326"/>
      <c r="E25" s="326"/>
      <c r="F25" s="326"/>
    </row>
    <row r="26" spans="1:6">
      <c r="A26" s="1296" t="s">
        <v>16</v>
      </c>
      <c r="B26" s="1297">
        <v>274</v>
      </c>
      <c r="C26" s="326"/>
      <c r="D26" s="326"/>
      <c r="E26" s="326"/>
      <c r="F26" s="326"/>
    </row>
    <row r="27" spans="1:6">
      <c r="A27" s="1296" t="s">
        <v>17</v>
      </c>
      <c r="B27" s="1297">
        <v>62</v>
      </c>
      <c r="C27" s="326"/>
      <c r="D27" s="326"/>
      <c r="E27" s="326"/>
      <c r="F27" s="326"/>
    </row>
    <row r="28" spans="1:6">
      <c r="A28" s="1296" t="s">
        <v>18</v>
      </c>
      <c r="B28" s="1298">
        <v>1554</v>
      </c>
      <c r="C28" s="326"/>
      <c r="D28" s="326"/>
      <c r="E28" s="326"/>
      <c r="F28" s="326"/>
    </row>
    <row r="29" spans="1:6">
      <c r="A29" s="1296" t="s">
        <v>689</v>
      </c>
      <c r="B29" s="1298">
        <v>194</v>
      </c>
      <c r="C29" s="326"/>
      <c r="D29" s="326"/>
      <c r="E29" s="326"/>
      <c r="F29" s="326"/>
    </row>
    <row r="30" spans="1:6">
      <c r="A30" s="1291" t="s">
        <v>690</v>
      </c>
      <c r="B30" s="1299">
        <v>33</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0</v>
      </c>
      <c r="D38" s="1297">
        <v>0</v>
      </c>
      <c r="E38" s="1297">
        <v>2</v>
      </c>
      <c r="F38" s="1297">
        <v>269</v>
      </c>
    </row>
    <row r="39" spans="1:6">
      <c r="A39" s="1296" t="s">
        <v>29</v>
      </c>
      <c r="B39" s="1296" t="s">
        <v>30</v>
      </c>
      <c r="C39" s="1297">
        <v>1268</v>
      </c>
      <c r="D39" s="1297">
        <v>20647710.5</v>
      </c>
      <c r="E39" s="1297">
        <v>3485</v>
      </c>
      <c r="F39" s="1297">
        <v>14119995.903000001</v>
      </c>
    </row>
    <row r="40" spans="1:6">
      <c r="A40" s="1296" t="s">
        <v>29</v>
      </c>
      <c r="B40" s="1296" t="s">
        <v>28</v>
      </c>
      <c r="C40" s="1297">
        <v>0</v>
      </c>
      <c r="D40" s="1297">
        <v>0</v>
      </c>
      <c r="E40" s="1297">
        <v>0</v>
      </c>
      <c r="F40" s="1297">
        <v>0</v>
      </c>
    </row>
    <row r="41" spans="1:6">
      <c r="A41" s="1296" t="s">
        <v>31</v>
      </c>
      <c r="B41" s="1296" t="s">
        <v>32</v>
      </c>
      <c r="C41" s="1297">
        <v>11</v>
      </c>
      <c r="D41" s="1297">
        <v>273368</v>
      </c>
      <c r="E41" s="1297">
        <v>73</v>
      </c>
      <c r="F41" s="1297">
        <v>742178.45</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8</v>
      </c>
      <c r="F44" s="1297">
        <v>224478.25599999999</v>
      </c>
    </row>
    <row r="45" spans="1:6">
      <c r="A45" s="1296" t="s">
        <v>31</v>
      </c>
      <c r="B45" s="1296" t="s">
        <v>36</v>
      </c>
      <c r="C45" s="1297">
        <v>0</v>
      </c>
      <c r="D45" s="1297">
        <v>0</v>
      </c>
      <c r="E45" s="1297">
        <v>3</v>
      </c>
      <c r="F45" s="1297">
        <v>280320</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4</v>
      </c>
      <c r="D48" s="1297">
        <v>106370</v>
      </c>
      <c r="E48" s="1297">
        <v>3</v>
      </c>
      <c r="F48" s="1297">
        <v>89162.44</v>
      </c>
    </row>
    <row r="49" spans="1:6">
      <c r="A49" s="1296" t="s">
        <v>31</v>
      </c>
      <c r="B49" s="1296" t="s">
        <v>39</v>
      </c>
      <c r="C49" s="1297">
        <v>0</v>
      </c>
      <c r="D49" s="1297">
        <v>0</v>
      </c>
      <c r="E49" s="1297">
        <v>0</v>
      </c>
      <c r="F49" s="1297">
        <v>0</v>
      </c>
    </row>
    <row r="50" spans="1:6">
      <c r="A50" s="1296" t="s">
        <v>31</v>
      </c>
      <c r="B50" s="1296" t="s">
        <v>40</v>
      </c>
      <c r="C50" s="1297">
        <v>0</v>
      </c>
      <c r="D50" s="1297">
        <v>0</v>
      </c>
      <c r="E50" s="1297">
        <v>14</v>
      </c>
      <c r="F50" s="1297">
        <v>731698</v>
      </c>
    </row>
    <row r="51" spans="1:6">
      <c r="A51" s="1296" t="s">
        <v>41</v>
      </c>
      <c r="B51" s="1296" t="s">
        <v>42</v>
      </c>
      <c r="C51" s="1297">
        <v>5</v>
      </c>
      <c r="D51" s="1297">
        <v>57806</v>
      </c>
      <c r="E51" s="1297">
        <v>94</v>
      </c>
      <c r="F51" s="1297">
        <v>1039193</v>
      </c>
    </row>
    <row r="52" spans="1:6">
      <c r="A52" s="1296" t="s">
        <v>41</v>
      </c>
      <c r="B52" s="1296" t="s">
        <v>28</v>
      </c>
      <c r="C52" s="1297">
        <v>0</v>
      </c>
      <c r="D52" s="1297">
        <v>0</v>
      </c>
      <c r="E52" s="1297">
        <v>0</v>
      </c>
      <c r="F52" s="1297">
        <v>0</v>
      </c>
    </row>
    <row r="53" spans="1:6">
      <c r="A53" s="1296" t="s">
        <v>43</v>
      </c>
      <c r="B53" s="1296" t="s">
        <v>44</v>
      </c>
      <c r="C53" s="1297">
        <v>19</v>
      </c>
      <c r="D53" s="1297">
        <v>430092</v>
      </c>
      <c r="E53" s="1297">
        <v>55</v>
      </c>
      <c r="F53" s="1297">
        <v>225864.35</v>
      </c>
    </row>
    <row r="54" spans="1:6">
      <c r="A54" s="1296" t="s">
        <v>45</v>
      </c>
      <c r="B54" s="1296" t="s">
        <v>46</v>
      </c>
      <c r="C54" s="1297">
        <v>0</v>
      </c>
      <c r="D54" s="1297">
        <v>0</v>
      </c>
      <c r="E54" s="1297">
        <v>1</v>
      </c>
      <c r="F54" s="1297">
        <v>531761</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11</v>
      </c>
      <c r="D57" s="1297">
        <v>353804</v>
      </c>
      <c r="E57" s="1297">
        <v>47</v>
      </c>
      <c r="F57" s="1297">
        <v>425719.83799999999</v>
      </c>
    </row>
    <row r="58" spans="1:6">
      <c r="A58" s="1296" t="s">
        <v>48</v>
      </c>
      <c r="B58" s="1296" t="s">
        <v>50</v>
      </c>
      <c r="C58" s="1297">
        <v>23</v>
      </c>
      <c r="D58" s="1297">
        <v>1965710</v>
      </c>
      <c r="E58" s="1297">
        <v>46</v>
      </c>
      <c r="F58" s="1297">
        <v>1235626.45</v>
      </c>
    </row>
    <row r="59" spans="1:6">
      <c r="A59" s="1296" t="s">
        <v>48</v>
      </c>
      <c r="B59" s="1296" t="s">
        <v>51</v>
      </c>
      <c r="C59" s="1297">
        <v>30</v>
      </c>
      <c r="D59" s="1297">
        <v>1400543</v>
      </c>
      <c r="E59" s="1297">
        <v>91</v>
      </c>
      <c r="F59" s="1297">
        <v>2318616.355</v>
      </c>
    </row>
    <row r="60" spans="1:6">
      <c r="A60" s="1296" t="s">
        <v>48</v>
      </c>
      <c r="B60" s="1296" t="s">
        <v>52</v>
      </c>
      <c r="C60" s="1297">
        <v>26</v>
      </c>
      <c r="D60" s="1297">
        <v>1128918</v>
      </c>
      <c r="E60" s="1297">
        <v>43</v>
      </c>
      <c r="F60" s="1297">
        <v>1088591.885</v>
      </c>
    </row>
    <row r="61" spans="1:6">
      <c r="A61" s="1296" t="s">
        <v>48</v>
      </c>
      <c r="B61" s="1296" t="s">
        <v>53</v>
      </c>
      <c r="C61" s="1297">
        <v>51</v>
      </c>
      <c r="D61" s="1297">
        <v>2297729.6</v>
      </c>
      <c r="E61" s="1297">
        <v>172</v>
      </c>
      <c r="F61" s="1297">
        <v>1676736.35</v>
      </c>
    </row>
    <row r="62" spans="1:6">
      <c r="A62" s="1296" t="s">
        <v>48</v>
      </c>
      <c r="B62" s="1296" t="s">
        <v>54</v>
      </c>
      <c r="C62" s="1297">
        <v>4</v>
      </c>
      <c r="D62" s="1297">
        <v>113507</v>
      </c>
      <c r="E62" s="1297">
        <v>6</v>
      </c>
      <c r="F62" s="1297">
        <v>28984</v>
      </c>
    </row>
    <row r="63" spans="1:6">
      <c r="A63" s="1296" t="s">
        <v>48</v>
      </c>
      <c r="B63" s="1296" t="s">
        <v>28</v>
      </c>
      <c r="C63" s="1297">
        <v>0</v>
      </c>
      <c r="D63" s="1297">
        <v>0</v>
      </c>
      <c r="E63" s="1297">
        <v>3</v>
      </c>
      <c r="F63" s="1297">
        <v>51557.165000000001</v>
      </c>
    </row>
    <row r="64" spans="1:6">
      <c r="A64" s="1296" t="s">
        <v>55</v>
      </c>
      <c r="B64" s="1296" t="s">
        <v>56</v>
      </c>
      <c r="C64" s="1297">
        <v>0</v>
      </c>
      <c r="D64" s="1297">
        <v>0</v>
      </c>
      <c r="E64" s="1297">
        <v>0</v>
      </c>
      <c r="F64" s="1297">
        <v>0</v>
      </c>
    </row>
    <row r="65" spans="1:6">
      <c r="A65" s="1296" t="s">
        <v>55</v>
      </c>
      <c r="B65" s="1296" t="s">
        <v>28</v>
      </c>
      <c r="C65" s="1297">
        <v>1</v>
      </c>
      <c r="D65" s="1297">
        <v>10417</v>
      </c>
      <c r="E65" s="1297">
        <v>0</v>
      </c>
      <c r="F65" s="1297">
        <v>0</v>
      </c>
    </row>
    <row r="66" spans="1:6">
      <c r="A66" s="1296" t="s">
        <v>55</v>
      </c>
      <c r="B66" s="1296" t="s">
        <v>57</v>
      </c>
      <c r="C66" s="1297">
        <v>0</v>
      </c>
      <c r="D66" s="1297">
        <v>0</v>
      </c>
      <c r="E66" s="1297">
        <v>4</v>
      </c>
      <c r="F66" s="1297">
        <v>19688</v>
      </c>
    </row>
    <row r="67" spans="1:6">
      <c r="A67" s="1296" t="s">
        <v>55</v>
      </c>
      <c r="B67" s="1296" t="s">
        <v>58</v>
      </c>
      <c r="C67" s="1297">
        <v>0</v>
      </c>
      <c r="D67" s="1297">
        <v>0</v>
      </c>
      <c r="E67" s="1297">
        <v>0</v>
      </c>
      <c r="F67" s="1297">
        <v>0</v>
      </c>
    </row>
    <row r="68" spans="1:6">
      <c r="A68" s="1291" t="s">
        <v>55</v>
      </c>
      <c r="B68" s="1291" t="s">
        <v>59</v>
      </c>
      <c r="C68" s="1299">
        <v>0</v>
      </c>
      <c r="D68" s="1299">
        <v>0</v>
      </c>
      <c r="E68" s="1299">
        <v>8</v>
      </c>
      <c r="F68" s="1299">
        <v>170946</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60691083</v>
      </c>
      <c r="E73" s="444"/>
      <c r="F73" s="326"/>
    </row>
    <row r="74" spans="1:6">
      <c r="A74" s="1296" t="s">
        <v>63</v>
      </c>
      <c r="B74" s="1296" t="s">
        <v>633</v>
      </c>
      <c r="C74" s="1309" t="s">
        <v>635</v>
      </c>
      <c r="D74" s="1297">
        <v>6932245</v>
      </c>
      <c r="E74" s="444"/>
      <c r="F74" s="326"/>
    </row>
    <row r="75" spans="1:6">
      <c r="A75" s="1296" t="s">
        <v>64</v>
      </c>
      <c r="B75" s="1296" t="s">
        <v>632</v>
      </c>
      <c r="C75" s="1309" t="s">
        <v>636</v>
      </c>
      <c r="D75" s="1297">
        <v>14257087</v>
      </c>
      <c r="E75" s="444"/>
      <c r="F75" s="326"/>
    </row>
    <row r="76" spans="1:6">
      <c r="A76" s="1296" t="s">
        <v>64</v>
      </c>
      <c r="B76" s="1296" t="s">
        <v>633</v>
      </c>
      <c r="C76" s="1309" t="s">
        <v>637</v>
      </c>
      <c r="D76" s="1297">
        <v>459083</v>
      </c>
      <c r="E76" s="444"/>
      <c r="F76" s="326"/>
    </row>
    <row r="77" spans="1:6">
      <c r="A77" s="1296" t="s">
        <v>65</v>
      </c>
      <c r="B77" s="1296" t="s">
        <v>632</v>
      </c>
      <c r="C77" s="1309" t="s">
        <v>638</v>
      </c>
      <c r="D77" s="1297">
        <v>0</v>
      </c>
      <c r="E77" s="444"/>
      <c r="F77" s="326"/>
    </row>
    <row r="78" spans="1:6">
      <c r="A78" s="1291" t="s">
        <v>65</v>
      </c>
      <c r="B78" s="1291" t="s">
        <v>633</v>
      </c>
      <c r="C78" s="1291" t="s">
        <v>639</v>
      </c>
      <c r="D78" s="1299">
        <v>0</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651570</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0</v>
      </c>
      <c r="C90" s="326"/>
      <c r="D90" s="326"/>
      <c r="E90" s="326"/>
      <c r="F90" s="326"/>
    </row>
    <row r="91" spans="1:6">
      <c r="A91" s="1296" t="s">
        <v>67</v>
      </c>
      <c r="B91" s="1297">
        <v>2375.6290750909216</v>
      </c>
      <c r="C91" s="326"/>
      <c r="D91" s="326"/>
      <c r="E91" s="326"/>
      <c r="F91" s="326"/>
    </row>
    <row r="92" spans="1:6">
      <c r="A92" s="1291" t="s">
        <v>68</v>
      </c>
      <c r="B92" s="1292">
        <v>655.99519721134266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344</v>
      </c>
      <c r="C97" s="326"/>
      <c r="D97" s="326"/>
      <c r="E97" s="326"/>
      <c r="F97" s="326"/>
    </row>
    <row r="98" spans="1:6">
      <c r="A98" s="1296" t="s">
        <v>71</v>
      </c>
      <c r="B98" s="1297">
        <v>0</v>
      </c>
      <c r="C98" s="326"/>
      <c r="D98" s="326"/>
      <c r="E98" s="326"/>
      <c r="F98" s="326"/>
    </row>
    <row r="99" spans="1:6">
      <c r="A99" s="1296" t="s">
        <v>72</v>
      </c>
      <c r="B99" s="1297">
        <v>89</v>
      </c>
      <c r="C99" s="326"/>
      <c r="D99" s="326"/>
      <c r="E99" s="326"/>
      <c r="F99" s="326"/>
    </row>
    <row r="100" spans="1:6">
      <c r="A100" s="1296" t="s">
        <v>73</v>
      </c>
      <c r="B100" s="1297">
        <v>289</v>
      </c>
      <c r="C100" s="326"/>
      <c r="D100" s="326"/>
      <c r="E100" s="326"/>
      <c r="F100" s="326"/>
    </row>
    <row r="101" spans="1:6">
      <c r="A101" s="1296" t="s">
        <v>74</v>
      </c>
      <c r="B101" s="1297">
        <v>74</v>
      </c>
      <c r="C101" s="326"/>
      <c r="D101" s="326"/>
      <c r="E101" s="326"/>
      <c r="F101" s="326"/>
    </row>
    <row r="102" spans="1:6">
      <c r="A102" s="1296" t="s">
        <v>75</v>
      </c>
      <c r="B102" s="1297">
        <v>31</v>
      </c>
      <c r="C102" s="326"/>
      <c r="D102" s="326"/>
      <c r="E102" s="326"/>
      <c r="F102" s="326"/>
    </row>
    <row r="103" spans="1:6">
      <c r="A103" s="1296" t="s">
        <v>76</v>
      </c>
      <c r="B103" s="1297">
        <v>85</v>
      </c>
      <c r="C103" s="326"/>
      <c r="D103" s="326"/>
      <c r="E103" s="326"/>
      <c r="F103" s="326"/>
    </row>
    <row r="104" spans="1:6">
      <c r="A104" s="1296" t="s">
        <v>77</v>
      </c>
      <c r="B104" s="1297">
        <v>2326</v>
      </c>
      <c r="C104" s="326"/>
      <c r="D104" s="326"/>
      <c r="E104" s="326"/>
      <c r="F104" s="326"/>
    </row>
    <row r="105" spans="1:6">
      <c r="A105" s="1291" t="s">
        <v>78</v>
      </c>
      <c r="B105" s="1299">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0</v>
      </c>
      <c r="C121" s="1297">
        <v>0</v>
      </c>
      <c r="D121" s="326"/>
      <c r="E121" s="326"/>
      <c r="F121" s="326"/>
    </row>
    <row r="122" spans="1:6">
      <c r="A122" s="1296" t="s">
        <v>86</v>
      </c>
      <c r="B122" s="1297">
        <v>0</v>
      </c>
      <c r="C122" s="1297">
        <v>0</v>
      </c>
      <c r="D122" s="326"/>
      <c r="E122" s="326"/>
      <c r="F122" s="326"/>
    </row>
    <row r="123" spans="1:6">
      <c r="A123" s="1296" t="s">
        <v>87</v>
      </c>
      <c r="B123" s="1297">
        <v>20</v>
      </c>
      <c r="C123" s="1297">
        <v>25</v>
      </c>
      <c r="D123" s="326"/>
      <c r="E123" s="326"/>
      <c r="F123" s="326"/>
    </row>
    <row r="124" spans="1:6">
      <c r="A124" s="1296" t="s">
        <v>88</v>
      </c>
      <c r="B124" s="1297">
        <v>0</v>
      </c>
      <c r="C124" s="1297">
        <v>1</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103</v>
      </c>
      <c r="C129" s="326"/>
      <c r="D129" s="326"/>
      <c r="E129" s="326"/>
      <c r="F129" s="326"/>
    </row>
    <row r="130" spans="1:6">
      <c r="A130" s="1296" t="s">
        <v>283</v>
      </c>
      <c r="B130" s="1297">
        <v>0</v>
      </c>
      <c r="C130" s="326"/>
      <c r="D130" s="326"/>
      <c r="E130" s="326"/>
      <c r="F130" s="326"/>
    </row>
    <row r="131" spans="1:6">
      <c r="A131" s="1296" t="s">
        <v>284</v>
      </c>
      <c r="B131" s="1297">
        <v>1</v>
      </c>
      <c r="C131" s="326"/>
      <c r="D131" s="326"/>
      <c r="E131" s="326"/>
      <c r="F131" s="326"/>
    </row>
    <row r="132" spans="1:6">
      <c r="A132" s="1291" t="s">
        <v>285</v>
      </c>
      <c r="B132" s="1292">
        <v>25</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27289.084501664442</v>
      </c>
      <c r="C3" s="43" t="s">
        <v>163</v>
      </c>
      <c r="D3" s="43"/>
      <c r="E3" s="154"/>
      <c r="F3" s="43"/>
      <c r="G3" s="43"/>
      <c r="H3" s="43"/>
      <c r="I3" s="43"/>
      <c r="J3" s="43"/>
      <c r="K3" s="96"/>
    </row>
    <row r="4" spans="1:11">
      <c r="A4" s="352" t="s">
        <v>164</v>
      </c>
      <c r="B4" s="49">
        <f>IF(ISERROR('SEAP template'!B78+'SEAP template'!C78),0,'SEAP template'!B78+'SEAP template'!C78)</f>
        <v>3075.2742723022643</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0</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0.19609496465015719</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62.357142857142847</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531.76099999999997</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531.76099999999997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0.19609496465015719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104.27565449733223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14119.995903000001</v>
      </c>
      <c r="C5" s="17">
        <f>IF(ISERROR('Eigen informatie GS &amp; warmtenet'!B59),0,'Eigen informatie GS &amp; warmtenet'!B59)</f>
        <v>0</v>
      </c>
      <c r="D5" s="30">
        <f>(SUM(HH_hh_gas_kWh,HH_rest_gas_kWh)/1000)*0.902</f>
        <v>18624.234871000001</v>
      </c>
      <c r="E5" s="17">
        <f>B32*B41</f>
        <v>2111.8821208774357</v>
      </c>
      <c r="F5" s="17">
        <f>B36*B45</f>
        <v>34046.354518413107</v>
      </c>
      <c r="G5" s="18"/>
      <c r="H5" s="17"/>
      <c r="I5" s="17"/>
      <c r="J5" s="17">
        <f>B35*B44+C35*C44</f>
        <v>136.01368526003444</v>
      </c>
      <c r="K5" s="17"/>
      <c r="L5" s="17"/>
      <c r="M5" s="17"/>
      <c r="N5" s="17">
        <f>B34*B43+C34*C43</f>
        <v>5578.649701981918</v>
      </c>
      <c r="O5" s="17">
        <f>B52*B53*B54</f>
        <v>255.9306103009271</v>
      </c>
      <c r="P5" s="17">
        <f>B60*B61*B62/1000-B60*B61*B62/1000/B63</f>
        <v>474.02816884582603</v>
      </c>
    </row>
    <row r="6" spans="1:16">
      <c r="A6" s="16" t="s">
        <v>598</v>
      </c>
      <c r="B6" s="776">
        <f>kWh_PV_kleiner_dan_10kW</f>
        <v>2375.6290750909216</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16495.624978090924</v>
      </c>
      <c r="C8" s="21">
        <f>C5</f>
        <v>0</v>
      </c>
      <c r="D8" s="21">
        <f>D5</f>
        <v>18624.234871000001</v>
      </c>
      <c r="E8" s="21">
        <f>E5</f>
        <v>2111.8821208774357</v>
      </c>
      <c r="F8" s="21">
        <f>F5</f>
        <v>34046.354518413107</v>
      </c>
      <c r="G8" s="21"/>
      <c r="H8" s="21"/>
      <c r="I8" s="21"/>
      <c r="J8" s="21">
        <f>J5</f>
        <v>136.01368526003444</v>
      </c>
      <c r="K8" s="21"/>
      <c r="L8" s="21">
        <f>L5</f>
        <v>0</v>
      </c>
      <c r="M8" s="21">
        <f>M5</f>
        <v>0</v>
      </c>
      <c r="N8" s="21">
        <f>N5</f>
        <v>5578.649701981918</v>
      </c>
      <c r="O8" s="21">
        <f>O5</f>
        <v>255.9306103009271</v>
      </c>
      <c r="P8" s="21">
        <f>P5</f>
        <v>474.02816884582603</v>
      </c>
    </row>
    <row r="9" spans="1:16">
      <c r="B9" s="19"/>
      <c r="C9" s="19"/>
      <c r="D9" s="256"/>
      <c r="E9" s="19"/>
      <c r="F9" s="19"/>
      <c r="G9" s="19"/>
      <c r="H9" s="19"/>
      <c r="I9" s="19"/>
      <c r="J9" s="19"/>
      <c r="K9" s="19"/>
      <c r="L9" s="19"/>
      <c r="M9" s="19"/>
      <c r="N9" s="19"/>
      <c r="O9" s="19"/>
      <c r="P9" s="19"/>
    </row>
    <row r="10" spans="1:16">
      <c r="A10" s="24" t="s">
        <v>207</v>
      </c>
      <c r="B10" s="25">
        <f ca="1">'EF ele_warmte'!B12</f>
        <v>0.19609496465015719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3234.7089969609897</v>
      </c>
      <c r="C12" s="23">
        <f ca="1">C10*C8</f>
        <v>0</v>
      </c>
      <c r="D12" s="23">
        <f>D8*D10</f>
        <v>3762.0954439420002</v>
      </c>
      <c r="E12" s="23">
        <f>E10*E8</f>
        <v>479.39724143917789</v>
      </c>
      <c r="F12" s="23">
        <f>F10*F8</f>
        <v>9090.3766564162997</v>
      </c>
      <c r="G12" s="23"/>
      <c r="H12" s="23"/>
      <c r="I12" s="23"/>
      <c r="J12" s="23">
        <f>J10*J8</f>
        <v>48.148844582052185</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3698</v>
      </c>
      <c r="C26" s="36"/>
      <c r="D26" s="226"/>
    </row>
    <row r="27" spans="1:7" s="15" customFormat="1">
      <c r="A27" s="228" t="s">
        <v>800</v>
      </c>
      <c r="B27" s="37">
        <f>SUM(HH_hh_gas_aantal,HH_rest_gas_aantal)</f>
        <v>1268</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1204.5999999999999</v>
      </c>
      <c r="C31" s="166" t="s">
        <v>104</v>
      </c>
      <c r="D31" s="231"/>
      <c r="G31" s="15"/>
    </row>
    <row r="32" spans="1:7">
      <c r="A32" s="169" t="s">
        <v>72</v>
      </c>
      <c r="B32" s="166">
        <f>IF((B21*($B$26-($B$27-0.05*$B$27)-$B$60))&lt;0,0,B21*($B$26-($B$27-0.05*$B$27)-$B$60))</f>
        <v>38.868836482229717</v>
      </c>
      <c r="C32" s="166" t="s">
        <v>104</v>
      </c>
      <c r="D32" s="231"/>
      <c r="G32" s="15"/>
    </row>
    <row r="33" spans="1:7">
      <c r="A33" s="169" t="s">
        <v>73</v>
      </c>
      <c r="B33" s="166">
        <f>IF((B22*($B$26-($B$27-0.05*$B$27)-$B$60))&lt;0,0,B22*($B$26-($B$27-0.05*$B$27)-$B$60))</f>
        <v>631.15292389582737</v>
      </c>
      <c r="C33" s="166" t="s">
        <v>104</v>
      </c>
      <c r="D33" s="231"/>
      <c r="G33" s="15"/>
    </row>
    <row r="34" spans="1:7">
      <c r="A34" s="169" t="s">
        <v>74</v>
      </c>
      <c r="B34" s="166">
        <f>IF((B24*($B$26-($B$27-0.05*$B$27)-$B$60))&lt;0,0,B24*($B$26-($B$27-0.05*$B$27)-$B$60))</f>
        <v>121.00046189217316</v>
      </c>
      <c r="C34" s="166">
        <f>B26*C24</f>
        <v>757.74216540460031</v>
      </c>
      <c r="D34" s="231"/>
      <c r="G34" s="15"/>
    </row>
    <row r="35" spans="1:7">
      <c r="A35" s="169" t="s">
        <v>76</v>
      </c>
      <c r="B35" s="166">
        <f>IF((B19*($B$26-($B$27-0.05*$B$27)-$B$60))&lt;0,0,B19*($B$26-($B$27-0.05*$B$27)-$B$60))</f>
        <v>16.896190552982691</v>
      </c>
      <c r="C35" s="166">
        <f>B35/2</f>
        <v>8.4480952764913457</v>
      </c>
      <c r="D35" s="232"/>
      <c r="G35" s="15"/>
    </row>
    <row r="36" spans="1:7">
      <c r="A36" s="169" t="s">
        <v>77</v>
      </c>
      <c r="B36" s="166">
        <f>IF((B18*($B$26-($B$27-0.05*$B$27)-$B$60))&lt;0,0,B18*($B$26-($B$27-0.05*$B$27)-$B$60))</f>
        <v>1640.4815871767867</v>
      </c>
      <c r="C36" s="166" t="s">
        <v>104</v>
      </c>
      <c r="D36" s="232"/>
      <c r="G36" s="15"/>
    </row>
    <row r="37" spans="1:7">
      <c r="A37" s="169" t="s">
        <v>78</v>
      </c>
      <c r="B37" s="166">
        <f>B60</f>
        <v>45</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129</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45</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6825.8320430000003</v>
      </c>
      <c r="C5" s="17">
        <f>IF(ISERROR('Eigen informatie GS &amp; warmtenet'!B60),0,'Eigen informatie GS &amp; warmtenet'!B60)</f>
        <v>0</v>
      </c>
      <c r="D5" s="30">
        <f>SUM(D6:D12)</f>
        <v>6548.7108631999999</v>
      </c>
      <c r="E5" s="17">
        <f>SUM(E6:E12)</f>
        <v>91.782555717909474</v>
      </c>
      <c r="F5" s="17">
        <f>SUM(F6:F12)</f>
        <v>734.27902766529837</v>
      </c>
      <c r="G5" s="18"/>
      <c r="H5" s="17"/>
      <c r="I5" s="17"/>
      <c r="J5" s="17">
        <f>SUM(J6:J12)</f>
        <v>7.3258498036630256E-3</v>
      </c>
      <c r="K5" s="17"/>
      <c r="L5" s="17"/>
      <c r="M5" s="17"/>
      <c r="N5" s="17">
        <f>SUM(N6:N12)</f>
        <v>297.20839234248263</v>
      </c>
      <c r="O5" s="17">
        <f>B38*B39*B40</f>
        <v>0</v>
      </c>
      <c r="P5" s="17">
        <f>B46*B47*B48/1000-B46*B47*B48/1000/B49</f>
        <v>52.539138306495019</v>
      </c>
      <c r="R5" s="32"/>
    </row>
    <row r="6" spans="1:18">
      <c r="A6" s="32" t="s">
        <v>53</v>
      </c>
      <c r="B6" s="37">
        <f>B26</f>
        <v>1676.7363500000001</v>
      </c>
      <c r="C6" s="33"/>
      <c r="D6" s="37">
        <f>IF(ISERROR(TER_kantoor_gas_kWh/1000),0,TER_kantoor_gas_kWh/1000)*0.902</f>
        <v>2072.5520992000002</v>
      </c>
      <c r="E6" s="33">
        <f>$C$26*'E Balans VL '!I12/100/3.6*1000000</f>
        <v>13.49215980442246</v>
      </c>
      <c r="F6" s="33">
        <f>$C$26*('E Balans VL '!L12+'E Balans VL '!N12)/100/3.6*1000000</f>
        <v>204.99865748918739</v>
      </c>
      <c r="G6" s="34"/>
      <c r="H6" s="33"/>
      <c r="I6" s="33"/>
      <c r="J6" s="33">
        <f>$C$26*('E Balans VL '!D12+'E Balans VL '!E12)/100/3.6*1000000</f>
        <v>0</v>
      </c>
      <c r="K6" s="33"/>
      <c r="L6" s="33"/>
      <c r="M6" s="33"/>
      <c r="N6" s="33">
        <f>$C$26*'E Balans VL '!Y12/100/3.6*1000000</f>
        <v>0.90116321779672059</v>
      </c>
      <c r="O6" s="33"/>
      <c r="P6" s="33"/>
      <c r="R6" s="32"/>
    </row>
    <row r="7" spans="1:18">
      <c r="A7" s="32" t="s">
        <v>52</v>
      </c>
      <c r="B7" s="37">
        <f t="shared" ref="B7:B12" si="0">B27</f>
        <v>1088.591885</v>
      </c>
      <c r="C7" s="33"/>
      <c r="D7" s="37">
        <f>IF(ISERROR(TER_horeca_gas_kWh/1000),0,TER_horeca_gas_kWh/1000)*0.902</f>
        <v>1018.2840359999999</v>
      </c>
      <c r="E7" s="33">
        <f>$C$27*'E Balans VL '!I9/100/3.6*1000000</f>
        <v>11.68880373056639</v>
      </c>
      <c r="F7" s="33">
        <f>$C$27*('E Balans VL '!L9+'E Balans VL '!N9)/100/3.6*1000000</f>
        <v>130.931206835399</v>
      </c>
      <c r="G7" s="34"/>
      <c r="H7" s="33"/>
      <c r="I7" s="33"/>
      <c r="J7" s="33">
        <f>$C$27*('E Balans VL '!D9+'E Balans VL '!E9)/100/3.6*1000000</f>
        <v>0</v>
      </c>
      <c r="K7" s="33"/>
      <c r="L7" s="33"/>
      <c r="M7" s="33"/>
      <c r="N7" s="33">
        <f>$C$27*'E Balans VL '!Y9/100/3.6*1000000</f>
        <v>0.16320198675750425</v>
      </c>
      <c r="O7" s="33"/>
      <c r="P7" s="33"/>
      <c r="R7" s="32"/>
    </row>
    <row r="8" spans="1:18">
      <c r="A8" s="6" t="s">
        <v>51</v>
      </c>
      <c r="B8" s="37">
        <f t="shared" si="0"/>
        <v>2318.6163550000001</v>
      </c>
      <c r="C8" s="33"/>
      <c r="D8" s="37">
        <f>IF(ISERROR(TER_handel_gas_kWh/1000),0,TER_handel_gas_kWh/1000)*0.902</f>
        <v>1263.289786</v>
      </c>
      <c r="E8" s="33">
        <f>$C$28*'E Balans VL '!I13/100/3.6*1000000</f>
        <v>62.224564593089042</v>
      </c>
      <c r="F8" s="33">
        <f>$C$28*('E Balans VL '!L13+'E Balans VL '!N13)/100/3.6*1000000</f>
        <v>221.26746186568079</v>
      </c>
      <c r="G8" s="34"/>
      <c r="H8" s="33"/>
      <c r="I8" s="33"/>
      <c r="J8" s="33">
        <f>$C$28*('E Balans VL '!D13+'E Balans VL '!E13)/100/3.6*1000000</f>
        <v>0</v>
      </c>
      <c r="K8" s="33"/>
      <c r="L8" s="33"/>
      <c r="M8" s="33"/>
      <c r="N8" s="33">
        <f>$C$28*'E Balans VL '!Y13/100/3.6*1000000</f>
        <v>0.91912588668373807</v>
      </c>
      <c r="O8" s="33"/>
      <c r="P8" s="33"/>
      <c r="R8" s="32"/>
    </row>
    <row r="9" spans="1:18">
      <c r="A9" s="32" t="s">
        <v>50</v>
      </c>
      <c r="B9" s="37">
        <f t="shared" si="0"/>
        <v>1235.62645</v>
      </c>
      <c r="C9" s="33"/>
      <c r="D9" s="37">
        <f>IF(ISERROR(TER_gezond_gas_kWh/1000),0,TER_gezond_gas_kWh/1000)*0.902</f>
        <v>1773.07042</v>
      </c>
      <c r="E9" s="33">
        <f>$C$29*'E Balans VL '!I10/100/3.6*1000000</f>
        <v>2.3159663047431396</v>
      </c>
      <c r="F9" s="33">
        <f>$C$29*('E Balans VL '!L10+'E Balans VL '!N10)/100/3.6*1000000</f>
        <v>101.57976841264004</v>
      </c>
      <c r="G9" s="34"/>
      <c r="H9" s="33"/>
      <c r="I9" s="33"/>
      <c r="J9" s="33">
        <f>$C$29*('E Balans VL '!D10+'E Balans VL '!E10)/100/3.6*1000000</f>
        <v>0</v>
      </c>
      <c r="K9" s="33"/>
      <c r="L9" s="33"/>
      <c r="M9" s="33"/>
      <c r="N9" s="33">
        <f>$C$29*'E Balans VL '!Y10/100/3.6*1000000</f>
        <v>9.6140956907981092</v>
      </c>
      <c r="O9" s="33"/>
      <c r="P9" s="33"/>
      <c r="R9" s="32"/>
    </row>
    <row r="10" spans="1:18">
      <c r="A10" s="32" t="s">
        <v>49</v>
      </c>
      <c r="B10" s="37">
        <f t="shared" si="0"/>
        <v>425.71983799999998</v>
      </c>
      <c r="C10" s="33"/>
      <c r="D10" s="37">
        <f>IF(ISERROR(TER_ander_gas_kWh/1000),0,TER_ander_gas_kWh/1000)*0.902</f>
        <v>319.13120799999996</v>
      </c>
      <c r="E10" s="33">
        <f>$C$30*'E Balans VL '!I14/100/3.6*1000000</f>
        <v>0.65625144402946534</v>
      </c>
      <c r="F10" s="33">
        <f>$C$30*('E Balans VL '!L14+'E Balans VL '!N14)/100/3.6*1000000</f>
        <v>66.093122375922732</v>
      </c>
      <c r="G10" s="34"/>
      <c r="H10" s="33"/>
      <c r="I10" s="33"/>
      <c r="J10" s="33">
        <f>$C$30*('E Balans VL '!D14+'E Balans VL '!E14)/100/3.6*1000000</f>
        <v>7.2270432247489346E-3</v>
      </c>
      <c r="K10" s="33"/>
      <c r="L10" s="33"/>
      <c r="M10" s="33"/>
      <c r="N10" s="33">
        <f>$C$30*'E Balans VL '!Y14/100/3.6*1000000</f>
        <v>281.6426006024106</v>
      </c>
      <c r="O10" s="33"/>
      <c r="P10" s="33"/>
      <c r="R10" s="32"/>
    </row>
    <row r="11" spans="1:18">
      <c r="A11" s="32" t="s">
        <v>54</v>
      </c>
      <c r="B11" s="37">
        <f t="shared" si="0"/>
        <v>28.984000000000002</v>
      </c>
      <c r="C11" s="33"/>
      <c r="D11" s="37">
        <f>IF(ISERROR(TER_onderwijs_gas_kWh/1000),0,TER_onderwijs_gas_kWh/1000)*0.902</f>
        <v>102.38331400000001</v>
      </c>
      <c r="E11" s="33">
        <f>$C$31*'E Balans VL '!I11/100/3.6*1000000</f>
        <v>0.73928996235566413</v>
      </c>
      <c r="F11" s="33">
        <f>$C$31*('E Balans VL '!L11+'E Balans VL '!N11)/100/3.6*1000000</f>
        <v>3.4855988077968849</v>
      </c>
      <c r="G11" s="34"/>
      <c r="H11" s="33"/>
      <c r="I11" s="33"/>
      <c r="J11" s="33">
        <f>$C$31*('E Balans VL '!D11+'E Balans VL '!E11)/100/3.6*1000000</f>
        <v>0</v>
      </c>
      <c r="K11" s="33"/>
      <c r="L11" s="33"/>
      <c r="M11" s="33"/>
      <c r="N11" s="33">
        <f>$C$31*'E Balans VL '!Y11/100/3.6*1000000</f>
        <v>6.4459708784306152E-2</v>
      </c>
      <c r="O11" s="33"/>
      <c r="P11" s="33"/>
      <c r="R11" s="32"/>
    </row>
    <row r="12" spans="1:18">
      <c r="A12" s="32" t="s">
        <v>248</v>
      </c>
      <c r="B12" s="37">
        <f t="shared" si="0"/>
        <v>51.557164999999998</v>
      </c>
      <c r="C12" s="33"/>
      <c r="D12" s="37">
        <f>IF(ISERROR(TER_rest_gas_kWh/1000),0,TER_rest_gas_kWh/1000)*0.902</f>
        <v>0</v>
      </c>
      <c r="E12" s="33">
        <f>$C$32*'E Balans VL '!I8/100/3.6*1000000</f>
        <v>0.6655198787033032</v>
      </c>
      <c r="F12" s="33">
        <f>$C$32*('E Balans VL '!L8+'E Balans VL '!N8)/100/3.6*1000000</f>
        <v>5.92321187867147</v>
      </c>
      <c r="G12" s="34"/>
      <c r="H12" s="33"/>
      <c r="I12" s="33"/>
      <c r="J12" s="33">
        <f>$C$32*('E Balans VL '!D8+'E Balans VL '!E8)/100/3.6*1000000</f>
        <v>9.880657891409139E-5</v>
      </c>
      <c r="K12" s="33"/>
      <c r="L12" s="33"/>
      <c r="M12" s="33"/>
      <c r="N12" s="33">
        <f>$C$32*'E Balans VL '!Y8/100/3.6*1000000</f>
        <v>3.9037452492516862</v>
      </c>
      <c r="O12" s="33"/>
      <c r="P12" s="33"/>
      <c r="R12" s="32"/>
    </row>
    <row r="13" spans="1:18">
      <c r="A13" s="16" t="s">
        <v>465</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6825.8320430000003</v>
      </c>
      <c r="C16" s="21">
        <f t="shared" ca="1" si="1"/>
        <v>0</v>
      </c>
      <c r="D16" s="21">
        <f t="shared" ca="1" si="1"/>
        <v>6548.7108631999999</v>
      </c>
      <c r="E16" s="21">
        <f t="shared" si="1"/>
        <v>91.782555717909474</v>
      </c>
      <c r="F16" s="21">
        <f t="shared" ca="1" si="1"/>
        <v>734.27902766529837</v>
      </c>
      <c r="G16" s="21">
        <f t="shared" si="1"/>
        <v>0</v>
      </c>
      <c r="H16" s="21">
        <f t="shared" si="1"/>
        <v>0</v>
      </c>
      <c r="I16" s="21">
        <f t="shared" si="1"/>
        <v>0</v>
      </c>
      <c r="J16" s="21">
        <f t="shared" si="1"/>
        <v>7.3258498036630256E-3</v>
      </c>
      <c r="K16" s="21">
        <f t="shared" si="1"/>
        <v>0</v>
      </c>
      <c r="L16" s="21">
        <f t="shared" ca="1" si="1"/>
        <v>0</v>
      </c>
      <c r="M16" s="21">
        <f t="shared" si="1"/>
        <v>0</v>
      </c>
      <c r="N16" s="21">
        <f t="shared" ca="1" si="1"/>
        <v>297.20839234248263</v>
      </c>
      <c r="O16" s="21">
        <f>O5</f>
        <v>0</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0.19609496465015719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1338.5112931799954</v>
      </c>
      <c r="C20" s="23">
        <f t="shared" ref="C20:P20" ca="1" si="2">C16*C18</f>
        <v>0</v>
      </c>
      <c r="D20" s="23">
        <f t="shared" ca="1" si="2"/>
        <v>1322.8395943664</v>
      </c>
      <c r="E20" s="23">
        <f t="shared" si="2"/>
        <v>20.834640147965452</v>
      </c>
      <c r="F20" s="23">
        <f t="shared" ca="1" si="2"/>
        <v>196.05250038663468</v>
      </c>
      <c r="G20" s="23">
        <f t="shared" si="2"/>
        <v>0</v>
      </c>
      <c r="H20" s="23">
        <f t="shared" si="2"/>
        <v>0</v>
      </c>
      <c r="I20" s="23">
        <f t="shared" si="2"/>
        <v>0</v>
      </c>
      <c r="J20" s="23">
        <f t="shared" si="2"/>
        <v>2.5933508304967108E-3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1676.7363500000001</v>
      </c>
      <c r="C26" s="39">
        <f>IF(ISERROR(B26*3.6/1000000/'E Balans VL '!Z12*100),0,B26*3.6/1000000/'E Balans VL '!Z12*100)</f>
        <v>3.5570427627648921E-2</v>
      </c>
      <c r="D26" s="235" t="s">
        <v>692</v>
      </c>
      <c r="F26" s="6"/>
    </row>
    <row r="27" spans="1:18">
      <c r="A27" s="229" t="s">
        <v>52</v>
      </c>
      <c r="B27" s="33">
        <f>IF(ISERROR(TER_horeca_ele_kWh/1000),0,TER_horeca_ele_kWh/1000)</f>
        <v>1088.591885</v>
      </c>
      <c r="C27" s="39">
        <f>IF(ISERROR(B27*3.6/1000000/'E Balans VL '!Z9*100),0,B27*3.6/1000000/'E Balans VL '!Z9*100)</f>
        <v>8.1980612238851808E-2</v>
      </c>
      <c r="D27" s="235" t="s">
        <v>692</v>
      </c>
      <c r="F27" s="6"/>
    </row>
    <row r="28" spans="1:18">
      <c r="A28" s="169" t="s">
        <v>51</v>
      </c>
      <c r="B28" s="33">
        <f>IF(ISERROR(TER_handel_ele_kWh/1000),0,TER_handel_ele_kWh/1000)</f>
        <v>2318.6163550000001</v>
      </c>
      <c r="C28" s="39">
        <f>IF(ISERROR(B28*3.6/1000000/'E Balans VL '!Z13*100),0,B28*3.6/1000000/'E Balans VL '!Z13*100)</f>
        <v>6.730121728691621E-2</v>
      </c>
      <c r="D28" s="235" t="s">
        <v>692</v>
      </c>
      <c r="F28" s="6"/>
    </row>
    <row r="29" spans="1:18">
      <c r="A29" s="229" t="s">
        <v>50</v>
      </c>
      <c r="B29" s="33">
        <f>IF(ISERROR(TER_gezond_ele_kWh/1000),0,TER_gezond_ele_kWh/1000)</f>
        <v>1235.62645</v>
      </c>
      <c r="C29" s="39">
        <f>IF(ISERROR(B29*3.6/1000000/'E Balans VL '!Z10*100),0,B29*3.6/1000000/'E Balans VL '!Z10*100)</f>
        <v>0.12461440102705779</v>
      </c>
      <c r="D29" s="235" t="s">
        <v>692</v>
      </c>
      <c r="F29" s="6"/>
    </row>
    <row r="30" spans="1:18">
      <c r="A30" s="229" t="s">
        <v>49</v>
      </c>
      <c r="B30" s="33">
        <f>IF(ISERROR(TER_ander_ele_kWh/1000),0,TER_ander_ele_kWh/1000)</f>
        <v>425.71983799999998</v>
      </c>
      <c r="C30" s="39">
        <f>IF(ISERROR(B30*3.6/1000000/'E Balans VL '!Z14*100),0,B30*3.6/1000000/'E Balans VL '!Z14*100)</f>
        <v>3.0891782130395281E-2</v>
      </c>
      <c r="D30" s="235" t="s">
        <v>692</v>
      </c>
      <c r="F30" s="6"/>
    </row>
    <row r="31" spans="1:18">
      <c r="A31" s="229" t="s">
        <v>54</v>
      </c>
      <c r="B31" s="33">
        <f>IF(ISERROR(TER_onderwijs_ele_kWh/1000),0,TER_onderwijs_ele_kWh/1000)</f>
        <v>28.984000000000002</v>
      </c>
      <c r="C31" s="39">
        <f>IF(ISERROR(B31*3.6/1000000/'E Balans VL '!Z11*100),0,B31*3.6/1000000/'E Balans VL '!Z11*100)</f>
        <v>8.2616202834382771E-3</v>
      </c>
      <c r="D31" s="235" t="s">
        <v>692</v>
      </c>
    </row>
    <row r="32" spans="1:18">
      <c r="A32" s="229" t="s">
        <v>248</v>
      </c>
      <c r="B32" s="33">
        <f>IF(ISERROR(TER_rest_ele_kWh/1000),0,TER_rest_ele_kWh/1000)</f>
        <v>51.557164999999998</v>
      </c>
      <c r="C32" s="39">
        <f>IF(ISERROR(B32*3.6/1000000/'E Balans VL '!Z8*100),0,B32*3.6/1000000/'E Balans VL '!Z8*100)</f>
        <v>4.2234579397715667E-4</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0</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1</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2067.8371459999998</v>
      </c>
      <c r="C5" s="17">
        <f>IF(ISERROR('Eigen informatie GS &amp; warmtenet'!B61),0,'Eigen informatie GS &amp; warmtenet'!B61)</f>
        <v>0</v>
      </c>
      <c r="D5" s="30">
        <f>SUM(D6:D15)</f>
        <v>342.52367600000002</v>
      </c>
      <c r="E5" s="17">
        <f>SUM(E6:E15)</f>
        <v>225.14054058339511</v>
      </c>
      <c r="F5" s="17">
        <f>SUM(F6:F15)</f>
        <v>801.33737125915775</v>
      </c>
      <c r="G5" s="18"/>
      <c r="H5" s="17"/>
      <c r="I5" s="17"/>
      <c r="J5" s="17">
        <f>SUM(J6:J15)</f>
        <v>1.0474866011919994</v>
      </c>
      <c r="K5" s="17"/>
      <c r="L5" s="17"/>
      <c r="M5" s="17"/>
      <c r="N5" s="17">
        <f>SUM(N6:N15)</f>
        <v>172.0748777866163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224.47825599999999</v>
      </c>
      <c r="C8" s="33"/>
      <c r="D8" s="37">
        <f>IF( ISERROR(IND_metaal_Gas_kWH/1000),0,IND_metaal_Gas_kWH/1000)*0.902</f>
        <v>0</v>
      </c>
      <c r="E8" s="33">
        <f>C30*'E Balans VL '!I18/100/3.6*1000000</f>
        <v>1.6194530634750519</v>
      </c>
      <c r="F8" s="33">
        <f>C30*'E Balans VL '!L18/100/3.6*1000000+C30*'E Balans VL '!N18/100/3.6*1000000</f>
        <v>21.231503928503429</v>
      </c>
      <c r="G8" s="34"/>
      <c r="H8" s="33"/>
      <c r="I8" s="33"/>
      <c r="J8" s="40">
        <f>C30*'E Balans VL '!D18/100/3.6*1000000+C30*'E Balans VL '!E18/100/3.6*1000000</f>
        <v>0.2257815343724186</v>
      </c>
      <c r="K8" s="33"/>
      <c r="L8" s="33"/>
      <c r="M8" s="33"/>
      <c r="N8" s="33">
        <f>C30*'E Balans VL '!Y18/100/3.6*1000000</f>
        <v>2.837999066670668</v>
      </c>
      <c r="O8" s="33"/>
      <c r="P8" s="33"/>
      <c r="R8" s="32"/>
    </row>
    <row r="9" spans="1:18">
      <c r="A9" s="6" t="s">
        <v>32</v>
      </c>
      <c r="B9" s="37">
        <f t="shared" si="0"/>
        <v>742.17845</v>
      </c>
      <c r="C9" s="33"/>
      <c r="D9" s="37">
        <f>IF( ISERROR(IND_andere_gas_kWh/1000),0,IND_andere_gas_kWh/1000)*0.902</f>
        <v>246.57793599999999</v>
      </c>
      <c r="E9" s="33">
        <f>C31*'E Balans VL '!I19/100/3.6*1000000</f>
        <v>205.66757266419853</v>
      </c>
      <c r="F9" s="33">
        <f>C31*'E Balans VL '!L19/100/3.6*1000000+C31*'E Balans VL '!N19/100/3.6*1000000</f>
        <v>615.11910321999142</v>
      </c>
      <c r="G9" s="34"/>
      <c r="H9" s="33"/>
      <c r="I9" s="33"/>
      <c r="J9" s="40">
        <f>C31*'E Balans VL '!D19/100/3.6*1000000+C31*'E Balans VL '!E19/100/3.6*1000000</f>
        <v>0</v>
      </c>
      <c r="K9" s="33"/>
      <c r="L9" s="33"/>
      <c r="M9" s="33"/>
      <c r="N9" s="33">
        <f>C31*'E Balans VL '!Y19/100/3.6*1000000</f>
        <v>53.873077644806912</v>
      </c>
      <c r="O9" s="33"/>
      <c r="P9" s="33"/>
      <c r="R9" s="32"/>
    </row>
    <row r="10" spans="1:18">
      <c r="A10" s="6" t="s">
        <v>40</v>
      </c>
      <c r="B10" s="37">
        <f t="shared" si="0"/>
        <v>731.69799999999998</v>
      </c>
      <c r="C10" s="33"/>
      <c r="D10" s="37">
        <f>IF( ISERROR(IND_voed_gas_kWh/1000),0,IND_voed_gas_kWh/1000)*0.902</f>
        <v>0</v>
      </c>
      <c r="E10" s="33">
        <f>C32*'E Balans VL '!I20/100/3.6*1000000</f>
        <v>1.2953533020024603</v>
      </c>
      <c r="F10" s="33">
        <f>C32*'E Balans VL '!L20/100/3.6*1000000+C32*'E Balans VL '!N20/100/3.6*1000000</f>
        <v>39.518176981202757</v>
      </c>
      <c r="G10" s="34"/>
      <c r="H10" s="33"/>
      <c r="I10" s="33"/>
      <c r="J10" s="40">
        <f>C32*'E Balans VL '!D20/100/3.6*1000000+C32*'E Balans VL '!E20/100/3.6*1000000</f>
        <v>0</v>
      </c>
      <c r="K10" s="33"/>
      <c r="L10" s="33"/>
      <c r="M10" s="33"/>
      <c r="N10" s="33">
        <f>C32*'E Balans VL '!Y20/100/3.6*1000000</f>
        <v>42.517241847258028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280.32</v>
      </c>
      <c r="C12" s="33"/>
      <c r="D12" s="37">
        <f>IF( ISERROR(IND_min_gas_kWh/1000),0,IND_min_gas_kWh/1000)*0.902</f>
        <v>0</v>
      </c>
      <c r="E12" s="33">
        <f>C34*'E Balans VL '!I22/100/3.6*1000000</f>
        <v>12.344292889033204</v>
      </c>
      <c r="F12" s="33">
        <f>C34*'E Balans VL '!L22/100/3.6*1000000+C34*'E Balans VL '!N22/100/3.6*1000000</f>
        <v>109.61644088006189</v>
      </c>
      <c r="G12" s="34"/>
      <c r="H12" s="33"/>
      <c r="I12" s="33"/>
      <c r="J12" s="40">
        <f>C34*'E Balans VL '!D22/100/3.6*1000000+C34*'E Balans VL '!E22/100/3.6*1000000</f>
        <v>8.5115113440582646E-2</v>
      </c>
      <c r="K12" s="33"/>
      <c r="L12" s="33"/>
      <c r="M12" s="33"/>
      <c r="N12" s="33">
        <f>C34*'E Balans VL '!Y22/100/3.6*1000000</f>
        <v>69.342672879976817</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89.162440000000004</v>
      </c>
      <c r="C15" s="33"/>
      <c r="D15" s="37">
        <f>IF( ISERROR(IND_rest_gas_kWh/1000),0,IND_rest_gas_kWh/1000)*0.902</f>
        <v>95.945740000000001</v>
      </c>
      <c r="E15" s="33">
        <f>C37*'E Balans VL '!I15/100/3.6*1000000</f>
        <v>4.2138686646858687</v>
      </c>
      <c r="F15" s="33">
        <f>C37*'E Balans VL '!L15/100/3.6*1000000+C37*'E Balans VL '!N15/100/3.6*1000000</f>
        <v>15.852146249398331</v>
      </c>
      <c r="G15" s="34"/>
      <c r="H15" s="33"/>
      <c r="I15" s="33"/>
      <c r="J15" s="40">
        <f>C37*'E Balans VL '!D15/100/3.6*1000000+C37*'E Balans VL '!E15/100/3.6*1000000</f>
        <v>0.73658995337899813</v>
      </c>
      <c r="K15" s="33"/>
      <c r="L15" s="33"/>
      <c r="M15" s="33"/>
      <c r="N15" s="33">
        <f>C37*'E Balans VL '!Y15/100/3.6*1000000</f>
        <v>3.50388634790386</v>
      </c>
      <c r="O15" s="33"/>
      <c r="P15" s="33"/>
      <c r="R15" s="32"/>
    </row>
    <row r="16" spans="1:18">
      <c r="A16" s="16" t="s">
        <v>465</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2067.8371459999998</v>
      </c>
      <c r="C18" s="21">
        <f>C5+C16</f>
        <v>0</v>
      </c>
      <c r="D18" s="21">
        <f>MAX((D5+D16),0)</f>
        <v>342.52367600000002</v>
      </c>
      <c r="E18" s="21">
        <f>MAX((E5+E16),0)</f>
        <v>225.14054058339511</v>
      </c>
      <c r="F18" s="21">
        <f>MAX((F5+F16),0)</f>
        <v>801.33737125915775</v>
      </c>
      <c r="G18" s="21"/>
      <c r="H18" s="21"/>
      <c r="I18" s="21"/>
      <c r="J18" s="21">
        <f>MAX((J5+J16),0)</f>
        <v>1.0474866011919994</v>
      </c>
      <c r="K18" s="21"/>
      <c r="L18" s="21">
        <f>MAX((L5+L16),0)</f>
        <v>0</v>
      </c>
      <c r="M18" s="21"/>
      <c r="N18" s="21">
        <f>MAX((N5+N16),0)</f>
        <v>172.0748777866163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0.19609496465015719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405.49245204715191</v>
      </c>
      <c r="C22" s="23">
        <f ca="1">C18*C20</f>
        <v>0</v>
      </c>
      <c r="D22" s="23">
        <f>D18*D20</f>
        <v>69.189782552000011</v>
      </c>
      <c r="E22" s="23">
        <f>E18*E20</f>
        <v>51.106902712430688</v>
      </c>
      <c r="F22" s="23">
        <f>F18*F20</f>
        <v>213.95707812619514</v>
      </c>
      <c r="G22" s="23"/>
      <c r="H22" s="23"/>
      <c r="I22" s="23"/>
      <c r="J22" s="23">
        <f>J18*J20</f>
        <v>0.37081025682196778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224.47825599999999</v>
      </c>
      <c r="C30" s="39">
        <f>IF(ISERROR(B30*3.6/1000000/'E Balans VL '!Z18*100),0,B30*3.6/1000000/'E Balans VL '!Z18*100)</f>
        <v>1.2958779454756779E-2</v>
      </c>
      <c r="D30" s="235" t="s">
        <v>692</v>
      </c>
    </row>
    <row r="31" spans="1:18">
      <c r="A31" s="6" t="s">
        <v>32</v>
      </c>
      <c r="B31" s="37">
        <f>IF( ISERROR(IND_ander_ele_kWh/1000),0,IND_ander_ele_kWh/1000)</f>
        <v>742.17845</v>
      </c>
      <c r="C31" s="39">
        <f>IF(ISERROR(B31*3.6/1000000/'E Balans VL '!Z19*100),0,B31*3.6/1000000/'E Balans VL '!Z19*100)</f>
        <v>3.7329170356704536E-2</v>
      </c>
      <c r="D31" s="235" t="s">
        <v>692</v>
      </c>
    </row>
    <row r="32" spans="1:18">
      <c r="A32" s="169" t="s">
        <v>40</v>
      </c>
      <c r="B32" s="37">
        <f>IF( ISERROR(IND_voed_ele_kWh/1000),0,IND_voed_ele_kWh/1000)</f>
        <v>731.69799999999998</v>
      </c>
      <c r="C32" s="39">
        <f>IF(ISERROR(B32*3.6/1000000/'E Balans VL '!Z20*100),0,B32*3.6/1000000/'E Balans VL '!Z20*100)</f>
        <v>2.4369888404247565E-2</v>
      </c>
      <c r="D32" s="235" t="s">
        <v>692</v>
      </c>
    </row>
    <row r="33" spans="1:5">
      <c r="A33" s="169" t="s">
        <v>39</v>
      </c>
      <c r="B33" s="37">
        <f>IF( ISERROR(IND_textiel_ele_kWh/1000),0,IND_textiel_ele_kWh/1000)</f>
        <v>0</v>
      </c>
      <c r="C33" s="39">
        <f>IF(ISERROR(B33*3.6/1000000/'E Balans VL '!Z21*100),0,B33*3.6/1000000/'E Balans VL '!Z21*100)</f>
        <v>0</v>
      </c>
      <c r="D33" s="235" t="s">
        <v>692</v>
      </c>
    </row>
    <row r="34" spans="1:5">
      <c r="A34" s="169" t="s">
        <v>36</v>
      </c>
      <c r="B34" s="37">
        <f>IF( ISERROR(IND_min_ele_kWh/1000),0,IND_min_ele_kWh/1000)</f>
        <v>280.32</v>
      </c>
      <c r="C34" s="39">
        <f>IF(ISERROR(B34*3.6/1000000/'E Balans VL '!Z22*100),0,B34*3.6/1000000/'E Balans VL '!Z22*100)</f>
        <v>5.2289148188751085E-2</v>
      </c>
      <c r="D34" s="235" t="s">
        <v>692</v>
      </c>
    </row>
    <row r="35" spans="1:5">
      <c r="A35" s="169" t="s">
        <v>38</v>
      </c>
      <c r="B35" s="37">
        <f>IF( ISERROR(IND_papier_ele_kWh/1000),0,IND_papier_ele_kWh/1000)</f>
        <v>0</v>
      </c>
      <c r="C35" s="39">
        <f>IF(ISERROR(B35*3.6/1000000/'E Balans VL '!Z22*100),0,B35*3.6/1000000/'E Balans VL '!Z22*100)</f>
        <v>0</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89.162440000000004</v>
      </c>
      <c r="C37" s="39">
        <f>IF(ISERROR(B37*3.6/1000000/'E Balans VL '!Z15*100),0,B37*3.6/1000000/'E Balans VL '!Z15*100)</f>
        <v>6.9571085838967791E-4</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1039.193</v>
      </c>
      <c r="C5" s="17">
        <f>'Eigen informatie GS &amp; warmtenet'!B62</f>
        <v>0</v>
      </c>
      <c r="D5" s="30">
        <f>IF(ISERROR(SUM(LB_lb_gas_kWh,LB_rest_gas_kWh)/1000),0,SUM(LB_lb_gas_kWh,LB_rest_gas_kWh)/1000)*0.902</f>
        <v>52.141011999999996</v>
      </c>
      <c r="E5" s="17">
        <f>B17*'E Balans VL '!I25/3.6*1000000/100</f>
        <v>32.432870846424741</v>
      </c>
      <c r="F5" s="17">
        <f>B17*('E Balans VL '!L25/3.6*1000000+'E Balans VL '!N25/3.6*1000000)/100</f>
        <v>3672.6231806950982</v>
      </c>
      <c r="G5" s="18"/>
      <c r="H5" s="17"/>
      <c r="I5" s="17"/>
      <c r="J5" s="17">
        <f>('E Balans VL '!D25+'E Balans VL '!E25)/3.6*1000000*landbouw!B17/100</f>
        <v>286.30487824029558</v>
      </c>
      <c r="K5" s="17"/>
      <c r="L5" s="17">
        <f>L6*(-1)</f>
        <v>0</v>
      </c>
      <c r="M5" s="17"/>
      <c r="N5" s="17">
        <f>N6*(-1)</f>
        <v>124.71428571428569</v>
      </c>
      <c r="O5" s="17"/>
      <c r="P5" s="17"/>
      <c r="R5" s="32"/>
    </row>
    <row r="6" spans="1:18">
      <c r="A6" s="16" t="s">
        <v>465</v>
      </c>
      <c r="B6" s="17" t="s">
        <v>204</v>
      </c>
      <c r="C6" s="17">
        <f>'lokale energieproductie'!O39+'lokale energieproductie'!O32</f>
        <v>62.357142857142847</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-124.71428571428569</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1039.193</v>
      </c>
      <c r="C8" s="21">
        <f>C5+C6</f>
        <v>62.357142857142847</v>
      </c>
      <c r="D8" s="21">
        <f>MAX((D5+D6),0)</f>
        <v>52.141011999999996</v>
      </c>
      <c r="E8" s="21">
        <f>MAX((E5+E6),0)</f>
        <v>32.432870846424741</v>
      </c>
      <c r="F8" s="21">
        <f>MAX((F5+F6),0)</f>
        <v>3672.6231806950982</v>
      </c>
      <c r="G8" s="21"/>
      <c r="H8" s="21"/>
      <c r="I8" s="21"/>
      <c r="J8" s="21">
        <f>MAX((J5+J6),0)</f>
        <v>286.30487824029558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0.19609496465015719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203.7805145996908</v>
      </c>
      <c r="C12" s="23">
        <f ca="1">C8*C10</f>
        <v>0</v>
      </c>
      <c r="D12" s="23">
        <f>D8*D10</f>
        <v>10.532484424</v>
      </c>
      <c r="E12" s="23">
        <f>E8*E10</f>
        <v>7.3622616821384161</v>
      </c>
      <c r="F12" s="23">
        <f>F8*F10</f>
        <v>980.59038924559127</v>
      </c>
      <c r="G12" s="23"/>
      <c r="H12" s="23"/>
      <c r="I12" s="23"/>
      <c r="J12" s="23">
        <f>J8*J10</f>
        <v>101.35192689706463</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0.15448348909107021</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387.83251328056696</v>
      </c>
      <c r="C26" s="245">
        <f>B26*'GWP N2O_CH4'!B5</f>
        <v>8144.4827788919065</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67.155683648623338</v>
      </c>
      <c r="C27" s="245">
        <f>B27*'GWP N2O_CH4'!B5</f>
        <v>1410.2693566210901</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4.8821180085859144</v>
      </c>
      <c r="C28" s="245">
        <f>B28*'GWP N2O_CH4'!B4</f>
        <v>1513.4565826616335</v>
      </c>
      <c r="D28" s="50"/>
    </row>
    <row r="29" spans="1:4">
      <c r="A29" s="41" t="s">
        <v>265</v>
      </c>
      <c r="B29" s="245">
        <f>B34*'ha_N2O bodem landbouw'!B4</f>
        <v>18.340073597413916</v>
      </c>
      <c r="C29" s="245">
        <f>B29*'GWP N2O_CH4'!B4</f>
        <v>5685.4228151983143</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4.0216479343123624E-3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2.6031635214040816E-4</v>
      </c>
      <c r="C5" s="431" t="s">
        <v>204</v>
      </c>
      <c r="D5" s="416">
        <f>SUM(D6:D11)</f>
        <v>4.6511748269793471E-4</v>
      </c>
      <c r="E5" s="416">
        <f>SUM(E6:E11)</f>
        <v>4.0267723133537685E-4</v>
      </c>
      <c r="F5" s="429" t="s">
        <v>204</v>
      </c>
      <c r="G5" s="416">
        <f>SUM(G6:G11)</f>
        <v>0.19452081816876773</v>
      </c>
      <c r="H5" s="416">
        <f>SUM(H6:H11)</f>
        <v>4.131791741060601E-2</v>
      </c>
      <c r="I5" s="431" t="s">
        <v>204</v>
      </c>
      <c r="J5" s="431" t="s">
        <v>204</v>
      </c>
      <c r="K5" s="431" t="s">
        <v>204</v>
      </c>
      <c r="L5" s="431" t="s">
        <v>204</v>
      </c>
      <c r="M5" s="416">
        <f>SUM(M6:M11)</f>
        <v>1.3948195474971245E-2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1.9690233515218974E-4</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3.3239028764490069E-4</v>
      </c>
      <c r="E6" s="882">
        <f>vkm_GW_PW*SUMIFS(TableVerdeelsleutelVkm[LPG],TableVerdeelsleutelVkm[Voertuigtype],"Lichte voertuigen")*SUMIFS(TableECFTransport[EnergieConsumptieFactor (PJ per km)],TableECFTransport[Index],CONCATENATE($A6,"_LPG_LPG"))</f>
        <v>2.9126444519369778E-4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9.0985355823302333E-2</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2.9649269977677594E-2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7.2076587480662639E-3</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1.7234718616184219E-6</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6.5780101385381082E-2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9.1436449660657167E-7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3.7917215945586719E-3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6.1576409427032596E-5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1.3272719505303399E-4</v>
      </c>
      <c r="E8" s="419">
        <f>vkm_NGW_PW*SUMIFS(TableVerdeelsleutelVkm[LPG],TableVerdeelsleutelVkm[Voertuigtype],"Lichte voertuigen")*SUMIFS(TableECFTransport[EnergieConsumptieFactor (PJ per km)],TableECFTransport[Index],CONCATENATE($A8,"_LPG_LPG"))</f>
        <v>1.1141278614167905E-4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3.2155077095866957E-2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1.166765997924857E-2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2.6260017571826059E-3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1.1413569956736525E-7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5.6002838642173654E-3</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7.3089183242749772E-8</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3.2281337516370422E-4</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72.310097816780043</v>
      </c>
      <c r="C14" s="21"/>
      <c r="D14" s="21">
        <f t="shared" ref="D14:M14" si="0">((D5)*10^9/3600)+D12</f>
        <v>129.1993007494263</v>
      </c>
      <c r="E14" s="21">
        <f t="shared" si="0"/>
        <v>111.85478648204912</v>
      </c>
      <c r="F14" s="21"/>
      <c r="G14" s="21">
        <f t="shared" si="0"/>
        <v>54033.560602435478</v>
      </c>
      <c r="H14" s="21">
        <f t="shared" si="0"/>
        <v>11477.199280723893</v>
      </c>
      <c r="I14" s="21"/>
      <c r="J14" s="21"/>
      <c r="K14" s="21"/>
      <c r="L14" s="21"/>
      <c r="M14" s="21">
        <f t="shared" si="0"/>
        <v>3874.4987430475676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0.19609496465015719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14.179646075230892</v>
      </c>
      <c r="C18" s="23"/>
      <c r="D18" s="23">
        <f t="shared" ref="D18:M18" si="1">D14*D16</f>
        <v>26.098258751384115</v>
      </c>
      <c r="E18" s="23">
        <f t="shared" si="1"/>
        <v>25.391036531425151</v>
      </c>
      <c r="F18" s="23"/>
      <c r="G18" s="23">
        <f t="shared" si="1"/>
        <v>14426.960680850274</v>
      </c>
      <c r="H18" s="23">
        <f t="shared" si="1"/>
        <v>2857.8226209002491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1.1038279232424568E-4</v>
      </c>
      <c r="C50" s="315">
        <f t="shared" ref="C50:P50" si="2">SUM(C51:C52)</f>
        <v>0</v>
      </c>
      <c r="D50" s="315">
        <f t="shared" si="2"/>
        <v>0</v>
      </c>
      <c r="E50" s="315">
        <f t="shared" si="2"/>
        <v>0</v>
      </c>
      <c r="F50" s="315">
        <f t="shared" si="2"/>
        <v>0</v>
      </c>
      <c r="G50" s="315">
        <f t="shared" si="2"/>
        <v>7.9973995544247514E-3</v>
      </c>
      <c r="H50" s="315">
        <f t="shared" si="2"/>
        <v>0</v>
      </c>
      <c r="I50" s="315">
        <f t="shared" si="2"/>
        <v>0</v>
      </c>
      <c r="J50" s="315">
        <f t="shared" si="2"/>
        <v>0</v>
      </c>
      <c r="K50" s="315">
        <f t="shared" si="2"/>
        <v>0</v>
      </c>
      <c r="L50" s="315">
        <f t="shared" si="2"/>
        <v>0</v>
      </c>
      <c r="M50" s="315">
        <f t="shared" si="2"/>
        <v>4.5235673506251271E-4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1.1038279232424568E-4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7.9973995544247514E-3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4.5235673506251271E-4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30.661886756734912</v>
      </c>
      <c r="C54" s="21">
        <f t="shared" ref="C54:P54" si="3">(C50)*10^9/3600</f>
        <v>0</v>
      </c>
      <c r="D54" s="21">
        <f t="shared" si="3"/>
        <v>0</v>
      </c>
      <c r="E54" s="21">
        <f t="shared" si="3"/>
        <v>0</v>
      </c>
      <c r="F54" s="21">
        <f t="shared" si="3"/>
        <v>0</v>
      </c>
      <c r="G54" s="21">
        <f t="shared" si="3"/>
        <v>2221.4998762290975</v>
      </c>
      <c r="H54" s="21">
        <f t="shared" si="3"/>
        <v>0</v>
      </c>
      <c r="I54" s="21">
        <f t="shared" si="3"/>
        <v>0</v>
      </c>
      <c r="J54" s="21">
        <f t="shared" si="3"/>
        <v>0</v>
      </c>
      <c r="K54" s="21">
        <f t="shared" si="3"/>
        <v>0</v>
      </c>
      <c r="L54" s="21">
        <f t="shared" si="3"/>
        <v>0</v>
      </c>
      <c r="M54" s="21">
        <f t="shared" si="3"/>
        <v>125.65464862847574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0.19609496465015719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6.0126415996690552</v>
      </c>
      <c r="C58" s="23">
        <f t="shared" ref="C58:P58" ca="1" si="4">C54*C56</f>
        <v>0</v>
      </c>
      <c r="D58" s="23">
        <f t="shared" si="4"/>
        <v>0</v>
      </c>
      <c r="E58" s="23">
        <f t="shared" si="4"/>
        <v>0</v>
      </c>
      <c r="F58" s="23">
        <f t="shared" si="4"/>
        <v>0</v>
      </c>
      <c r="G58" s="23">
        <f t="shared" si="4"/>
        <v>593.14046695316904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0</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3031.6242723022642</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N29</f>
        <v>43.649999999999991</v>
      </c>
      <c r="C8" s="541">
        <f>B48</f>
        <v>0</v>
      </c>
      <c r="D8" s="542"/>
      <c r="E8" s="542">
        <f>E48</f>
        <v>0</v>
      </c>
      <c r="F8" s="543"/>
      <c r="G8" s="544"/>
      <c r="H8" s="542">
        <f>I48</f>
        <v>0</v>
      </c>
      <c r="I8" s="542">
        <f>G48+F48</f>
        <v>0</v>
      </c>
      <c r="J8" s="542">
        <f>H48+D48+C48</f>
        <v>51.35294117647058</v>
      </c>
      <c r="K8" s="542"/>
      <c r="L8" s="542"/>
      <c r="M8" s="542"/>
      <c r="N8" s="545"/>
      <c r="O8" s="546">
        <f>C8*$C$12+D8*$D$12+E8*$E$12+F8*$F$12+G8*$G$12+H8*$H$12+I8*$I$12+J8*$J$12</f>
        <v>0</v>
      </c>
      <c r="P8" s="1269"/>
      <c r="Q8" s="1270"/>
      <c r="S8" s="536"/>
      <c r="T8" s="1266"/>
      <c r="U8" s="1266"/>
    </row>
    <row r="9" spans="1:21" s="527" customFormat="1" ht="17.45" customHeight="1" thickBot="1">
      <c r="A9" s="547" t="s">
        <v>236</v>
      </c>
      <c r="B9" s="548">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3075.2742723022643</v>
      </c>
      <c r="C10" s="556">
        <f t="shared" ref="C10:L10" si="0">SUM(C8:C9)</f>
        <v>0</v>
      </c>
      <c r="D10" s="556">
        <f t="shared" si="0"/>
        <v>0</v>
      </c>
      <c r="E10" s="556">
        <f t="shared" si="0"/>
        <v>0</v>
      </c>
      <c r="F10" s="556">
        <f t="shared" si="0"/>
        <v>0</v>
      </c>
      <c r="G10" s="556">
        <f t="shared" si="0"/>
        <v>0</v>
      </c>
      <c r="H10" s="556">
        <f t="shared" si="0"/>
        <v>0</v>
      </c>
      <c r="I10" s="556">
        <f t="shared" si="0"/>
        <v>0</v>
      </c>
      <c r="J10" s="556">
        <f t="shared" si="0"/>
        <v>51.35294117647058</v>
      </c>
      <c r="K10" s="556">
        <f t="shared" si="0"/>
        <v>0</v>
      </c>
      <c r="L10" s="556">
        <f t="shared" si="0"/>
        <v>0</v>
      </c>
      <c r="M10" s="963"/>
      <c r="N10" s="963"/>
      <c r="O10" s="557">
        <f>SUM(O4:O9)</f>
        <v>0</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O29</f>
        <v>62.357142857142847</v>
      </c>
      <c r="C17" s="572">
        <f>B49</f>
        <v>0</v>
      </c>
      <c r="D17" s="573"/>
      <c r="E17" s="573">
        <f>E49</f>
        <v>0</v>
      </c>
      <c r="F17" s="574"/>
      <c r="G17" s="575"/>
      <c r="H17" s="572">
        <f>I49</f>
        <v>0</v>
      </c>
      <c r="I17" s="573">
        <f>G49+F49</f>
        <v>0</v>
      </c>
      <c r="J17" s="573">
        <f>H49+D49+C49</f>
        <v>73.361344537815114</v>
      </c>
      <c r="K17" s="573"/>
      <c r="L17" s="573"/>
      <c r="M17" s="573"/>
      <c r="N17" s="964"/>
      <c r="O17" s="576">
        <f>C17*$C$22+E17*$E$22+H17*$H$22+I17*$I$22+J17*$J$22+D17*$D$22+F17*$F$22+G17*$G$22+K17*$K$22+L17*$L$22</f>
        <v>0</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62.357142857142847</v>
      </c>
      <c r="C20" s="555">
        <f>SUM(C17:C19)</f>
        <v>0</v>
      </c>
      <c r="D20" s="555">
        <f t="shared" ref="D20:L20" si="1">SUM(D17:D19)</f>
        <v>0</v>
      </c>
      <c r="E20" s="555">
        <f t="shared" si="1"/>
        <v>0</v>
      </c>
      <c r="F20" s="555">
        <f t="shared" si="1"/>
        <v>0</v>
      </c>
      <c r="G20" s="555">
        <f t="shared" si="1"/>
        <v>0</v>
      </c>
      <c r="H20" s="555">
        <f t="shared" si="1"/>
        <v>0</v>
      </c>
      <c r="I20" s="555">
        <f t="shared" si="1"/>
        <v>0</v>
      </c>
      <c r="J20" s="555">
        <f t="shared" si="1"/>
        <v>73.361344537815114</v>
      </c>
      <c r="K20" s="555">
        <f t="shared" si="1"/>
        <v>0</v>
      </c>
      <c r="L20" s="555">
        <f t="shared" si="1"/>
        <v>0</v>
      </c>
      <c r="M20" s="555"/>
      <c r="N20" s="555"/>
      <c r="O20" s="581">
        <f>SUM(O17:O19)</f>
        <v>0</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25.5" hidden="1">
      <c r="A28" s="585"/>
      <c r="B28" s="783">
        <v>23024</v>
      </c>
      <c r="C28" s="783">
        <v>1755</v>
      </c>
      <c r="D28" s="633"/>
      <c r="E28" s="632"/>
      <c r="F28" s="632"/>
      <c r="G28" s="632" t="s">
        <v>900</v>
      </c>
      <c r="H28" s="632" t="s">
        <v>901</v>
      </c>
      <c r="I28" s="632"/>
      <c r="J28" s="782"/>
      <c r="K28" s="782"/>
      <c r="L28" s="632" t="s">
        <v>902</v>
      </c>
      <c r="M28" s="632">
        <v>9.6999999999999993</v>
      </c>
      <c r="N28" s="632">
        <v>43.649999999999991</v>
      </c>
      <c r="O28" s="632">
        <v>62.357142857142847</v>
      </c>
      <c r="P28" s="632">
        <v>0</v>
      </c>
      <c r="Q28" s="632">
        <v>124.71428571428569</v>
      </c>
      <c r="R28" s="632">
        <v>0</v>
      </c>
      <c r="S28" s="632">
        <v>0</v>
      </c>
      <c r="T28" s="632">
        <v>0</v>
      </c>
      <c r="U28" s="632">
        <v>0</v>
      </c>
      <c r="V28" s="632">
        <v>0</v>
      </c>
      <c r="W28" s="632">
        <v>0</v>
      </c>
      <c r="X28" s="632">
        <v>10</v>
      </c>
      <c r="Y28" s="632" t="s">
        <v>105</v>
      </c>
      <c r="Z28" s="634" t="s">
        <v>105</v>
      </c>
    </row>
    <row r="29" spans="1:26" s="566" customFormat="1" hidden="1">
      <c r="A29" s="588" t="s">
        <v>268</v>
      </c>
      <c r="B29" s="589"/>
      <c r="C29" s="589"/>
      <c r="D29" s="589"/>
      <c r="E29" s="589"/>
      <c r="F29" s="589"/>
      <c r="G29" s="589"/>
      <c r="H29" s="589"/>
      <c r="I29" s="589"/>
      <c r="J29" s="589"/>
      <c r="K29" s="589"/>
      <c r="L29" s="590"/>
      <c r="M29" s="590">
        <f>SUM(M28:M28)</f>
        <v>9.6999999999999993</v>
      </c>
      <c r="N29" s="590">
        <f>SUM(N28:N28)</f>
        <v>43.649999999999991</v>
      </c>
      <c r="O29" s="590">
        <f>SUM(O28:O28)</f>
        <v>62.357142857142847</v>
      </c>
      <c r="P29" s="590">
        <f>SUM(P28:P28)</f>
        <v>0</v>
      </c>
      <c r="Q29" s="590">
        <f>SUM(Q28:Q28)</f>
        <v>124.71428571428569</v>
      </c>
      <c r="R29" s="590">
        <f>SUM(R28:R28)</f>
        <v>0</v>
      </c>
      <c r="S29" s="590">
        <f>SUM(S28:S28)</f>
        <v>0</v>
      </c>
      <c r="T29" s="590">
        <f>SUM(T28:T28)</f>
        <v>0</v>
      </c>
      <c r="U29" s="590">
        <f>SUM(U28:U28)</f>
        <v>0</v>
      </c>
      <c r="V29" s="590">
        <f>SUM(V28:V28)</f>
        <v>0</v>
      </c>
      <c r="W29" s="590">
        <f>SUM(W28:W28)</f>
        <v>0</v>
      </c>
      <c r="X29" s="591"/>
      <c r="Y29" s="591"/>
      <c r="Z29" s="592"/>
    </row>
    <row r="30" spans="1:26" s="566" customFormat="1">
      <c r="A30" s="588" t="s">
        <v>275</v>
      </c>
      <c r="B30" s="589"/>
      <c r="C30" s="589"/>
      <c r="D30" s="589"/>
      <c r="E30" s="589"/>
      <c r="F30" s="589"/>
      <c r="G30" s="589"/>
      <c r="H30" s="589"/>
      <c r="I30" s="589"/>
      <c r="J30" s="589"/>
      <c r="K30" s="589"/>
      <c r="L30" s="590"/>
      <c r="M30" s="590">
        <f>SUMIF($Z$28:$Z$28,"industrie",M28:M28)</f>
        <v>0</v>
      </c>
      <c r="N30" s="590">
        <f>SUMIF($Z$28:$Z$28,"industrie",N28:N28)</f>
        <v>0</v>
      </c>
      <c r="O30" s="590">
        <f>SUMIF($Z$28:$Z$28,"industrie",O28:O28)</f>
        <v>0</v>
      </c>
      <c r="P30" s="590">
        <f>SUMIF($Z$28:$Z$28,"industrie",P28:P28)</f>
        <v>0</v>
      </c>
      <c r="Q30" s="590">
        <f>SUMIF($Z$28:$Z$28,"industrie",Q28:Q28)</f>
        <v>0</v>
      </c>
      <c r="R30" s="590">
        <f>SUMIF($Z$28:$Z$28,"industrie",R28:R28)</f>
        <v>0</v>
      </c>
      <c r="S30" s="590">
        <f>SUMIF($Z$28:$Z$28,"industrie",S28:S28)</f>
        <v>0</v>
      </c>
      <c r="T30" s="590">
        <f>SUMIF($Z$28:$Z$28,"industrie",T28:T28)</f>
        <v>0</v>
      </c>
      <c r="U30" s="590">
        <f>SUMIF($Z$28:$Z$28,"industrie",U28:U28)</f>
        <v>0</v>
      </c>
      <c r="V30" s="590">
        <f>SUMIF($Z$28:$Z$28,"industrie",V28:V28)</f>
        <v>0</v>
      </c>
      <c r="W30" s="590">
        <f>SUMIF($Z$28:$Z$28,"industrie",W28:W28)</f>
        <v>0</v>
      </c>
      <c r="X30" s="591"/>
      <c r="Y30" s="591"/>
      <c r="Z30" s="592"/>
    </row>
    <row r="31" spans="1:26" s="566" customFormat="1">
      <c r="A31" s="588" t="s">
        <v>276</v>
      </c>
      <c r="B31" s="589"/>
      <c r="C31" s="589"/>
      <c r="D31" s="589"/>
      <c r="E31" s="589"/>
      <c r="F31" s="589"/>
      <c r="G31" s="589"/>
      <c r="H31" s="589"/>
      <c r="I31" s="589"/>
      <c r="J31" s="589"/>
      <c r="K31" s="589"/>
      <c r="L31" s="590"/>
      <c r="M31" s="590">
        <f ca="1">SUMIF($Z$28:AC28,"tertiair",M28:M28)</f>
        <v>0</v>
      </c>
      <c r="N31" s="590">
        <f ca="1">SUMIF($Z$28:AD28,"tertiair",N28:N28)</f>
        <v>0</v>
      </c>
      <c r="O31" s="590">
        <f ca="1">SUMIF($Z$28:AE28,"tertiair",O28:O28)</f>
        <v>0</v>
      </c>
      <c r="P31" s="590">
        <f ca="1">SUMIF($Z$28:AF28,"tertiair",P28:P28)</f>
        <v>0</v>
      </c>
      <c r="Q31" s="590">
        <f ca="1">SUMIF($Z$28:AG28,"tertiair",Q28:Q28)</f>
        <v>0</v>
      </c>
      <c r="R31" s="590">
        <f ca="1">SUMIF($Z$28:AH28,"tertiair",R28:R28)</f>
        <v>0</v>
      </c>
      <c r="S31" s="590">
        <f ca="1">SUMIF($Z$28:AI28,"tertiair",S28:S28)</f>
        <v>0</v>
      </c>
      <c r="T31" s="590">
        <f ca="1">SUMIF($Z$28:AJ28,"tertiair",T28:T28)</f>
        <v>0</v>
      </c>
      <c r="U31" s="590">
        <f ca="1">SUMIF($Z$28:AK28,"tertiair",U28:U28)</f>
        <v>0</v>
      </c>
      <c r="V31" s="590">
        <f ca="1">SUMIF($Z$28:AL28,"tertiair",V28:V28)</f>
        <v>0</v>
      </c>
      <c r="W31" s="590">
        <f ca="1">SUMIF($Z$28:AM28,"tertiair",W28:W28)</f>
        <v>0</v>
      </c>
      <c r="X31" s="591"/>
      <c r="Y31" s="591"/>
      <c r="Z31" s="592"/>
    </row>
    <row r="32" spans="1:26" s="566" customFormat="1" ht="15.75" thickBot="1">
      <c r="A32" s="593" t="s">
        <v>277</v>
      </c>
      <c r="B32" s="594"/>
      <c r="C32" s="594"/>
      <c r="D32" s="594"/>
      <c r="E32" s="594"/>
      <c r="F32" s="594"/>
      <c r="G32" s="594"/>
      <c r="H32" s="594"/>
      <c r="I32" s="594"/>
      <c r="J32" s="594"/>
      <c r="K32" s="594"/>
      <c r="L32" s="595"/>
      <c r="M32" s="595">
        <f>SUMIF($Z$28:$Z$28,"landbouw",M28:M28)</f>
        <v>9.6999999999999993</v>
      </c>
      <c r="N32" s="595">
        <f>SUMIF($Z$28:$Z$28,"landbouw",N28:N28)</f>
        <v>43.649999999999991</v>
      </c>
      <c r="O32" s="595">
        <f>SUMIF($Z$28:$Z$28,"landbouw",O28:O28)</f>
        <v>62.357142857142847</v>
      </c>
      <c r="P32" s="595">
        <f>SUMIF($Z$28:$Z$28,"landbouw",P28:P28)</f>
        <v>0</v>
      </c>
      <c r="Q32" s="595">
        <f>SUMIF($Z$28:$Z$28,"landbouw",Q28:Q28)</f>
        <v>124.71428571428569</v>
      </c>
      <c r="R32" s="595">
        <f>SUMIF($Z$28:$Z$28,"landbouw",R28:R28)</f>
        <v>0</v>
      </c>
      <c r="S32" s="595">
        <f>SUMIF($Z$28:$Z$28,"landbouw",S28:S28)</f>
        <v>0</v>
      </c>
      <c r="T32" s="595">
        <f>SUMIF($Z$28:$Z$28,"landbouw",T28:T28)</f>
        <v>0</v>
      </c>
      <c r="U32" s="595">
        <f>SUMIF($Z$28:$Z$28,"landbouw",U28:U28)</f>
        <v>0</v>
      </c>
      <c r="V32" s="595">
        <f>SUMIF($Z$28:$Z$28,"landbouw",V28:V28)</f>
        <v>0</v>
      </c>
      <c r="W32" s="595">
        <f>SUMIF($Z$28:$Z$28,"landbouw",W28:W28)</f>
        <v>0</v>
      </c>
      <c r="X32" s="596"/>
      <c r="Y32" s="596"/>
      <c r="Z32" s="597"/>
    </row>
    <row r="33" spans="1:27" s="527" customFormat="1" ht="15.75" thickBot="1">
      <c r="A33" s="598"/>
      <c r="B33" s="599"/>
      <c r="C33" s="599"/>
      <c r="D33" s="599"/>
      <c r="E33" s="599"/>
      <c r="F33" s="599"/>
      <c r="G33" s="599"/>
      <c r="H33" s="599"/>
      <c r="I33" s="599"/>
      <c r="J33" s="599"/>
      <c r="K33" s="599"/>
      <c r="L33" s="582"/>
      <c r="M33" s="582"/>
      <c r="N33" s="582"/>
      <c r="O33" s="583"/>
      <c r="P33" s="583"/>
    </row>
    <row r="34" spans="1:27" s="527" customFormat="1" ht="45">
      <c r="A34" s="600" t="s">
        <v>269</v>
      </c>
      <c r="B34" s="629" t="s">
        <v>89</v>
      </c>
      <c r="C34" s="629" t="s">
        <v>90</v>
      </c>
      <c r="D34" s="629"/>
      <c r="E34" s="629"/>
      <c r="F34" s="629"/>
      <c r="G34" s="629" t="s">
        <v>91</v>
      </c>
      <c r="H34" s="629" t="s">
        <v>92</v>
      </c>
      <c r="I34" s="629"/>
      <c r="J34" s="629"/>
      <c r="K34" s="629"/>
      <c r="L34" s="629" t="s">
        <v>93</v>
      </c>
      <c r="M34" s="630" t="s">
        <v>286</v>
      </c>
      <c r="N34" s="630" t="s">
        <v>94</v>
      </c>
      <c r="O34" s="630" t="s">
        <v>95</v>
      </c>
      <c r="P34" s="630" t="s">
        <v>511</v>
      </c>
      <c r="Q34" s="630" t="s">
        <v>96</v>
      </c>
      <c r="R34" s="630" t="s">
        <v>97</v>
      </c>
      <c r="S34" s="630" t="s">
        <v>98</v>
      </c>
      <c r="T34" s="630" t="s">
        <v>99</v>
      </c>
      <c r="U34" s="630" t="s">
        <v>100</v>
      </c>
      <c r="V34" s="630" t="s">
        <v>101</v>
      </c>
      <c r="W34" s="629" t="s">
        <v>102</v>
      </c>
      <c r="X34" s="629" t="s">
        <v>287</v>
      </c>
      <c r="Y34" s="629" t="s">
        <v>103</v>
      </c>
      <c r="Z34" s="631" t="s">
        <v>288</v>
      </c>
    </row>
    <row r="35" spans="1:27" s="601" customFormat="1" ht="12.75" hidden="1">
      <c r="A35" s="587"/>
      <c r="B35" s="783"/>
      <c r="C35" s="783"/>
      <c r="D35" s="635"/>
      <c r="E35" s="635"/>
      <c r="F35" s="635"/>
      <c r="G35" s="635"/>
      <c r="H35" s="635"/>
      <c r="I35" s="635"/>
      <c r="J35" s="782"/>
      <c r="K35" s="782"/>
      <c r="L35" s="635"/>
      <c r="M35" s="635"/>
      <c r="N35" s="635"/>
      <c r="O35" s="635"/>
      <c r="P35" s="635"/>
      <c r="Q35" s="635"/>
      <c r="R35" s="635"/>
      <c r="S35" s="635"/>
      <c r="T35" s="635"/>
      <c r="U35" s="635"/>
      <c r="V35" s="635"/>
      <c r="W35" s="635"/>
      <c r="X35" s="635"/>
      <c r="Y35" s="635"/>
      <c r="Z35" s="636"/>
    </row>
    <row r="36" spans="1:27" s="566" customFormat="1" hidden="1">
      <c r="A36" s="588" t="s">
        <v>268</v>
      </c>
      <c r="B36" s="589"/>
      <c r="C36" s="589"/>
      <c r="D36" s="589"/>
      <c r="E36" s="589"/>
      <c r="F36" s="589"/>
      <c r="G36" s="589"/>
      <c r="H36" s="589"/>
      <c r="I36" s="589"/>
      <c r="J36" s="589"/>
      <c r="K36" s="589"/>
      <c r="L36" s="590"/>
      <c r="M36" s="590">
        <f>SUM(M35:M35)</f>
        <v>0</v>
      </c>
      <c r="N36" s="590">
        <f>SUM(N35:N35)</f>
        <v>0</v>
      </c>
      <c r="O36" s="590">
        <f>SUM(O35:O35)</f>
        <v>0</v>
      </c>
      <c r="P36" s="590">
        <f>SUM(P35:P35)</f>
        <v>0</v>
      </c>
      <c r="Q36" s="590">
        <f>SUM(Q35:Q35)</f>
        <v>0</v>
      </c>
      <c r="R36" s="590">
        <f>SUM(R35:R35)</f>
        <v>0</v>
      </c>
      <c r="S36" s="590">
        <f>SUM(S35:S35)</f>
        <v>0</v>
      </c>
      <c r="T36" s="590">
        <f>SUM(T35:T35)</f>
        <v>0</v>
      </c>
      <c r="U36" s="590">
        <f>SUM(U35:U35)</f>
        <v>0</v>
      </c>
      <c r="V36" s="590">
        <f>SUM(V35:V35)</f>
        <v>0</v>
      </c>
      <c r="W36" s="590">
        <f>SUM(W35:W35)</f>
        <v>0</v>
      </c>
      <c r="X36" s="591"/>
      <c r="Y36" s="591"/>
      <c r="Z36" s="592"/>
    </row>
    <row r="37" spans="1:27" s="566" customFormat="1">
      <c r="A37" s="588" t="s">
        <v>275</v>
      </c>
      <c r="B37" s="589"/>
      <c r="C37" s="589"/>
      <c r="D37" s="589"/>
      <c r="E37" s="589"/>
      <c r="F37" s="589"/>
      <c r="G37" s="589"/>
      <c r="H37" s="589"/>
      <c r="I37" s="589"/>
      <c r="J37" s="589"/>
      <c r="K37" s="589"/>
      <c r="L37" s="590"/>
      <c r="M37" s="590">
        <f>SUMIF($Z$35:$Z$35,"industrie",M35:M35)</f>
        <v>0</v>
      </c>
      <c r="N37" s="590">
        <f>SUMIF($Z$35:$Z$35,"industrie",N35:N35)</f>
        <v>0</v>
      </c>
      <c r="O37" s="590">
        <f>SUMIF($Z$35:$Z$35,"industrie",O35:O35)</f>
        <v>0</v>
      </c>
      <c r="P37" s="590">
        <f>SUMIF($Z$35:$Z$35,"industrie",P35:P35)</f>
        <v>0</v>
      </c>
      <c r="Q37" s="590">
        <f>SUMIF($Z$35:$Z$35,"industrie",Q35:Q35)</f>
        <v>0</v>
      </c>
      <c r="R37" s="590">
        <f>SUMIF($Z$35:$Z$35,"industrie",R35:R35)</f>
        <v>0</v>
      </c>
      <c r="S37" s="590">
        <f>SUMIF($Z$35:$Z$35,"industrie",S35:S35)</f>
        <v>0</v>
      </c>
      <c r="T37" s="590">
        <f>SUMIF($Z$35:$Z$35,"industrie",T35:T35)</f>
        <v>0</v>
      </c>
      <c r="U37" s="590">
        <f>SUMIF($Z$35:$Z$35,"industrie",U35:U35)</f>
        <v>0</v>
      </c>
      <c r="V37" s="590">
        <f>SUMIF($Z$35:$Z$35,"industrie",V35:V35)</f>
        <v>0</v>
      </c>
      <c r="W37" s="590">
        <f>SUMIF($Z$35:$Z$35,"industrie",W35:W35)</f>
        <v>0</v>
      </c>
      <c r="X37" s="591"/>
      <c r="Y37" s="591"/>
      <c r="Z37" s="592"/>
    </row>
    <row r="38" spans="1:27" s="566" customFormat="1">
      <c r="A38" s="588" t="s">
        <v>276</v>
      </c>
      <c r="B38" s="589"/>
      <c r="C38" s="589"/>
      <c r="D38" s="589"/>
      <c r="E38" s="589"/>
      <c r="F38" s="589"/>
      <c r="G38" s="589"/>
      <c r="H38" s="589"/>
      <c r="I38" s="589"/>
      <c r="J38" s="589"/>
      <c r="K38" s="589"/>
      <c r="L38" s="590"/>
      <c r="M38" s="590">
        <f>SUMIF($Z$35:$Z$36,"tertiair",M35:M36)</f>
        <v>0</v>
      </c>
      <c r="N38" s="590">
        <f>SUMIF($Z$35:$Z$36,"tertiair",N35:N36)</f>
        <v>0</v>
      </c>
      <c r="O38" s="590">
        <f>SUMIF($Z$35:$Z$36,"tertiair",O35:O36)</f>
        <v>0</v>
      </c>
      <c r="P38" s="590">
        <f>SUMIF($Z$35:$Z$36,"tertiair",P35:P36)</f>
        <v>0</v>
      </c>
      <c r="Q38" s="590">
        <f>SUMIF($Z$35:$Z$36,"tertiair",Q35:Q36)</f>
        <v>0</v>
      </c>
      <c r="R38" s="590">
        <f>SUMIF($Z$35:$Z$36,"tertiair",R35:R36)</f>
        <v>0</v>
      </c>
      <c r="S38" s="590">
        <f>SUMIF($Z$35:$Z$36,"tertiair",S35:S36)</f>
        <v>0</v>
      </c>
      <c r="T38" s="590">
        <f>SUMIF($Z$35:$Z$36,"tertiair",T35:T36)</f>
        <v>0</v>
      </c>
      <c r="U38" s="590">
        <f>SUMIF($Z$35:$Z$36,"tertiair",U35:U36)</f>
        <v>0</v>
      </c>
      <c r="V38" s="590">
        <f>SUMIF($Z$35:$Z$36,"tertiair",V35:V36)</f>
        <v>0</v>
      </c>
      <c r="W38" s="590">
        <f>SUMIF($Z$35:$Z$36,"tertiair",W35:W36)</f>
        <v>0</v>
      </c>
      <c r="X38" s="591"/>
      <c r="Y38" s="591"/>
      <c r="Z38" s="592"/>
    </row>
    <row r="39" spans="1:27" s="566" customFormat="1" ht="15.75" thickBot="1">
      <c r="A39" s="593" t="s">
        <v>277</v>
      </c>
      <c r="B39" s="594"/>
      <c r="C39" s="594"/>
      <c r="D39" s="594"/>
      <c r="E39" s="594"/>
      <c r="F39" s="594"/>
      <c r="G39" s="594"/>
      <c r="H39" s="594"/>
      <c r="I39" s="594"/>
      <c r="J39" s="594"/>
      <c r="K39" s="594"/>
      <c r="L39" s="595"/>
      <c r="M39" s="595">
        <f>SUMIF($Z$35:$Z$37,"landbouw",M35:M37)</f>
        <v>0</v>
      </c>
      <c r="N39" s="595">
        <f>SUMIF($Z$35:$Z$37,"landbouw",N35:N37)</f>
        <v>0</v>
      </c>
      <c r="O39" s="595">
        <f>SUMIF($Z$35:$Z$37,"landbouw",O35:O37)</f>
        <v>0</v>
      </c>
      <c r="P39" s="595">
        <f>SUMIF($Z$35:$Z$37,"landbouw",P35:P37)</f>
        <v>0</v>
      </c>
      <c r="Q39" s="595">
        <f>SUMIF($Z$35:$Z$37,"landbouw",Q35:Q37)</f>
        <v>0</v>
      </c>
      <c r="R39" s="595">
        <f>SUMIF($Z$35:$Z$37,"landbouw",R35:R37)</f>
        <v>0</v>
      </c>
      <c r="S39" s="595">
        <f>SUMIF($Z$35:$Z$37,"landbouw",S35:S37)</f>
        <v>0</v>
      </c>
      <c r="T39" s="595">
        <f>SUMIF($Z$35:$Z$37,"landbouw",T35:T37)</f>
        <v>0</v>
      </c>
      <c r="U39" s="595">
        <f>SUMIF($Z$35:$Z$37,"landbouw",U35:U37)</f>
        <v>0</v>
      </c>
      <c r="V39" s="595">
        <f>SUMIF($Z$35:$Z$37,"landbouw",V35:V37)</f>
        <v>0</v>
      </c>
      <c r="W39" s="595">
        <f>SUMIF($Z$35:$Z$37,"landbouw",W35:W37)</f>
        <v>0</v>
      </c>
      <c r="X39" s="596"/>
      <c r="Y39" s="596"/>
      <c r="Z39" s="597"/>
    </row>
    <row r="40" spans="1:27" s="602" customFormat="1">
      <c r="A40" s="598"/>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row>
    <row r="41" spans="1:27" s="602" customFormat="1" ht="15.75" thickBo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row>
    <row r="42" spans="1:27">
      <c r="A42" s="603" t="s">
        <v>270</v>
      </c>
      <c r="B42" s="604"/>
      <c r="C42" s="604"/>
      <c r="D42" s="604"/>
      <c r="E42" s="604"/>
      <c r="F42" s="604"/>
      <c r="G42" s="604"/>
      <c r="H42" s="604"/>
      <c r="I42" s="605"/>
      <c r="J42" s="606"/>
      <c r="K42" s="606"/>
      <c r="L42" s="607"/>
      <c r="M42" s="607"/>
      <c r="N42" s="607"/>
      <c r="O42" s="607"/>
      <c r="P42" s="607"/>
    </row>
    <row r="43" spans="1:27">
      <c r="A43" s="609"/>
      <c r="B43" s="599"/>
      <c r="C43" s="599"/>
      <c r="D43" s="599"/>
      <c r="E43" s="599"/>
      <c r="F43" s="599"/>
      <c r="G43" s="599"/>
      <c r="H43" s="599"/>
      <c r="I43" s="610"/>
      <c r="J43" s="599"/>
      <c r="K43" s="599"/>
      <c r="L43" s="607"/>
      <c r="M43" s="607"/>
      <c r="N43" s="607"/>
      <c r="O43" s="607"/>
      <c r="P43" s="607"/>
    </row>
    <row r="44" spans="1:27">
      <c r="A44" s="611"/>
      <c r="B44" s="612" t="s">
        <v>271</v>
      </c>
      <c r="C44" s="612" t="s">
        <v>272</v>
      </c>
      <c r="D44" s="612"/>
      <c r="E44" s="612"/>
      <c r="F44" s="612"/>
      <c r="G44" s="612"/>
      <c r="H44" s="612"/>
      <c r="I44" s="613"/>
      <c r="J44" s="612"/>
      <c r="K44" s="612"/>
      <c r="L44" s="612"/>
      <c r="M44" s="612"/>
      <c r="N44" s="612"/>
      <c r="O44" s="612"/>
      <c r="P44" s="607"/>
    </row>
    <row r="45" spans="1:27">
      <c r="A45" s="609" t="s">
        <v>268</v>
      </c>
      <c r="B45" s="614">
        <f>IF(ISERROR(O29/(O29+N29)),0,O29/(O29+N29))</f>
        <v>0.58823529411764708</v>
      </c>
      <c r="C45" s="615">
        <f>IF(ISERROR(N29/(O29+N29)),0,N29/(N29+O29))</f>
        <v>0.41176470588235292</v>
      </c>
      <c r="D45" s="582"/>
      <c r="E45" s="582"/>
      <c r="F45" s="582"/>
      <c r="G45" s="582"/>
      <c r="H45" s="582"/>
      <c r="I45" s="616"/>
      <c r="J45" s="582"/>
      <c r="K45" s="582"/>
      <c r="L45" s="617"/>
      <c r="M45" s="617"/>
      <c r="N45" s="617"/>
      <c r="O45" s="617"/>
      <c r="P45" s="607"/>
    </row>
    <row r="46" spans="1:27">
      <c r="A46" s="609"/>
      <c r="B46" s="618"/>
      <c r="C46" s="618"/>
      <c r="D46" s="618"/>
      <c r="E46" s="618"/>
      <c r="F46" s="618"/>
      <c r="G46" s="618"/>
      <c r="H46" s="618"/>
      <c r="I46" s="619"/>
      <c r="J46" s="618"/>
      <c r="K46" s="618"/>
      <c r="L46" s="620"/>
      <c r="M46" s="620"/>
      <c r="N46" s="620"/>
      <c r="O46" s="620"/>
      <c r="P46" s="607"/>
    </row>
    <row r="47" spans="1:27" ht="30">
      <c r="A47" s="621"/>
      <c r="B47" s="622" t="s">
        <v>511</v>
      </c>
      <c r="C47" s="622" t="s">
        <v>96</v>
      </c>
      <c r="D47" s="622" t="s">
        <v>97</v>
      </c>
      <c r="E47" s="622" t="s">
        <v>98</v>
      </c>
      <c r="F47" s="622" t="s">
        <v>99</v>
      </c>
      <c r="G47" s="622" t="s">
        <v>100</v>
      </c>
      <c r="H47" s="622" t="s">
        <v>101</v>
      </c>
      <c r="I47" s="623" t="s">
        <v>102</v>
      </c>
      <c r="J47" s="612"/>
      <c r="K47" s="612"/>
      <c r="L47" s="620"/>
      <c r="M47" s="620"/>
      <c r="N47" s="620"/>
      <c r="O47" s="607"/>
      <c r="P47" s="607"/>
    </row>
    <row r="48" spans="1:27">
      <c r="A48" s="611" t="s">
        <v>273</v>
      </c>
      <c r="B48" s="624">
        <f t="shared" ref="B48:I48" si="2">$C$45*P29</f>
        <v>0</v>
      </c>
      <c r="C48" s="624">
        <f t="shared" si="2"/>
        <v>51.35294117647058</v>
      </c>
      <c r="D48" s="624">
        <f t="shared" si="2"/>
        <v>0</v>
      </c>
      <c r="E48" s="624">
        <f t="shared" si="2"/>
        <v>0</v>
      </c>
      <c r="F48" s="624">
        <f t="shared" si="2"/>
        <v>0</v>
      </c>
      <c r="G48" s="624">
        <f t="shared" si="2"/>
        <v>0</v>
      </c>
      <c r="H48" s="624">
        <f t="shared" si="2"/>
        <v>0</v>
      </c>
      <c r="I48" s="625">
        <f t="shared" si="2"/>
        <v>0</v>
      </c>
      <c r="J48" s="582"/>
      <c r="K48" s="582"/>
      <c r="L48" s="620"/>
      <c r="M48" s="620"/>
      <c r="N48" s="620"/>
      <c r="O48" s="607"/>
      <c r="P48" s="607"/>
    </row>
    <row r="49" spans="1:16" ht="15.75" thickBot="1">
      <c r="A49" s="626" t="s">
        <v>274</v>
      </c>
      <c r="B49" s="627">
        <f t="shared" ref="B49:I49" si="3">$B$45*P29</f>
        <v>0</v>
      </c>
      <c r="C49" s="627">
        <f t="shared" si="3"/>
        <v>73.361344537815114</v>
      </c>
      <c r="D49" s="627">
        <f t="shared" si="3"/>
        <v>0</v>
      </c>
      <c r="E49" s="627">
        <f t="shared" si="3"/>
        <v>0</v>
      </c>
      <c r="F49" s="627">
        <f t="shared" si="3"/>
        <v>0</v>
      </c>
      <c r="G49" s="627">
        <f t="shared" si="3"/>
        <v>0</v>
      </c>
      <c r="H49" s="627">
        <f t="shared" si="3"/>
        <v>0</v>
      </c>
      <c r="I49" s="628">
        <f t="shared" si="3"/>
        <v>0</v>
      </c>
      <c r="J49" s="582"/>
      <c r="K49" s="582"/>
      <c r="L49" s="620"/>
      <c r="M49" s="620"/>
      <c r="N49" s="620"/>
      <c r="O49" s="607"/>
      <c r="P49" s="607"/>
    </row>
    <row r="50" spans="1:16">
      <c r="J50" s="562"/>
      <c r="K50" s="562"/>
      <c r="L50" s="562"/>
      <c r="M50" s="562"/>
      <c r="N50" s="562"/>
    </row>
    <row r="51" spans="1:16">
      <c r="J51" s="562"/>
      <c r="K51" s="562"/>
      <c r="L51" s="562"/>
      <c r="M51" s="562"/>
      <c r="N51"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2021-11-11T12:36:51Z</dcterms:modified>
</cp:coreProperties>
</file>