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EC97827-CF11-4535-85C1-DF4BF18521E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<sst xmlns="http://schemas.openxmlformats.org/spreadsheetml/2006/main" count="2472" uniqueCount="900">
  <si>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</si>
  <si>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</si>
  <si>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</si>
  <si>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</si>
  <si>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</si>
  <si>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</si>
  <si>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</si>
  <si>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</si>
  <si>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</si>
  <si>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</si>
  <si>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</si>
  <si>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</si>
  <si>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</si>
  <si>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</si>
  <si>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</si>
  <si>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</si>
  <si>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</si>
  <si>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</si>
  <si>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</si>
  <si>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</si>
  <si>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</si>
  <si>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</si>
  <si>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</si>
  <si>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</si>
  <si>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</si>
  <si>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</si>
  <si>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</si>
  <si>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</si>
  <si>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</si>
  <si>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</si>
  <si>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</si>
  <si>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</si>
  <si>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</si>
  <si>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</si>
  <si>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</si>
  <si>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</si>
  <si>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</si>
  <si>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</si>
  <si>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</si>
  <si>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</si>
  <si>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</si>
  <si>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</si>
  <si>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</si>
  <si>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</si>
  <si>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</si>
  <si>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</si>
  <si>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</si>
  <si>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</si>
  <si>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</si>
  <si>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</si>
  <si>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</si>
  <si>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</si>
  <si>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</si>
  <si>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</si>
  <si>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</si>
  <si>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</si>
  <si>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</si>
  <si>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</si>
  <si>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</si>
  <si>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</si>
  <si>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</si>
  <si>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</si>
  <si>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</si>
  <si>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</si>
  <si>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</si>
  <si>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</si>
  <si>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</si>
  <si>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</si>
  <si>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</si>
  <si>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</si>
  <si>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</si>
  <si>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</si>
  <si>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</si>
  <si>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</si>
  <si>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</si>
  <si>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</si>
  <si>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</si>
  <si>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</si>
  <si>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</si>
  <si>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</si>
  <si>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</si>
  <si>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</si>
  <si>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</si>
  <si>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</si>
  <si>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</si>
  <si>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</si>
  <si>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</si>
  <si>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</si>
  <si>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</si>
  <si>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</si>
  <si>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</si>
  <si>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</si>
  <si>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</si>
  <si>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</si>
  <si>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</si>
  <si>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</si>
  <si>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</si>
  <si>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</si>
  <si>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</si>
  <si>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</si>
  <si>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</si>
  <si>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</si>
  <si>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</si>
  <si>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</si>
  <si>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</si>
  <si>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</si>
  <si>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</si>
  <si>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</si>
  <si>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</si>
  <si>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</si>
  <si>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</si>
  <si>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</si>
  <si>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</si>
  <si>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</si>
  <si>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</si>
  <si>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</si>
  <si>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</si>
  <si>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</si>
  <si>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</si>
  <si>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</si>
  <si>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</si>
  <si>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</si>
  <si>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</si>
  <si>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</si>
  <si>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</si>
  <si>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</si>
  <si>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</si>
  <si>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</si>
  <si>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</si>
  <si>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</si>
  <si>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</si>
  <si>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</si>
  <si>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</si>
  <si>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</si>
  <si>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</si>
  <si>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</si>
  <si>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</si>
  <si>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</si>
  <si>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</si>
  <si>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</si>
  <si>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</si>
  <si>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</si>
  <si>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</si>
  <si>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</si>
  <si>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</si>
  <si>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</si>
  <si>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</si>
  <si>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</si>
  <si>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</si>
  <si>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</si>
  <si>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</si>
  <si>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</si>
  <si>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</si>
  <si>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</si>
  <si>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</si>
  <si>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</si>
  <si>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</si>
  <si>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</si>
  <si>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</si>
  <si>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</si>
  <si>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</si>
  <si>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</si>
  <si>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</si>
  <si>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</si>
  <si>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</si>
  <si>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</si>
  <si>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</si>
  <si>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</si>
  <si>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</si>
  <si>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</si>
  <si>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</si>
  <si>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</si>
  <si>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</si>
  <si>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</si>
  <si>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</si>
  <si>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</si>
  <si>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</si>
  <si>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</si>
  <si>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</si>
  <si>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</si>
  <si>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</si>
  <si>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</si>
  <si>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</si>
  <si>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</si>
  <si>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</si>
  <si>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</si>
  <si>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</si>
  <si>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</si>
  <si>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</si>
  <si>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</si>
  <si>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</si>
  <si>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</si>
  <si>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</si>
  <si>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</si>
  <si>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</si>
  <si>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</si>
  <si>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</si>
  <si>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</si>
  <si>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</si>
  <si>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</si>
  <si>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</si>
  <si>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</si>
  <si>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</si>
  <si>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</si>
  <si>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</si>
  <si>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</si>
  <si>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</si>
  <si>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</si>
  <si>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</si>
  <si>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</si>
  <si>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</si>
  <si>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</si>
  <si>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</si>
  <si>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</si>
  <si>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</si>
  <si>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</si>
  <si>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</si>
  <si>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</si>
  <si>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</si>
  <si>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</si>
  <si>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</si>
  <si>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</si>
  <si>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</si>
  <si>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</si>
  <si>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</si>
  <si>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</si>
  <si>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</si>
  <si>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</si>
  <si>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</si>
  <si>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</si>
  <si>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</si>
  <si>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</si>
  <si>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</si>
  <si>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</si>
  <si>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</si>
  <si>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</si>
  <si>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</si>
  <si>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</si>
  <si>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</si>
  <si>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</si>
  <si>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</si>
  <si>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</si>
  <si>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</si>
  <si>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</si>
  <si>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</si>
  <si>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</si>
  <si>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</si>
  <si>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</si>
  <si>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</si>
  <si>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</si>
  <si>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</si>
  <si>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</si>
  <si>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</si>
  <si>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</si>
  <si>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</si>
  <si>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</si>
  <si>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</si>
  <si>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</si>
  <si>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</si>
  <si>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</si>
  <si>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</si>
  <si>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</si>
  <si>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</si>
  <si>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</si>
  <si>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</si>
  <si>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</si>
  <si>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</si>
  <si>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</si>
  <si>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</si>
  <si>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</si>
  <si>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</si>
  <si>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</si>
  <si>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</si>
  <si>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</si>
  <si>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</si>
  <si>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</si>
  <si>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</si>
  <si>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</si>
  <si>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</si>
  <si>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</si>
  <si>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</si>
  <si>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</si>
  <si>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</si>
  <si>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</si>
  <si>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</si>
  <si>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</si>
  <si>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</si>
  <si>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</si>
  <si>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</si>
  <si>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</si>
  <si>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</si>
  <si>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</si>
  <si>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</si>
  <si>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</si>
  <si>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</si>
  <si>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</si>
  <si>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</si>
  <si>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</si>
  <si>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</si>
  <si>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</si>
  <si>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</si>
  <si>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</si>
  <si>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</si>
  <si>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</si>
  <si>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</si>
  <si>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</si>
  <si>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</si>
  <si>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</si>
  <si>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</si>
  <si>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</si>
  <si>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</si>
  <si>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</si>
  <si>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</si>
  <si>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</si>
  <si>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</si>
  <si>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</si>
  <si>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</si>
  <si>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</si>
  <si>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</si>
  <si>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</si>
  <si>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</si>
  <si>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</si>
  <si>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</si>
  <si>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</si>
  <si>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</si>
  <si>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</si>
  <si>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</si>
  <si>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</si>
  <si>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</si>
  <si>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</si>
  <si>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</si>
  <si>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</si>
  <si>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</si>
  <si>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</si>
  <si>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</si>
  <si>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</si>
  <si>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</si>
  <si>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</si>
  <si>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</si>
  <si>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</si>
  <si>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</si>
  <si>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</si>
  <si>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</si>
  <si>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</si>
  <si>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</si>
  <si>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</si>
  <si>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</si>
  <si>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</si>
  <si>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</si>
  <si>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</si>
  <si>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</si>
  <si>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</si>
  <si>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</si>
  <si>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</si>
  <si>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</si>
  <si>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</si>
  <si>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</si>
  <si>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</si>
  <si>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</si>
  <si>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</si>
  <si>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</si>
  <si>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</si>
  <si>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</si>
  <si>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</si>
  <si>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</si>
  <si>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</si>
  <si>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</si>
  <si>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</si>
  <si>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</si>
  <si>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</si>
  <si>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</si>
  <si>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</si>
  <si>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</si>
  <si>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</si>
  <si>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</si>
  <si>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</si>
  <si>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</si>
  <si>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</si>
  <si>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</si>
  <si>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</si>
  <si>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</si>
  <si>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</si>
  <si>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</si>
  <si>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</si>
  <si>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</si>
  <si>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</si>
  <si>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</si>
  <si>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</si>
  <si>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</si>
  <si>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</si>
  <si>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</si>
  <si>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</si>
  <si>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</si>
  <si>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</si>
  <si>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</si>
  <si>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</si>
  <si>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</si>
  <si>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</si>
  <si>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</si>
  <si>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</si>
  <si>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</si>
  <si>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</si>
  <si>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</si>
  <si>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</si>
  <si>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</si>
  <si>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</si>
  <si>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</si>
  <si>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</si>
  <si>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</si>
  <si>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</si>
  <si>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</si>
  <si>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</si>
  <si>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</si>
  <si>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</si>
  <si>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</si>
  <si>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</si>
  <si>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</si>
  <si>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</si>
  <si>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</si>
  <si>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</si>
  <si>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</si>
  <si>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</si>
  <si>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</si>
  <si>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</si>
  <si>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</si>
  <si>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</si>
  <si>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</si>
  <si>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</si>
  <si>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</si>
  <si>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</si>
  <si>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</si>
  <si>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</si>
  <si>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</si>
  <si>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</si>
  <si>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</si>
  <si>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</si>
  <si>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</si>
  <si>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</si>
  <si>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</si>
  <si>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</si>
  <si>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</si>
  <si>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</si>
  <si>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</si>
  <si>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</si>
  <si>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</si>
  <si>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</si>
  <si>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</si>
  <si>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</si>
  <si>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</si>
  <si>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</si>
  <si>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</si>
  <si>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</si>
  <si>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</si>
  <si>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</si>
  <si>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</si>
  <si>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</si>
  <si>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</si>
  <si>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</si>
  <si>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</si>
  <si>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</si>
  <si>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</si>
  <si>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</si>
  <si>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</si>
  <si>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</si>
  <si>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</si>
  <si>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</si>
  <si>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</si>
  <si>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</si>
  <si>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</si>
  <si>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</si>
  <si>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</si>
  <si>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</si>
  <si>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</si>
  <si>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</si>
  <si>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</si>
  <si>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</si>
  <si>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</si>
  <si>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</si>
  <si>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</si>
  <si>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</si>
  <si>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</si>
  <si>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</si>
  <si>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</si>
  <si>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</si>
  <si>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</si>
  <si>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</si>
  <si>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</si>
  <si>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</si>
  <si>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</si>
  <si>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</si>
  <si>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</si>
  <si>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</si>
  <si>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</si>
  <si>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</si>
  <si>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</si>
  <si>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</si>
  <si>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</si>
  <si>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</si>
  <si>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</si>
  <si>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</si>
  <si>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</si>
  <si>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</si>
  <si>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</si>
  <si>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</si>
  <si>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</si>
  <si>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</si>
  <si>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</si>
  <si>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</si>
  <si>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</si>
  <si>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</si>
  <si>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</si>
  <si>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</si>
  <si>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</si>
  <si>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</si>
  <si>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</si>
  <si>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</si>
  <si>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</si>
  <si>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</si>
  <si>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</si>
  <si>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</si>
  <si>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</si>
  <si>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</si>
  <si>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</si>
  <si>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</si>
  <si>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</si>
  <si>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</si>
  <si>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</si>
  <si>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</si>
  <si>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</si>
  <si>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</si>
  <si>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</si>
  <si>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</si>
  <si>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</si>
  <si>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</si>
  <si>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</si>
  <si>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</si>
  <si>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</si>
  <si>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</si>
  <si>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</si>
  <si>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</si>
  <si>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</si>
  <si>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</si>
  <si>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</si>
  <si>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</si>
  <si>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</si>
  <si>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</si>
  <si>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</si>
  <si>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</si>
  <si>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</si>
  <si>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</si>
  <si>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</si>
  <si>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</si>
  <si>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</si>
  <si>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</si>
  <si>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</si>
  <si>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</si>
  <si>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</si>
  <si>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</si>
  <si>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</si>
  <si>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</si>
  <si>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</si>
  <si>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</si>
  <si>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</si>
  <si>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</si>
  <si>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</si>
  <si>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</si>
  <si>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</si>
  <si>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</si>
  <si>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</si>
  <si>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</si>
  <si>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</si>
  <si>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</si>
  <si>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</si>
  <si>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</si>
  <si>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</si>
  <si>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</si>
  <si>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</si>
  <si>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</si>
  <si>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</si>
  <si>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</si>
  <si>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</si>
  <si>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</si>
  <si>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</si>
  <si>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</si>
  <si>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</si>
  <si>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</si>
  <si>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</si>
  <si>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</si>
  <si>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</si>
  <si>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</si>
  <si>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</si>
  <si>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</si>
  <si>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</si>
  <si>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</si>
  <si>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</si>
  <si>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</si>
  <si>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</si>
  <si>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</si>
  <si>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</si>
  <si>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</si>
  <si>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</si>
  <si>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</si>
  <si>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</si>
  <si>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</si>
  <si>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</si>
  <si>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</si>
  <si>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</si>
  <si>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</si>
  <si>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</si>
  <si>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</si>
  <si>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</si>
  <si>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</si>
  <si>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</si>
  <si>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</si>
  <si>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</si>
  <si>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</si>
  <si>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</si>
  <si>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</si>
  <si>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</si>
  <si>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</si>
  <si>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</si>
  <si>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</si>
  <si>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</si>
  <si>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</si>
  <si>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</si>
  <si>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</si>
  <si>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</si>
  <si>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</si>
  <si>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</si>
  <si>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</si>
  <si>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</si>
  <si>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</si>
  <si>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</si>
  <si>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</si>
  <si>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</si>
  <si>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</si>
  <si>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</si>
  <si>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</si>
  <si>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</si>
  <si>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</si>
  <si>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</si>
  <si>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</si>
  <si>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</si>
  <si>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</si>
  <si>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</si>
  <si>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</si>
  <si>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</si>
  <si>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</si>
  <si>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</si>
  <si>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</si>
  <si>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</si>
  <si>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</si>
  <si>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</si>
  <si>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</si>
  <si>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</si>
  <si>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</si>
  <si>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</si>
  <si>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</si>
  <si>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</si>
  <si>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</si>
  <si>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</si>
  <si>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</si>
  <si>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</si>
  <si>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</si>
  <si>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</si>
  <si>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</si>
  <si>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</si>
  <si>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</si>
  <si>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</si>
  <si>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</si>
  <si>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</si>
  <si>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</si>
  <si>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</si>
  <si>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</si>
  <si>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</si>
  <si>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</si>
  <si>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</si>
  <si>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</si>
  <si>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</si>
  <si>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</si>
  <si>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</si>
  <si>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</si>
  <si>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</si>
  <si>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</si>
  <si>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</si>
  <si>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</si>
  <si>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</si>
  <si>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</si>
  <si>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</si>
  <si>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</si>
  <si>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</si>
  <si>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</si>
  <si>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</si>
  <si>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</si>
  <si>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</si>
  <si>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</si>
  <si>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</si>
  <si>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</si>
  <si>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</si>
  <si>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</si>
  <si>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</si>
  <si>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</si>
  <si>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</si>
  <si>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</si>
  <si>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</si>
  <si>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</si>
  <si>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</si>
  <si>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</si>
  <si>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</si>
  <si>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</si>
  <si>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</si>
  <si>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</si>
  <si>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</si>
  <si>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</si>
  <si>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</si>
  <si>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</si>
  <si>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</si>
  <si>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</si>
  <si>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</si>
  <si>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</si>
  <si>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</si>
  <si>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</si>
  <si>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</si>
  <si>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</si>
  <si>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</si>
  <si>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</si>
  <si>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</si>
  <si>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</si>
  <si>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</si>
  <si>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</si>
  <si>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</si>
  <si>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</si>
  <si>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</si>
  <si>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</si>
  <si>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</si>
  <si>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</si>
  <si>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</si>
  <si>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</si>
  <si>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</si>
  <si>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</si>
  <si>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</si>
  <si>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</si>
  <si>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</si>
  <si>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</si>
  <si>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</si>
  <si>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</si>
  <si>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</si>
  <si>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</si>
  <si>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</si>
  <si>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</si>
  <si>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</si>
  <si>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</si>
  <si>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</si>
  <si>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</si>
  <si>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</si>
  <si>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</si>
  <si>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</si>
  <si>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</si>
  <si>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</si>
  <si>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</si>
  <si>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</si>
  <si>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</si>
  <si>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</si>
  <si>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</si>
  <si>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</si>
  <si>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</si>
  <si>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</si>
  <si>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</si>
  <si>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</si>
  <si>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</si>
  <si>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</si>
  <si>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</si>
  <si>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</si>
  <si>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</si>
  <si>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</si>
  <si>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</si>
  <si>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</si>
  <si>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</si>
  <si>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</si>
  <si>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</si>
  <si>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</si>
  <si>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</si>
  <si>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</si>
  <si>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</si>
  <si>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</si>
  <si>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</si>
  <si>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</si>
  <si>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</si>
  <si>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</si>
  <si>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</si>
  <si>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</si>
  <si>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</si>
  <si>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</si>
  <si>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</si>
  <si>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</si>
  <si>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</si>
  <si>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</si>
  <si>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</si>
  <si>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</si>
  <si>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</si>
  <si>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</si>
  <si>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</si>
  <si>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</si>
  <si>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</si>
  <si>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</si>
  <si>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</si>
  <si>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</si>
  <si>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</si>
  <si>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</si>
  <si>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</si>
  <si>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</si>
  <si>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</si>
  <si>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</si>
  <si>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</si>
  <si>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</si>
  <si>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</si>
  <si>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</si>
  <si>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</si>
  <si>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</si>
  <si>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</si>
  <si>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</si>
  <si>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</si>
  <si>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</si>
  <si>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</si>
  <si>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</si>
  <si>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</si>
  <si>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</si>
  <si>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</si>
  <si>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</si>
  <si>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</si>
  <si>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</si>
  <si>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</si>
  <si>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</si>
  <si>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</si>
  <si>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</si>
  <si>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</si>
  <si>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</si>
  <si>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</si>
  <si>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</si>
  <si>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</si>
  <si>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</si>
  <si>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</si>
  <si>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</si>
  <si>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</si>
  <si>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</si>
  <si>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</si>
  <si>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</si>
  <si>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</si>
  <si>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</si>
  <si>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</si>
  <si>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</si>
  <si>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</si>
  <si>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</si>
  <si>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</si>
  <si>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</si>
  <si>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</si>
  <si>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</si>
  <si>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</si>
  <si>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</si>
  <si>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</si>
  <si>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</si>
  <si>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</si>
  <si>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</si>
  <si>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</si>
  <si>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</si>
  <si>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</si>
  <si>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</si>
  <si>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</si>
  <si>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</si>
  <si>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</si>
  <si>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</si>
  <si>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</si>
  <si>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</si>
  <si>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</si>
  <si>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</si>
  <si>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</si>
  <si>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</si>
  <si>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</si>
  <si>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</si>
  <si>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</si>
  <si>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</si>
  <si>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</si>
  <si>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</si>
  <si>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</si>
  <si>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</si>
  <si>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</si>
  <si>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</si>
  <si>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</si>
  <si>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</si>
  <si>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</si>
  <si>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</si>
  <si>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</si>
  <si>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</si>
  <si>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</si>
  <si>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</si>
  <si>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</si>
  <si>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</si>
  <si>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13046</t>
  </si>
  <si>
    <t>VOSSELAAR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</si>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</sst>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0E72E34-80FE-4986-AD43-6103FAC2F52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94296.138508557735</c:v>
                </c:pt>
                <c:pt idx="1">
                  <c:v>16710.07877909785</c:v>
                </c:pt>
                <c:pt idx="2">
                  <c:v>605.40899999999999</c:v>
                </c:pt>
                <c:pt idx="3">
                  <c:v>1446.2684267954808</c:v>
                </c:pt>
                <c:pt idx="4">
                  <c:v>3187.9702149072664</c:v>
                </c:pt>
                <c:pt idx="5">
                  <c:v>83186.106942190207</c:v>
                </c:pt>
                <c:pt idx="6">
                  <c:v>1239.0504737071196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94296.138508557735</c:v>
                </c:pt>
                <c:pt idx="1">
                  <c:v>16710.07877909785</c:v>
                </c:pt>
                <c:pt idx="2">
                  <c:v>605.40899999999999</c:v>
                </c:pt>
                <c:pt idx="3">
                  <c:v>1446.2684267954808</c:v>
                </c:pt>
                <c:pt idx="4">
                  <c:v>3187.9702149072664</c:v>
                </c:pt>
                <c:pt idx="5">
                  <c:v>83186.106942190207</c:v>
                </c:pt>
                <c:pt idx="6">
                  <c:v>1239.0504737071196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18390.619348735534</c:v>
                </c:pt>
                <c:pt idx="1">
                  <c:v>3237.9364120046139</c:v>
                </c:pt>
                <c:pt idx="2">
                  <c:v>117.73471264805406</c:v>
                </c:pt>
                <c:pt idx="3">
                  <c:v>368.01873395702688</c:v>
                </c:pt>
                <c:pt idx="4">
                  <c:v>657.95338165291184</c:v>
                </c:pt>
                <c:pt idx="5">
                  <c:v>20755.447699934764</c:v>
                </c:pt>
                <c:pt idx="6">
                  <c:v>312.18527050144945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18390.619348735534</c:v>
                </c:pt>
                <c:pt idx="1">
                  <c:v>3237.9364120046139</c:v>
                </c:pt>
                <c:pt idx="2">
                  <c:v>117.73471264805406</c:v>
                </c:pt>
                <c:pt idx="3">
                  <c:v>368.01873395702688</c:v>
                </c:pt>
                <c:pt idx="4">
                  <c:v>657.95338165291184</c:v>
                </c:pt>
                <c:pt idx="5">
                  <c:v>20755.447699934764</c:v>
                </c:pt>
                <c:pt idx="6">
                  <c:v>312.18527050144945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13046</v>
      </c>
      <c r="B6" s="384"/>
      <c r="C6" s="385"/>
    </row>
    <row r="7" spans="1:7" s="382" customFormat="1" ht="15.75" customHeight="1">
      <c r="A7" s="386" t="str">
        <f>txtMunicipality</f>
        <v>VOSSELAAR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6876.8905589999986</v>
      </c>
      <c r="D10" s="679">
        <f ca="1">tertiair!C16</f>
        <v>0</v>
      </c>
      <c r="E10" s="679">
        <f ca="1">tertiair!D16</f>
        <v>8951.0476473000017</v>
      </c>
      <c r="F10" s="679">
        <f>tertiair!E16</f>
        <v>82.840076584598023</v>
      </c>
      <c r="G10" s="679">
        <f ca="1">tertiair!F16</f>
        <v>716.81793200012862</v>
      </c>
      <c r="H10" s="679">
        <f>tertiair!G16</f>
        <v>0</v>
      </c>
      <c r="I10" s="679">
        <f>tertiair!H16</f>
        <v>0</v>
      </c>
      <c r="J10" s="679">
        <f>tertiair!I16</f>
        <v>0</v>
      </c>
      <c r="K10" s="679">
        <f>tertiair!J16</f>
        <v>1.7353187024742138E-2</v>
      </c>
      <c r="L10" s="679">
        <f>tertiair!K16</f>
        <v>0</v>
      </c>
      <c r="M10" s="679">
        <f ca="1">tertiair!L16</f>
        <v>0</v>
      </c>
      <c r="N10" s="679">
        <f>tertiair!M16</f>
        <v>0</v>
      </c>
      <c r="O10" s="679">
        <f ca="1">tertiair!N16</f>
        <v>682.97695026025644</v>
      </c>
      <c r="P10" s="679">
        <f>tertiair!O16</f>
        <v>4.8972607658411542</v>
      </c>
      <c r="Q10" s="680">
        <f>tertiair!P16</f>
        <v>0</v>
      </c>
      <c r="R10" s="682">
        <f ca="1">SUM(C10:Q10)</f>
        <v>17315.48777909785</v>
      </c>
      <c r="S10" s="67"/>
    </row>
    <row r="11" spans="1:19" s="442" customFormat="1">
      <c r="A11" s="800" t="s">
        <v>213</v>
      </c>
      <c r="B11" s="805"/>
      <c r="C11" s="679">
        <f>huishoudens!B8</f>
        <v>18077.631787366343</v>
      </c>
      <c r="D11" s="679">
        <f>huishoudens!C8</f>
        <v>0</v>
      </c>
      <c r="E11" s="679">
        <f>huishoudens!D8</f>
        <v>57274.340936471999</v>
      </c>
      <c r="F11" s="679">
        <f>huishoudens!E8</f>
        <v>725.84087760103</v>
      </c>
      <c r="G11" s="679">
        <f>huishoudens!F8</f>
        <v>11701.522352248256</v>
      </c>
      <c r="H11" s="679">
        <f>huishoudens!G8</f>
        <v>0</v>
      </c>
      <c r="I11" s="679">
        <f>huishoudens!H8</f>
        <v>0</v>
      </c>
      <c r="J11" s="679">
        <f>huishoudens!I8</f>
        <v>0</v>
      </c>
      <c r="K11" s="679">
        <f>huishoudens!J8</f>
        <v>46.747065898676269</v>
      </c>
      <c r="L11" s="679">
        <f>huishoudens!K8</f>
        <v>0</v>
      </c>
      <c r="M11" s="679">
        <f>huishoudens!L8</f>
        <v>0</v>
      </c>
      <c r="N11" s="679">
        <f>huishoudens!M8</f>
        <v>0</v>
      </c>
      <c r="O11" s="679">
        <f>huishoudens!N8</f>
        <v>5621.0108627992513</v>
      </c>
      <c r="P11" s="679">
        <f>huishoudens!O8</f>
        <v>238.07498632644379</v>
      </c>
      <c r="Q11" s="680">
        <f>huishoudens!P8</f>
        <v>610.96963984573142</v>
      </c>
      <c r="R11" s="682">
        <f>SUM(C11:Q11)</f>
        <v>94296.138508557735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898.07698200000004</v>
      </c>
      <c r="D13" s="679">
        <f>industrie!C18</f>
        <v>0</v>
      </c>
      <c r="E13" s="679">
        <f>industrie!D18</f>
        <v>1693.6294760000001</v>
      </c>
      <c r="F13" s="679">
        <f>industrie!E18</f>
        <v>134.02868779036743</v>
      </c>
      <c r="G13" s="679">
        <f>industrie!F18</f>
        <v>414.78692648009962</v>
      </c>
      <c r="H13" s="679">
        <f>industrie!G18</f>
        <v>0</v>
      </c>
      <c r="I13" s="679">
        <f>industrie!H18</f>
        <v>0</v>
      </c>
      <c r="J13" s="679">
        <f>industrie!I18</f>
        <v>0</v>
      </c>
      <c r="K13" s="679">
        <f>industrie!J18</f>
        <v>4.9017946208740233E-2</v>
      </c>
      <c r="L13" s="679">
        <f>industrie!K18</f>
        <v>0</v>
      </c>
      <c r="M13" s="679">
        <f>industrie!L18</f>
        <v>0</v>
      </c>
      <c r="N13" s="679">
        <f>industrie!M18</f>
        <v>0</v>
      </c>
      <c r="O13" s="679">
        <f>industrie!N18</f>
        <v>47.399124690590625</v>
      </c>
      <c r="P13" s="679">
        <f>industrie!O18</f>
        <v>0</v>
      </c>
      <c r="Q13" s="680">
        <f>industrie!P18</f>
        <v>0</v>
      </c>
      <c r="R13" s="682">
        <f>SUM(C13:Q13)</f>
        <v>3187.9702149072664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25852.599328366341</v>
      </c>
      <c r="D16" s="715">
        <f t="shared" ref="D16:R16" ca="1" si="0">SUM(D9:D15)</f>
        <v>0</v>
      </c>
      <c r="E16" s="715">
        <f t="shared" ca="1" si="0"/>
        <v>67919.018059772003</v>
      </c>
      <c r="F16" s="715">
        <f t="shared" si="0"/>
        <v>942.70964197599551</v>
      </c>
      <c r="G16" s="715">
        <f t="shared" ca="1" si="0"/>
        <v>12833.127210728484</v>
      </c>
      <c r="H16" s="715">
        <f t="shared" si="0"/>
        <v>0</v>
      </c>
      <c r="I16" s="715">
        <f t="shared" si="0"/>
        <v>0</v>
      </c>
      <c r="J16" s="715">
        <f t="shared" si="0"/>
        <v>0</v>
      </c>
      <c r="K16" s="715">
        <f t="shared" si="0"/>
        <v>46.81343703190975</v>
      </c>
      <c r="L16" s="715">
        <f t="shared" si="0"/>
        <v>0</v>
      </c>
      <c r="M16" s="715">
        <f t="shared" ca="1" si="0"/>
        <v>0</v>
      </c>
      <c r="N16" s="715">
        <f t="shared" si="0"/>
        <v>0</v>
      </c>
      <c r="O16" s="715">
        <f t="shared" ca="1" si="0"/>
        <v>6351.3869377500987</v>
      </c>
      <c r="P16" s="715">
        <f t="shared" si="0"/>
        <v>242.97224709228496</v>
      </c>
      <c r="Q16" s="715">
        <f t="shared" si="0"/>
        <v>610.96963984573142</v>
      </c>
      <c r="R16" s="715">
        <f t="shared" ca="1" si="0"/>
        <v>114799.59650256285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15.977526744755622</v>
      </c>
      <c r="D19" s="679">
        <f>transport!C54</f>
        <v>0</v>
      </c>
      <c r="E19" s="679">
        <f>transport!D54</f>
        <v>0</v>
      </c>
      <c r="F19" s="679">
        <f>transport!E54</f>
        <v>0</v>
      </c>
      <c r="G19" s="679">
        <f>transport!F54</f>
        <v>0</v>
      </c>
      <c r="H19" s="679">
        <f>transport!G54</f>
        <v>1157.595876846209</v>
      </c>
      <c r="I19" s="679">
        <f>transport!H54</f>
        <v>0</v>
      </c>
      <c r="J19" s="679">
        <f>transport!I54</f>
        <v>0</v>
      </c>
      <c r="K19" s="679">
        <f>transport!J54</f>
        <v>0</v>
      </c>
      <c r="L19" s="679">
        <f>transport!K54</f>
        <v>0</v>
      </c>
      <c r="M19" s="679">
        <f>transport!L54</f>
        <v>0</v>
      </c>
      <c r="N19" s="679">
        <f>transport!M54</f>
        <v>65.477070116155176</v>
      </c>
      <c r="O19" s="679">
        <f>transport!N54</f>
        <v>0</v>
      </c>
      <c r="P19" s="679">
        <f>transport!O54</f>
        <v>0</v>
      </c>
      <c r="Q19" s="680">
        <f>transport!P54</f>
        <v>0</v>
      </c>
      <c r="R19" s="682">
        <f>SUM(C19:Q19)</f>
        <v>1239.0504737071196</v>
      </c>
      <c r="S19" s="67"/>
    </row>
    <row r="20" spans="1:19" s="442" customFormat="1">
      <c r="A20" s="800" t="s">
        <v>295</v>
      </c>
      <c r="B20" s="805"/>
      <c r="C20" s="679">
        <f>transport!B14</f>
        <v>79.593003667482137</v>
      </c>
      <c r="D20" s="679">
        <f>transport!C14</f>
        <v>0</v>
      </c>
      <c r="E20" s="679">
        <f>transport!D14</f>
        <v>125.92561244444573</v>
      </c>
      <c r="F20" s="679">
        <f>transport!E14</f>
        <v>121.01247955021893</v>
      </c>
      <c r="G20" s="679">
        <f>transport!F14</f>
        <v>0</v>
      </c>
      <c r="H20" s="679">
        <f>transport!G14</f>
        <v>66808.917964573484</v>
      </c>
      <c r="I20" s="679">
        <f>transport!H14</f>
        <v>11442.093321336017</v>
      </c>
      <c r="J20" s="679">
        <f>transport!I14</f>
        <v>0</v>
      </c>
      <c r="K20" s="679">
        <f>transport!J14</f>
        <v>0</v>
      </c>
      <c r="L20" s="679">
        <f>transport!K14</f>
        <v>0</v>
      </c>
      <c r="M20" s="679">
        <f>transport!L14</f>
        <v>0</v>
      </c>
      <c r="N20" s="679">
        <f>transport!M14</f>
        <v>4608.5645606185653</v>
      </c>
      <c r="O20" s="679">
        <f>transport!N14</f>
        <v>0</v>
      </c>
      <c r="P20" s="679">
        <f>transport!O14</f>
        <v>0</v>
      </c>
      <c r="Q20" s="680">
        <f>transport!P14</f>
        <v>0</v>
      </c>
      <c r="R20" s="682">
        <f>SUM(C20:Q20)</f>
        <v>83186.106942190207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95.570530412237758</v>
      </c>
      <c r="D22" s="803">
        <f t="shared" ref="D22:R22" si="1">SUM(D18:D21)</f>
        <v>0</v>
      </c>
      <c r="E22" s="803">
        <f t="shared" si="1"/>
        <v>125.92561244444573</v>
      </c>
      <c r="F22" s="803">
        <f t="shared" si="1"/>
        <v>121.01247955021893</v>
      </c>
      <c r="G22" s="803">
        <f t="shared" si="1"/>
        <v>0</v>
      </c>
      <c r="H22" s="803">
        <f t="shared" si="1"/>
        <v>67966.513841419699</v>
      </c>
      <c r="I22" s="803">
        <f t="shared" si="1"/>
        <v>11442.093321336017</v>
      </c>
      <c r="J22" s="803">
        <f t="shared" si="1"/>
        <v>0</v>
      </c>
      <c r="K22" s="803">
        <f t="shared" si="1"/>
        <v>0</v>
      </c>
      <c r="L22" s="803">
        <f t="shared" si="1"/>
        <v>0</v>
      </c>
      <c r="M22" s="803">
        <f t="shared" si="1"/>
        <v>0</v>
      </c>
      <c r="N22" s="803">
        <f t="shared" si="1"/>
        <v>4674.0416307347205</v>
      </c>
      <c r="O22" s="803">
        <f t="shared" si="1"/>
        <v>0</v>
      </c>
      <c r="P22" s="803">
        <f t="shared" si="1"/>
        <v>0</v>
      </c>
      <c r="Q22" s="803">
        <f t="shared" si="1"/>
        <v>0</v>
      </c>
      <c r="R22" s="803">
        <f t="shared" si="1"/>
        <v>84425.157415897324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286.47800000000001</v>
      </c>
      <c r="D24" s="679">
        <f>+landbouw!C8</f>
        <v>0</v>
      </c>
      <c r="E24" s="679">
        <f>+landbouw!D8</f>
        <v>59.477879999999999</v>
      </c>
      <c r="F24" s="679">
        <f>+landbouw!E8</f>
        <v>8.9408839112100154</v>
      </c>
      <c r="G24" s="679">
        <f>+landbouw!F8</f>
        <v>1012.4449871767522</v>
      </c>
      <c r="H24" s="679">
        <f>+landbouw!G8</f>
        <v>0</v>
      </c>
      <c r="I24" s="679">
        <f>+landbouw!H8</f>
        <v>0</v>
      </c>
      <c r="J24" s="679">
        <f>+landbouw!I8</f>
        <v>0</v>
      </c>
      <c r="K24" s="679">
        <f>+landbouw!J8</f>
        <v>78.92667570751864</v>
      </c>
      <c r="L24" s="679">
        <f>+landbouw!K8</f>
        <v>0</v>
      </c>
      <c r="M24" s="679">
        <f>+landbouw!L8</f>
        <v>0</v>
      </c>
      <c r="N24" s="679">
        <f>+landbouw!M8</f>
        <v>0</v>
      </c>
      <c r="O24" s="679">
        <f>+landbouw!N8</f>
        <v>0</v>
      </c>
      <c r="P24" s="679">
        <f>+landbouw!O8</f>
        <v>0</v>
      </c>
      <c r="Q24" s="680">
        <f>+landbouw!P8</f>
        <v>0</v>
      </c>
      <c r="R24" s="682">
        <f>SUM(C24:Q24)</f>
        <v>1446.2684267954808</v>
      </c>
      <c r="S24" s="67"/>
    </row>
    <row r="25" spans="1:19" s="442" customFormat="1" ht="15" thickBot="1">
      <c r="A25" s="822" t="s">
        <v>708</v>
      </c>
      <c r="B25" s="941"/>
      <c r="C25" s="942">
        <f>IF(Onbekend_ele_kWh="---",0,Onbekend_ele_kWh)/1000+IF(REST_rest_ele_kWh="---",0,REST_rest_ele_kWh)/1000</f>
        <v>256.6078</v>
      </c>
      <c r="D25" s="942"/>
      <c r="E25" s="942">
        <f>IF(onbekend_gas_kWh="---",0,onbekend_gas_kWh)/1000+IF(REST_rest_gas_kWh="---",0,REST_rest_gas_kWh)/1000</f>
        <v>876.29680000000008</v>
      </c>
      <c r="F25" s="942"/>
      <c r="G25" s="942"/>
      <c r="H25" s="942"/>
      <c r="I25" s="942"/>
      <c r="J25" s="942"/>
      <c r="K25" s="942"/>
      <c r="L25" s="942"/>
      <c r="M25" s="942"/>
      <c r="N25" s="942"/>
      <c r="O25" s="942"/>
      <c r="P25" s="942"/>
      <c r="Q25" s="943"/>
      <c r="R25" s="682">
        <f>SUM(C25:Q25)</f>
        <v>1132.9046000000001</v>
      </c>
      <c r="S25" s="67"/>
    </row>
    <row r="26" spans="1:19" s="442" customFormat="1" ht="15.75" thickBot="1">
      <c r="A26" s="687" t="s">
        <v>709</v>
      </c>
      <c r="B26" s="808"/>
      <c r="C26" s="803">
        <f>SUM(C24:C25)</f>
        <v>543.08580000000006</v>
      </c>
      <c r="D26" s="803">
        <f t="shared" ref="D26:R26" si="2">SUM(D24:D25)</f>
        <v>0</v>
      </c>
      <c r="E26" s="803">
        <f t="shared" si="2"/>
        <v>935.7746800000001</v>
      </c>
      <c r="F26" s="803">
        <f t="shared" si="2"/>
        <v>8.9408839112100154</v>
      </c>
      <c r="G26" s="803">
        <f t="shared" si="2"/>
        <v>1012.4449871767522</v>
      </c>
      <c r="H26" s="803">
        <f t="shared" si="2"/>
        <v>0</v>
      </c>
      <c r="I26" s="803">
        <f t="shared" si="2"/>
        <v>0</v>
      </c>
      <c r="J26" s="803">
        <f t="shared" si="2"/>
        <v>0</v>
      </c>
      <c r="K26" s="803">
        <f t="shared" si="2"/>
        <v>78.92667570751864</v>
      </c>
      <c r="L26" s="803">
        <f t="shared" si="2"/>
        <v>0</v>
      </c>
      <c r="M26" s="803">
        <f t="shared" si="2"/>
        <v>0</v>
      </c>
      <c r="N26" s="803">
        <f t="shared" si="2"/>
        <v>0</v>
      </c>
      <c r="O26" s="803">
        <f t="shared" si="2"/>
        <v>0</v>
      </c>
      <c r="P26" s="803">
        <f t="shared" si="2"/>
        <v>0</v>
      </c>
      <c r="Q26" s="803">
        <f t="shared" si="2"/>
        <v>0</v>
      </c>
      <c r="R26" s="803">
        <f t="shared" si="2"/>
        <v>2579.1730267954808</v>
      </c>
      <c r="S26" s="67"/>
    </row>
    <row r="27" spans="1:19" s="442" customFormat="1" ht="17.25" thickTop="1" thickBot="1">
      <c r="A27" s="688" t="s">
        <v>109</v>
      </c>
      <c r="B27" s="795"/>
      <c r="C27" s="689">
        <f ca="1">C22+C16+C26</f>
        <v>26491.25565877858</v>
      </c>
      <c r="D27" s="689">
        <f t="shared" ref="D27:R27" ca="1" si="3">D22+D16+D26</f>
        <v>0</v>
      </c>
      <c r="E27" s="689">
        <f t="shared" ca="1" si="3"/>
        <v>68980.718352216456</v>
      </c>
      <c r="F27" s="689">
        <f t="shared" si="3"/>
        <v>1072.6630054374243</v>
      </c>
      <c r="G27" s="689">
        <f t="shared" ca="1" si="3"/>
        <v>13845.572197905236</v>
      </c>
      <c r="H27" s="689">
        <f t="shared" si="3"/>
        <v>67966.513841419699</v>
      </c>
      <c r="I27" s="689">
        <f t="shared" si="3"/>
        <v>11442.093321336017</v>
      </c>
      <c r="J27" s="689">
        <f t="shared" si="3"/>
        <v>0</v>
      </c>
      <c r="K27" s="689">
        <f t="shared" si="3"/>
        <v>125.74011273942838</v>
      </c>
      <c r="L27" s="689">
        <f t="shared" si="3"/>
        <v>0</v>
      </c>
      <c r="M27" s="689">
        <f t="shared" ca="1" si="3"/>
        <v>0</v>
      </c>
      <c r="N27" s="689">
        <f t="shared" si="3"/>
        <v>4674.0416307347205</v>
      </c>
      <c r="O27" s="689">
        <f t="shared" ca="1" si="3"/>
        <v>6351.3869377500987</v>
      </c>
      <c r="P27" s="689">
        <f t="shared" si="3"/>
        <v>242.97224709228496</v>
      </c>
      <c r="Q27" s="689">
        <f t="shared" si="3"/>
        <v>610.96963984573142</v>
      </c>
      <c r="R27" s="689">
        <f t="shared" ca="1" si="3"/>
        <v>201803.92694525563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1337.3582716411231</v>
      </c>
      <c r="D40" s="679">
        <f ca="1">tertiair!C20</f>
        <v>0</v>
      </c>
      <c r="E40" s="679">
        <f ca="1">tertiair!D20</f>
        <v>1808.1116247546004</v>
      </c>
      <c r="F40" s="679">
        <f>tertiair!E20</f>
        <v>18.804697384703751</v>
      </c>
      <c r="G40" s="679">
        <f ca="1">tertiair!F20</f>
        <v>191.39038784403436</v>
      </c>
      <c r="H40" s="679">
        <f>tertiair!G20</f>
        <v>0</v>
      </c>
      <c r="I40" s="679">
        <f>tertiair!H20</f>
        <v>0</v>
      </c>
      <c r="J40" s="679">
        <f>tertiair!I20</f>
        <v>0</v>
      </c>
      <c r="K40" s="679">
        <f>tertiair!J20</f>
        <v>6.1430282067587169E-3</v>
      </c>
      <c r="L40" s="679">
        <f>tertiair!K20</f>
        <v>0</v>
      </c>
      <c r="M40" s="679">
        <f ca="1">tertiair!L20</f>
        <v>0</v>
      </c>
      <c r="N40" s="679">
        <f>tertiair!M20</f>
        <v>0</v>
      </c>
      <c r="O40" s="679">
        <f ca="1">tertiair!N20</f>
        <v>0</v>
      </c>
      <c r="P40" s="679">
        <f>tertiair!O20</f>
        <v>0</v>
      </c>
      <c r="Q40" s="762">
        <f>tertiair!P20</f>
        <v>0</v>
      </c>
      <c r="R40" s="841">
        <f t="shared" ca="1" si="4"/>
        <v>3355.6711246526679</v>
      </c>
    </row>
    <row r="41" spans="1:18">
      <c r="A41" s="813" t="s">
        <v>213</v>
      </c>
      <c r="B41" s="820"/>
      <c r="C41" s="679">
        <f ca="1">huishoudens!B12</f>
        <v>3515.5816709743403</v>
      </c>
      <c r="D41" s="679">
        <f ca="1">huishoudens!C12</f>
        <v>0</v>
      </c>
      <c r="E41" s="679">
        <f>huishoudens!D12</f>
        <v>11569.416869167344</v>
      </c>
      <c r="F41" s="679">
        <f>huishoudens!E12</f>
        <v>164.76587921543381</v>
      </c>
      <c r="G41" s="679">
        <f>huishoudens!F12</f>
        <v>3124.3064680502844</v>
      </c>
      <c r="H41" s="679">
        <f>huishoudens!G12</f>
        <v>0</v>
      </c>
      <c r="I41" s="679">
        <f>huishoudens!H12</f>
        <v>0</v>
      </c>
      <c r="J41" s="679">
        <f>huishoudens!I12</f>
        <v>0</v>
      </c>
      <c r="K41" s="679">
        <f>huishoudens!J12</f>
        <v>16.548461328131399</v>
      </c>
      <c r="L41" s="679">
        <f>huishoudens!K12</f>
        <v>0</v>
      </c>
      <c r="M41" s="679">
        <f>huishoudens!L12</f>
        <v>0</v>
      </c>
      <c r="N41" s="679">
        <f>huishoudens!M12</f>
        <v>0</v>
      </c>
      <c r="O41" s="679">
        <f>huishoudens!N12</f>
        <v>0</v>
      </c>
      <c r="P41" s="679">
        <f>huishoudens!O12</f>
        <v>0</v>
      </c>
      <c r="Q41" s="762">
        <f>huishoudens!P12</f>
        <v>0</v>
      </c>
      <c r="R41" s="841">
        <f t="shared" ca="1" si="4"/>
        <v>18390.619348735534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174.65025364935377</v>
      </c>
      <c r="D43" s="679">
        <f ca="1">industrie!C22</f>
        <v>0</v>
      </c>
      <c r="E43" s="679">
        <f>industrie!D22</f>
        <v>342.11315415200005</v>
      </c>
      <c r="F43" s="679">
        <f>industrie!E22</f>
        <v>30.424512128413408</v>
      </c>
      <c r="G43" s="679">
        <f>industrie!F22</f>
        <v>110.74810937018661</v>
      </c>
      <c r="H43" s="679">
        <f>industrie!G22</f>
        <v>0</v>
      </c>
      <c r="I43" s="679">
        <f>industrie!H22</f>
        <v>0</v>
      </c>
      <c r="J43" s="679">
        <f>industrie!I22</f>
        <v>0</v>
      </c>
      <c r="K43" s="679">
        <f>industrie!J22</f>
        <v>1.7352352957894043E-2</v>
      </c>
      <c r="L43" s="679">
        <f>industrie!K22</f>
        <v>0</v>
      </c>
      <c r="M43" s="679">
        <f>industrie!L22</f>
        <v>0</v>
      </c>
      <c r="N43" s="679">
        <f>industrie!M22</f>
        <v>0</v>
      </c>
      <c r="O43" s="679">
        <f>industrie!N22</f>
        <v>0</v>
      </c>
      <c r="P43" s="679">
        <f>industrie!O22</f>
        <v>0</v>
      </c>
      <c r="Q43" s="762">
        <f>industrie!P22</f>
        <v>0</v>
      </c>
      <c r="R43" s="840">
        <f t="shared" ca="1" si="4"/>
        <v>657.95338165291184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5027.5901962648168</v>
      </c>
      <c r="D46" s="715">
        <f t="shared" ref="D46:Q46" ca="1" si="5">SUM(D39:D45)</f>
        <v>0</v>
      </c>
      <c r="E46" s="715">
        <f t="shared" ca="1" si="5"/>
        <v>13719.641648073944</v>
      </c>
      <c r="F46" s="715">
        <f t="shared" si="5"/>
        <v>213.99508872855097</v>
      </c>
      <c r="G46" s="715">
        <f t="shared" ca="1" si="5"/>
        <v>3426.4449652645053</v>
      </c>
      <c r="H46" s="715">
        <f t="shared" si="5"/>
        <v>0</v>
      </c>
      <c r="I46" s="715">
        <f t="shared" si="5"/>
        <v>0</v>
      </c>
      <c r="J46" s="715">
        <f t="shared" si="5"/>
        <v>0</v>
      </c>
      <c r="K46" s="715">
        <f t="shared" si="5"/>
        <v>16.57195670929605</v>
      </c>
      <c r="L46" s="715">
        <f t="shared" si="5"/>
        <v>0</v>
      </c>
      <c r="M46" s="715">
        <f t="shared" ca="1" si="5"/>
        <v>0</v>
      </c>
      <c r="N46" s="715">
        <f t="shared" si="5"/>
        <v>0</v>
      </c>
      <c r="O46" s="715">
        <f t="shared" ca="1" si="5"/>
        <v>0</v>
      </c>
      <c r="P46" s="715">
        <f t="shared" si="5"/>
        <v>0</v>
      </c>
      <c r="Q46" s="715">
        <f t="shared" si="5"/>
        <v>0</v>
      </c>
      <c r="R46" s="715">
        <f ca="1">SUM(R39:R45)</f>
        <v>22404.243855041113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3.1071713835116452</v>
      </c>
      <c r="D49" s="679">
        <f ca="1">transport!C58</f>
        <v>0</v>
      </c>
      <c r="E49" s="679">
        <f>transport!D58</f>
        <v>0</v>
      </c>
      <c r="F49" s="679">
        <f>transport!E58</f>
        <v>0</v>
      </c>
      <c r="G49" s="679">
        <f>transport!F58</f>
        <v>0</v>
      </c>
      <c r="H49" s="679">
        <f>transport!G58</f>
        <v>309.07809911793782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312.18527050144945</v>
      </c>
    </row>
    <row r="50" spans="1:18">
      <c r="A50" s="816" t="s">
        <v>295</v>
      </c>
      <c r="B50" s="826"/>
      <c r="C50" s="685">
        <f ca="1">transport!B18</f>
        <v>15.478559809296728</v>
      </c>
      <c r="D50" s="685">
        <f>transport!C18</f>
        <v>0</v>
      </c>
      <c r="E50" s="685">
        <f>transport!D18</f>
        <v>25.436973713778041</v>
      </c>
      <c r="F50" s="685">
        <f>transport!E18</f>
        <v>27.469832857899696</v>
      </c>
      <c r="G50" s="685">
        <f>transport!F18</f>
        <v>0</v>
      </c>
      <c r="H50" s="685">
        <f>transport!G18</f>
        <v>17837.98109654112</v>
      </c>
      <c r="I50" s="685">
        <f>transport!H18</f>
        <v>2849.0812370126682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20755.447699934764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18.585731192808375</v>
      </c>
      <c r="D52" s="715">
        <f t="shared" ref="D52:Q52" ca="1" si="6">SUM(D48:D51)</f>
        <v>0</v>
      </c>
      <c r="E52" s="715">
        <f t="shared" si="6"/>
        <v>25.436973713778041</v>
      </c>
      <c r="F52" s="715">
        <f t="shared" si="6"/>
        <v>27.469832857899696</v>
      </c>
      <c r="G52" s="715">
        <f t="shared" si="6"/>
        <v>0</v>
      </c>
      <c r="H52" s="715">
        <f t="shared" si="6"/>
        <v>18147.059195659058</v>
      </c>
      <c r="I52" s="715">
        <f t="shared" si="6"/>
        <v>2849.0812370126682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21067.632970436214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55.711766772527717</v>
      </c>
      <c r="D54" s="685">
        <f ca="1">+landbouw!C12</f>
        <v>0</v>
      </c>
      <c r="E54" s="685">
        <f>+landbouw!D12</f>
        <v>12.014531760000001</v>
      </c>
      <c r="F54" s="685">
        <f>+landbouw!E12</f>
        <v>2.0295806478446736</v>
      </c>
      <c r="G54" s="685">
        <f>+landbouw!F12</f>
        <v>270.32281157619286</v>
      </c>
      <c r="H54" s="685">
        <f>+landbouw!G12</f>
        <v>0</v>
      </c>
      <c r="I54" s="685">
        <f>+landbouw!H12</f>
        <v>0</v>
      </c>
      <c r="J54" s="685">
        <f>+landbouw!I12</f>
        <v>0</v>
      </c>
      <c r="K54" s="685">
        <f>+landbouw!J12</f>
        <v>27.940043200461599</v>
      </c>
      <c r="L54" s="685">
        <f>+landbouw!K12</f>
        <v>0</v>
      </c>
      <c r="M54" s="685">
        <f>+landbouw!L12</f>
        <v>0</v>
      </c>
      <c r="N54" s="685">
        <f>+landbouw!M12</f>
        <v>0</v>
      </c>
      <c r="O54" s="685">
        <f>+landbouw!N12</f>
        <v>0</v>
      </c>
      <c r="P54" s="685">
        <f>+landbouw!O12</f>
        <v>0</v>
      </c>
      <c r="Q54" s="686">
        <f>+landbouw!P12</f>
        <v>0</v>
      </c>
      <c r="R54" s="714">
        <f ca="1">SUM(C54:Q54)</f>
        <v>368.01873395702688</v>
      </c>
    </row>
    <row r="55" spans="1:18" ht="15" thickBot="1">
      <c r="A55" s="816" t="s">
        <v>708</v>
      </c>
      <c r="B55" s="826"/>
      <c r="C55" s="685">
        <f ca="1">C25*'EF ele_warmte'!B12</f>
        <v>49.902868302667002</v>
      </c>
      <c r="D55" s="685"/>
      <c r="E55" s="685">
        <f>E25*EF_CO2_aardgas</f>
        <v>177.01195360000003</v>
      </c>
      <c r="F55" s="685"/>
      <c r="G55" s="685"/>
      <c r="H55" s="685"/>
      <c r="I55" s="685"/>
      <c r="J55" s="685"/>
      <c r="K55" s="685"/>
      <c r="L55" s="685"/>
      <c r="M55" s="685"/>
      <c r="N55" s="685"/>
      <c r="O55" s="685"/>
      <c r="P55" s="685"/>
      <c r="Q55" s="686"/>
      <c r="R55" s="714">
        <f ca="1">SUM(C55:Q55)</f>
        <v>226.91482190266703</v>
      </c>
    </row>
    <row r="56" spans="1:18" ht="15.75" thickBot="1">
      <c r="A56" s="814" t="s">
        <v>709</v>
      </c>
      <c r="B56" s="827"/>
      <c r="C56" s="715">
        <f ca="1">SUM(C54:C55)</f>
        <v>105.61463507519471</v>
      </c>
      <c r="D56" s="715">
        <f t="shared" ref="D56:Q56" ca="1" si="7">SUM(D54:D55)</f>
        <v>0</v>
      </c>
      <c r="E56" s="715">
        <f t="shared" si="7"/>
        <v>189.02648536000004</v>
      </c>
      <c r="F56" s="715">
        <f t="shared" si="7"/>
        <v>2.0295806478446736</v>
      </c>
      <c r="G56" s="715">
        <f t="shared" si="7"/>
        <v>270.32281157619286</v>
      </c>
      <c r="H56" s="715">
        <f t="shared" si="7"/>
        <v>0</v>
      </c>
      <c r="I56" s="715">
        <f t="shared" si="7"/>
        <v>0</v>
      </c>
      <c r="J56" s="715">
        <f t="shared" si="7"/>
        <v>0</v>
      </c>
      <c r="K56" s="715">
        <f t="shared" si="7"/>
        <v>27.940043200461599</v>
      </c>
      <c r="L56" s="715">
        <f t="shared" si="7"/>
        <v>0</v>
      </c>
      <c r="M56" s="715">
        <f t="shared" si="7"/>
        <v>0</v>
      </c>
      <c r="N56" s="715">
        <f t="shared" si="7"/>
        <v>0</v>
      </c>
      <c r="O56" s="715">
        <f t="shared" si="7"/>
        <v>0</v>
      </c>
      <c r="P56" s="715">
        <f t="shared" si="7"/>
        <v>0</v>
      </c>
      <c r="Q56" s="716">
        <f t="shared" si="7"/>
        <v>0</v>
      </c>
      <c r="R56" s="717">
        <f ca="1">SUM(R54:R55)</f>
        <v>594.93355585969391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5151.7905625328203</v>
      </c>
      <c r="D61" s="723">
        <f t="shared" ref="D61:Q61" ca="1" si="8">D46+D52+D56</f>
        <v>0</v>
      </c>
      <c r="E61" s="723">
        <f t="shared" ca="1" si="8"/>
        <v>13934.105107147723</v>
      </c>
      <c r="F61" s="723">
        <f t="shared" si="8"/>
        <v>243.49450223429534</v>
      </c>
      <c r="G61" s="723">
        <f t="shared" ca="1" si="8"/>
        <v>3696.7677768406984</v>
      </c>
      <c r="H61" s="723">
        <f t="shared" si="8"/>
        <v>18147.059195659058</v>
      </c>
      <c r="I61" s="723">
        <f t="shared" si="8"/>
        <v>2849.0812370126682</v>
      </c>
      <c r="J61" s="723">
        <f t="shared" si="8"/>
        <v>0</v>
      </c>
      <c r="K61" s="723">
        <f t="shared" si="8"/>
        <v>44.511999909757648</v>
      </c>
      <c r="L61" s="723">
        <f t="shared" si="8"/>
        <v>0</v>
      </c>
      <c r="M61" s="723">
        <f t="shared" ca="1" si="8"/>
        <v>0</v>
      </c>
      <c r="N61" s="723">
        <f t="shared" si="8"/>
        <v>0</v>
      </c>
      <c r="O61" s="723">
        <f t="shared" ca="1" si="8"/>
        <v>0</v>
      </c>
      <c r="P61" s="723">
        <f t="shared" si="8"/>
        <v>0</v>
      </c>
      <c r="Q61" s="723">
        <f t="shared" si="8"/>
        <v>0</v>
      </c>
      <c r="R61" s="723">
        <f ca="1">R46+R52+R56</f>
        <v>44066.810381337025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0.19447136175387889</v>
      </c>
      <c r="D63" s="769">
        <f t="shared" ca="1" si="9"/>
        <v>0</v>
      </c>
      <c r="E63" s="967">
        <f t="shared" ca="1" si="9"/>
        <v>0.20199999999999999</v>
      </c>
      <c r="F63" s="769">
        <f t="shared" si="9"/>
        <v>0.22700000000000001</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3179.986145055414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3179.986145055414</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18077.631787366343</v>
      </c>
      <c r="C4" s="446">
        <f>huishoudens!C8</f>
        <v>0</v>
      </c>
      <c r="D4" s="446">
        <f>huishoudens!D8</f>
        <v>57274.340936471999</v>
      </c>
      <c r="E4" s="446">
        <f>huishoudens!E8</f>
        <v>725.84087760103</v>
      </c>
      <c r="F4" s="446">
        <f>huishoudens!F8</f>
        <v>11701.522352248256</v>
      </c>
      <c r="G4" s="446">
        <f>huishoudens!G8</f>
        <v>0</v>
      </c>
      <c r="H4" s="446">
        <f>huishoudens!H8</f>
        <v>0</v>
      </c>
      <c r="I4" s="446">
        <f>huishoudens!I8</f>
        <v>0</v>
      </c>
      <c r="J4" s="446">
        <f>huishoudens!J8</f>
        <v>46.747065898676269</v>
      </c>
      <c r="K4" s="446">
        <f>huishoudens!K8</f>
        <v>0</v>
      </c>
      <c r="L4" s="446">
        <f>huishoudens!L8</f>
        <v>0</v>
      </c>
      <c r="M4" s="446">
        <f>huishoudens!M8</f>
        <v>0</v>
      </c>
      <c r="N4" s="446">
        <f>huishoudens!N8</f>
        <v>5621.0108627992513</v>
      </c>
      <c r="O4" s="446">
        <f>huishoudens!O8</f>
        <v>238.07498632644379</v>
      </c>
      <c r="P4" s="447">
        <f>huishoudens!P8</f>
        <v>610.96963984573142</v>
      </c>
      <c r="Q4" s="448">
        <f>SUM(B4:P4)</f>
        <v>94296.138508557735</v>
      </c>
    </row>
    <row r="5" spans="1:17">
      <c r="A5" s="445" t="s">
        <v>149</v>
      </c>
      <c r="B5" s="446">
        <f ca="1">tertiair!B16</f>
        <v>6271.4815589999989</v>
      </c>
      <c r="C5" s="446">
        <f ca="1">tertiair!C16</f>
        <v>0</v>
      </c>
      <c r="D5" s="446">
        <f ca="1">tertiair!D16</f>
        <v>8951.0476473000017</v>
      </c>
      <c r="E5" s="446">
        <f>tertiair!E16</f>
        <v>82.840076584598023</v>
      </c>
      <c r="F5" s="446">
        <f ca="1">tertiair!F16</f>
        <v>716.81793200012862</v>
      </c>
      <c r="G5" s="446">
        <f>tertiair!G16</f>
        <v>0</v>
      </c>
      <c r="H5" s="446">
        <f>tertiair!H16</f>
        <v>0</v>
      </c>
      <c r="I5" s="446">
        <f>tertiair!I16</f>
        <v>0</v>
      </c>
      <c r="J5" s="446">
        <f>tertiair!J16</f>
        <v>1.7353187024742138E-2</v>
      </c>
      <c r="K5" s="446">
        <f>tertiair!K16</f>
        <v>0</v>
      </c>
      <c r="L5" s="446">
        <f ca="1">tertiair!L16</f>
        <v>0</v>
      </c>
      <c r="M5" s="446">
        <f>tertiair!M16</f>
        <v>0</v>
      </c>
      <c r="N5" s="446">
        <f ca="1">tertiair!N16</f>
        <v>682.97695026025644</v>
      </c>
      <c r="O5" s="446">
        <f>tertiair!O16</f>
        <v>4.8972607658411542</v>
      </c>
      <c r="P5" s="447">
        <f>tertiair!P16</f>
        <v>0</v>
      </c>
      <c r="Q5" s="445">
        <f t="shared" ref="Q5:Q14" ca="1" si="0">SUM(B5:P5)</f>
        <v>16710.07877909785</v>
      </c>
    </row>
    <row r="6" spans="1:17">
      <c r="A6" s="445" t="s">
        <v>187</v>
      </c>
      <c r="B6" s="446">
        <f>'openbare verlichting'!B8</f>
        <v>605.40899999999999</v>
      </c>
      <c r="C6" s="446"/>
      <c r="D6" s="446"/>
      <c r="E6" s="446"/>
      <c r="F6" s="446"/>
      <c r="G6" s="446"/>
      <c r="H6" s="446"/>
      <c r="I6" s="446"/>
      <c r="J6" s="446"/>
      <c r="K6" s="446"/>
      <c r="L6" s="446"/>
      <c r="M6" s="446"/>
      <c r="N6" s="446"/>
      <c r="O6" s="446"/>
      <c r="P6" s="447"/>
      <c r="Q6" s="445">
        <f t="shared" si="0"/>
        <v>605.40899999999999</v>
      </c>
    </row>
    <row r="7" spans="1:17">
      <c r="A7" s="445" t="s">
        <v>105</v>
      </c>
      <c r="B7" s="446">
        <f>landbouw!B8</f>
        <v>286.47800000000001</v>
      </c>
      <c r="C7" s="446">
        <f>landbouw!C8</f>
        <v>0</v>
      </c>
      <c r="D7" s="446">
        <f>landbouw!D8</f>
        <v>59.477879999999999</v>
      </c>
      <c r="E7" s="446">
        <f>landbouw!E8</f>
        <v>8.9408839112100154</v>
      </c>
      <c r="F7" s="446">
        <f>landbouw!F8</f>
        <v>1012.4449871767522</v>
      </c>
      <c r="G7" s="446">
        <f>landbouw!G8</f>
        <v>0</v>
      </c>
      <c r="H7" s="446">
        <f>landbouw!H8</f>
        <v>0</v>
      </c>
      <c r="I7" s="446">
        <f>landbouw!I8</f>
        <v>0</v>
      </c>
      <c r="J7" s="446">
        <f>landbouw!J8</f>
        <v>78.92667570751864</v>
      </c>
      <c r="K7" s="446">
        <f>landbouw!K8</f>
        <v>0</v>
      </c>
      <c r="L7" s="446">
        <f>landbouw!L8</f>
        <v>0</v>
      </c>
      <c r="M7" s="446">
        <f>landbouw!M8</f>
        <v>0</v>
      </c>
      <c r="N7" s="446">
        <f>landbouw!N8</f>
        <v>0</v>
      </c>
      <c r="O7" s="446">
        <f>landbouw!O8</f>
        <v>0</v>
      </c>
      <c r="P7" s="447">
        <f>landbouw!P8</f>
        <v>0</v>
      </c>
      <c r="Q7" s="445">
        <f t="shared" si="0"/>
        <v>1446.2684267954808</v>
      </c>
    </row>
    <row r="8" spans="1:17">
      <c r="A8" s="445" t="s">
        <v>612</v>
      </c>
      <c r="B8" s="446">
        <f>industrie!B18</f>
        <v>898.07698200000004</v>
      </c>
      <c r="C8" s="446">
        <f>industrie!C18</f>
        <v>0</v>
      </c>
      <c r="D8" s="446">
        <f>industrie!D18</f>
        <v>1693.6294760000001</v>
      </c>
      <c r="E8" s="446">
        <f>industrie!E18</f>
        <v>134.02868779036743</v>
      </c>
      <c r="F8" s="446">
        <f>industrie!F18</f>
        <v>414.78692648009962</v>
      </c>
      <c r="G8" s="446">
        <f>industrie!G18</f>
        <v>0</v>
      </c>
      <c r="H8" s="446">
        <f>industrie!H18</f>
        <v>0</v>
      </c>
      <c r="I8" s="446">
        <f>industrie!I18</f>
        <v>0</v>
      </c>
      <c r="J8" s="446">
        <f>industrie!J18</f>
        <v>4.9017946208740233E-2</v>
      </c>
      <c r="K8" s="446">
        <f>industrie!K18</f>
        <v>0</v>
      </c>
      <c r="L8" s="446">
        <f>industrie!L18</f>
        <v>0</v>
      </c>
      <c r="M8" s="446">
        <f>industrie!M18</f>
        <v>0</v>
      </c>
      <c r="N8" s="446">
        <f>industrie!N18</f>
        <v>47.399124690590625</v>
      </c>
      <c r="O8" s="446">
        <f>industrie!O18</f>
        <v>0</v>
      </c>
      <c r="P8" s="447">
        <f>industrie!P18</f>
        <v>0</v>
      </c>
      <c r="Q8" s="445">
        <f t="shared" si="0"/>
        <v>3187.9702149072664</v>
      </c>
    </row>
    <row r="9" spans="1:17" s="451" customFormat="1">
      <c r="A9" s="449" t="s">
        <v>538</v>
      </c>
      <c r="B9" s="450">
        <f>transport!B14</f>
        <v>79.593003667482137</v>
      </c>
      <c r="C9" s="450">
        <f>transport!C14</f>
        <v>0</v>
      </c>
      <c r="D9" s="450">
        <f>transport!D14</f>
        <v>125.92561244444573</v>
      </c>
      <c r="E9" s="450">
        <f>transport!E14</f>
        <v>121.01247955021893</v>
      </c>
      <c r="F9" s="450">
        <f>transport!F14</f>
        <v>0</v>
      </c>
      <c r="G9" s="450">
        <f>transport!G14</f>
        <v>66808.917964573484</v>
      </c>
      <c r="H9" s="450">
        <f>transport!H14</f>
        <v>11442.093321336017</v>
      </c>
      <c r="I9" s="450">
        <f>transport!I14</f>
        <v>0</v>
      </c>
      <c r="J9" s="450">
        <f>transport!J14</f>
        <v>0</v>
      </c>
      <c r="K9" s="450">
        <f>transport!K14</f>
        <v>0</v>
      </c>
      <c r="L9" s="450">
        <f>transport!L14</f>
        <v>0</v>
      </c>
      <c r="M9" s="450">
        <f>transport!M14</f>
        <v>4608.5645606185653</v>
      </c>
      <c r="N9" s="450">
        <f>transport!N14</f>
        <v>0</v>
      </c>
      <c r="O9" s="450">
        <f>transport!O14</f>
        <v>0</v>
      </c>
      <c r="P9" s="450">
        <f>transport!P14</f>
        <v>0</v>
      </c>
      <c r="Q9" s="449">
        <f>SUM(B9:P9)</f>
        <v>83186.106942190207</v>
      </c>
    </row>
    <row r="10" spans="1:17">
      <c r="A10" s="445" t="s">
        <v>528</v>
      </c>
      <c r="B10" s="446">
        <f>transport!B54</f>
        <v>15.977526744755622</v>
      </c>
      <c r="C10" s="446">
        <f>transport!C54</f>
        <v>0</v>
      </c>
      <c r="D10" s="446">
        <f>transport!D54</f>
        <v>0</v>
      </c>
      <c r="E10" s="446">
        <f>transport!E54</f>
        <v>0</v>
      </c>
      <c r="F10" s="446">
        <f>transport!F54</f>
        <v>0</v>
      </c>
      <c r="G10" s="446">
        <f>transport!G54</f>
        <v>1157.595876846209</v>
      </c>
      <c r="H10" s="446">
        <f>transport!H54</f>
        <v>0</v>
      </c>
      <c r="I10" s="446">
        <f>transport!I54</f>
        <v>0</v>
      </c>
      <c r="J10" s="446">
        <f>transport!J54</f>
        <v>0</v>
      </c>
      <c r="K10" s="446">
        <f>transport!K54</f>
        <v>0</v>
      </c>
      <c r="L10" s="446">
        <f>transport!L54</f>
        <v>0</v>
      </c>
      <c r="M10" s="446">
        <f>transport!M54</f>
        <v>65.477070116155176</v>
      </c>
      <c r="N10" s="446">
        <f>transport!N54</f>
        <v>0</v>
      </c>
      <c r="O10" s="446">
        <f>transport!O54</f>
        <v>0</v>
      </c>
      <c r="P10" s="447">
        <f>transport!P54</f>
        <v>0</v>
      </c>
      <c r="Q10" s="445">
        <f t="shared" si="0"/>
        <v>1239.0504737071196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256.6078</v>
      </c>
      <c r="C14" s="453"/>
      <c r="D14" s="453">
        <f>'SEAP template'!E25</f>
        <v>876.29680000000008</v>
      </c>
      <c r="E14" s="453"/>
      <c r="F14" s="453"/>
      <c r="G14" s="453"/>
      <c r="H14" s="453"/>
      <c r="I14" s="453"/>
      <c r="J14" s="453"/>
      <c r="K14" s="453"/>
      <c r="L14" s="453"/>
      <c r="M14" s="453"/>
      <c r="N14" s="453"/>
      <c r="O14" s="453"/>
      <c r="P14" s="454"/>
      <c r="Q14" s="445">
        <f t="shared" si="0"/>
        <v>1132.9046000000001</v>
      </c>
    </row>
    <row r="15" spans="1:17" s="457" customFormat="1">
      <c r="A15" s="455" t="s">
        <v>532</v>
      </c>
      <c r="B15" s="456">
        <f ca="1">SUM(B4:B14)</f>
        <v>26491.25565877858</v>
      </c>
      <c r="C15" s="456">
        <f t="shared" ref="C15:Q15" ca="1" si="1">SUM(C4:C14)</f>
        <v>0</v>
      </c>
      <c r="D15" s="456">
        <f t="shared" ca="1" si="1"/>
        <v>68980.718352216456</v>
      </c>
      <c r="E15" s="456">
        <f t="shared" si="1"/>
        <v>1072.6630054374245</v>
      </c>
      <c r="F15" s="456">
        <f t="shared" ca="1" si="1"/>
        <v>13845.572197905236</v>
      </c>
      <c r="G15" s="456">
        <f t="shared" si="1"/>
        <v>67966.513841419699</v>
      </c>
      <c r="H15" s="456">
        <f t="shared" si="1"/>
        <v>11442.093321336017</v>
      </c>
      <c r="I15" s="456">
        <f t="shared" si="1"/>
        <v>0</v>
      </c>
      <c r="J15" s="456">
        <f t="shared" si="1"/>
        <v>125.74011273942838</v>
      </c>
      <c r="K15" s="456">
        <f t="shared" si="1"/>
        <v>0</v>
      </c>
      <c r="L15" s="456">
        <f t="shared" ca="1" si="1"/>
        <v>0</v>
      </c>
      <c r="M15" s="456">
        <f t="shared" si="1"/>
        <v>4674.0416307347205</v>
      </c>
      <c r="N15" s="456">
        <f t="shared" ca="1" si="1"/>
        <v>6351.3869377500987</v>
      </c>
      <c r="O15" s="456">
        <f t="shared" si="1"/>
        <v>242.97224709228496</v>
      </c>
      <c r="P15" s="456">
        <f t="shared" si="1"/>
        <v>610.96963984573142</v>
      </c>
      <c r="Q15" s="456">
        <f t="shared" ca="1" si="1"/>
        <v>201803.92694525566</v>
      </c>
    </row>
    <row r="17" spans="1:17">
      <c r="A17" s="458" t="s">
        <v>533</v>
      </c>
      <c r="B17" s="774">
        <f ca="1">huishoudens!B10</f>
        <v>0.19447136175387889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3515.5816709743403</v>
      </c>
      <c r="C22" s="446">
        <f t="shared" ref="C22:C32" ca="1" si="3">C4*$C$17</f>
        <v>0</v>
      </c>
      <c r="D22" s="446">
        <f t="shared" ref="D22:D32" si="4">D4*$D$17</f>
        <v>11569.416869167344</v>
      </c>
      <c r="E22" s="446">
        <f t="shared" ref="E22:E32" si="5">E4*$E$17</f>
        <v>164.76587921543381</v>
      </c>
      <c r="F22" s="446">
        <f t="shared" ref="F22:F32" si="6">F4*$F$17</f>
        <v>3124.3064680502844</v>
      </c>
      <c r="G22" s="446">
        <f t="shared" ref="G22:G32" si="7">G4*$G$17</f>
        <v>0</v>
      </c>
      <c r="H22" s="446">
        <f t="shared" ref="H22:H32" si="8">H4*$H$17</f>
        <v>0</v>
      </c>
      <c r="I22" s="446">
        <f t="shared" ref="I22:I32" si="9">I4*$I$17</f>
        <v>0</v>
      </c>
      <c r="J22" s="446">
        <f t="shared" ref="J22:J32" si="10">J4*$J$17</f>
        <v>16.548461328131399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18390.619348735534</v>
      </c>
    </row>
    <row r="23" spans="1:17">
      <c r="A23" s="445" t="s">
        <v>149</v>
      </c>
      <c r="B23" s="446">
        <f t="shared" ca="1" si="2"/>
        <v>1219.6235589930691</v>
      </c>
      <c r="C23" s="446">
        <f t="shared" ca="1" si="3"/>
        <v>0</v>
      </c>
      <c r="D23" s="446">
        <f t="shared" ca="1" si="4"/>
        <v>1808.1116247546004</v>
      </c>
      <c r="E23" s="446">
        <f t="shared" si="5"/>
        <v>18.804697384703751</v>
      </c>
      <c r="F23" s="446">
        <f t="shared" ca="1" si="6"/>
        <v>191.39038784403436</v>
      </c>
      <c r="G23" s="446">
        <f t="shared" si="7"/>
        <v>0</v>
      </c>
      <c r="H23" s="446">
        <f t="shared" si="8"/>
        <v>0</v>
      </c>
      <c r="I23" s="446">
        <f t="shared" si="9"/>
        <v>0</v>
      </c>
      <c r="J23" s="446">
        <f t="shared" si="10"/>
        <v>6.1430282067587169E-3</v>
      </c>
      <c r="K23" s="446">
        <f t="shared" si="11"/>
        <v>0</v>
      </c>
      <c r="L23" s="446">
        <f t="shared" ca="1" si="12"/>
        <v>0</v>
      </c>
      <c r="M23" s="446">
        <f t="shared" si="13"/>
        <v>0</v>
      </c>
      <c r="N23" s="446">
        <f t="shared" ca="1" si="14"/>
        <v>0</v>
      </c>
      <c r="O23" s="446">
        <f t="shared" si="15"/>
        <v>0</v>
      </c>
      <c r="P23" s="447">
        <f t="shared" si="16"/>
        <v>0</v>
      </c>
      <c r="Q23" s="445">
        <f t="shared" ref="Q23:Q31" ca="1" si="17">SUM(B23:P23)</f>
        <v>3237.9364120046139</v>
      </c>
    </row>
    <row r="24" spans="1:17">
      <c r="A24" s="445" t="s">
        <v>187</v>
      </c>
      <c r="B24" s="446">
        <f t="shared" ca="1" si="2"/>
        <v>117.73471264805406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117.73471264805406</v>
      </c>
    </row>
    <row r="25" spans="1:17">
      <c r="A25" s="445" t="s">
        <v>105</v>
      </c>
      <c r="B25" s="446">
        <f t="shared" ca="1" si="2"/>
        <v>55.711766772527717</v>
      </c>
      <c r="C25" s="446">
        <f t="shared" ca="1" si="3"/>
        <v>0</v>
      </c>
      <c r="D25" s="446">
        <f t="shared" si="4"/>
        <v>12.014531760000001</v>
      </c>
      <c r="E25" s="446">
        <f t="shared" si="5"/>
        <v>2.0295806478446736</v>
      </c>
      <c r="F25" s="446">
        <f t="shared" si="6"/>
        <v>270.32281157619286</v>
      </c>
      <c r="G25" s="446">
        <f t="shared" si="7"/>
        <v>0</v>
      </c>
      <c r="H25" s="446">
        <f t="shared" si="8"/>
        <v>0</v>
      </c>
      <c r="I25" s="446">
        <f t="shared" si="9"/>
        <v>0</v>
      </c>
      <c r="J25" s="446">
        <f t="shared" si="10"/>
        <v>27.940043200461599</v>
      </c>
      <c r="K25" s="446">
        <f t="shared" si="11"/>
        <v>0</v>
      </c>
      <c r="L25" s="446">
        <f t="shared" si="12"/>
        <v>0</v>
      </c>
      <c r="M25" s="446">
        <f t="shared" si="13"/>
        <v>0</v>
      </c>
      <c r="N25" s="446">
        <f t="shared" si="14"/>
        <v>0</v>
      </c>
      <c r="O25" s="446">
        <f t="shared" si="15"/>
        <v>0</v>
      </c>
      <c r="P25" s="447">
        <f t="shared" si="16"/>
        <v>0</v>
      </c>
      <c r="Q25" s="445">
        <f t="shared" ca="1" si="17"/>
        <v>368.01873395702688</v>
      </c>
    </row>
    <row r="26" spans="1:17">
      <c r="A26" s="445" t="s">
        <v>612</v>
      </c>
      <c r="B26" s="446">
        <f t="shared" ca="1" si="2"/>
        <v>174.65025364935377</v>
      </c>
      <c r="C26" s="446">
        <f t="shared" ca="1" si="3"/>
        <v>0</v>
      </c>
      <c r="D26" s="446">
        <f t="shared" si="4"/>
        <v>342.11315415200005</v>
      </c>
      <c r="E26" s="446">
        <f t="shared" si="5"/>
        <v>30.424512128413408</v>
      </c>
      <c r="F26" s="446">
        <f t="shared" si="6"/>
        <v>110.74810937018661</v>
      </c>
      <c r="G26" s="446">
        <f t="shared" si="7"/>
        <v>0</v>
      </c>
      <c r="H26" s="446">
        <f t="shared" si="8"/>
        <v>0</v>
      </c>
      <c r="I26" s="446">
        <f t="shared" si="9"/>
        <v>0</v>
      </c>
      <c r="J26" s="446">
        <f t="shared" si="10"/>
        <v>1.7352352957894043E-2</v>
      </c>
      <c r="K26" s="446">
        <f t="shared" si="11"/>
        <v>0</v>
      </c>
      <c r="L26" s="446">
        <f t="shared" si="12"/>
        <v>0</v>
      </c>
      <c r="M26" s="446">
        <f t="shared" si="13"/>
        <v>0</v>
      </c>
      <c r="N26" s="446">
        <f t="shared" si="14"/>
        <v>0</v>
      </c>
      <c r="O26" s="446">
        <f t="shared" si="15"/>
        <v>0</v>
      </c>
      <c r="P26" s="447">
        <f t="shared" si="16"/>
        <v>0</v>
      </c>
      <c r="Q26" s="445">
        <f t="shared" ca="1" si="17"/>
        <v>657.95338165291184</v>
      </c>
    </row>
    <row r="27" spans="1:17" s="451" customFormat="1">
      <c r="A27" s="449" t="s">
        <v>538</v>
      </c>
      <c r="B27" s="768">
        <f t="shared" ca="1" si="2"/>
        <v>15.478559809296728</v>
      </c>
      <c r="C27" s="450">
        <f t="shared" ca="1" si="3"/>
        <v>0</v>
      </c>
      <c r="D27" s="450">
        <f t="shared" si="4"/>
        <v>25.436973713778041</v>
      </c>
      <c r="E27" s="450">
        <f t="shared" si="5"/>
        <v>27.469832857899696</v>
      </c>
      <c r="F27" s="450">
        <f t="shared" si="6"/>
        <v>0</v>
      </c>
      <c r="G27" s="450">
        <f t="shared" si="7"/>
        <v>17837.98109654112</v>
      </c>
      <c r="H27" s="450">
        <f t="shared" si="8"/>
        <v>2849.0812370126682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20755.447699934764</v>
      </c>
    </row>
    <row r="28" spans="1:17" ht="16.5" customHeight="1">
      <c r="A28" s="445" t="s">
        <v>528</v>
      </c>
      <c r="B28" s="446">
        <f t="shared" ca="1" si="2"/>
        <v>3.1071713835116452</v>
      </c>
      <c r="C28" s="446">
        <f t="shared" ca="1" si="3"/>
        <v>0</v>
      </c>
      <c r="D28" s="446">
        <f t="shared" si="4"/>
        <v>0</v>
      </c>
      <c r="E28" s="446">
        <f t="shared" si="5"/>
        <v>0</v>
      </c>
      <c r="F28" s="446">
        <f t="shared" si="6"/>
        <v>0</v>
      </c>
      <c r="G28" s="446">
        <f t="shared" si="7"/>
        <v>309.07809911793782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312.18527050144945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49.902868302667002</v>
      </c>
      <c r="C32" s="446">
        <f t="shared" ca="1" si="3"/>
        <v>0</v>
      </c>
      <c r="D32" s="446">
        <f t="shared" si="4"/>
        <v>177.01195360000003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226.91482190266703</v>
      </c>
    </row>
    <row r="33" spans="1:17" s="457" customFormat="1">
      <c r="A33" s="455" t="s">
        <v>532</v>
      </c>
      <c r="B33" s="456">
        <f ca="1">SUM(B22:B32)</f>
        <v>5151.7905625328212</v>
      </c>
      <c r="C33" s="456">
        <f t="shared" ref="C33:Q33" ca="1" si="19">SUM(C22:C32)</f>
        <v>0</v>
      </c>
      <c r="D33" s="456">
        <f t="shared" ca="1" si="19"/>
        <v>13934.105107147723</v>
      </c>
      <c r="E33" s="456">
        <f t="shared" si="19"/>
        <v>243.49450223429534</v>
      </c>
      <c r="F33" s="456">
        <f t="shared" ca="1" si="19"/>
        <v>3696.7677768406979</v>
      </c>
      <c r="G33" s="456">
        <f t="shared" si="19"/>
        <v>18147.059195659058</v>
      </c>
      <c r="H33" s="456">
        <f t="shared" si="19"/>
        <v>2849.0812370126682</v>
      </c>
      <c r="I33" s="456">
        <f t="shared" si="19"/>
        <v>0</v>
      </c>
      <c r="J33" s="456">
        <f t="shared" si="19"/>
        <v>44.511999909757648</v>
      </c>
      <c r="K33" s="456">
        <f t="shared" si="19"/>
        <v>0</v>
      </c>
      <c r="L33" s="456">
        <f t="shared" ca="1" si="19"/>
        <v>0</v>
      </c>
      <c r="M33" s="456">
        <f t="shared" si="19"/>
        <v>0</v>
      </c>
      <c r="N33" s="456">
        <f t="shared" ca="1" si="19"/>
        <v>0</v>
      </c>
      <c r="O33" s="456">
        <f t="shared" si="19"/>
        <v>0</v>
      </c>
      <c r="P33" s="456">
        <f t="shared" si="19"/>
        <v>0</v>
      </c>
      <c r="Q33" s="456">
        <f t="shared" ca="1" si="19"/>
        <v>44066.810381337018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3179.986145055414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3179.986145055414</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0.19447136175387889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0.19447136175387889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0.19447136175387889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0.19447136175387889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4386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152.81</v>
      </c>
      <c r="C14" s="326"/>
      <c r="D14" s="326"/>
      <c r="E14" s="326"/>
      <c r="F14" s="326"/>
    </row>
    <row r="15" spans="1:6">
      <c r="A15" s="1296" t="s">
        <v>177</v>
      </c>
      <c r="B15" s="1297">
        <v>1429</v>
      </c>
      <c r="C15" s="326"/>
      <c r="D15" s="326"/>
      <c r="E15" s="326"/>
      <c r="F15" s="326"/>
    </row>
    <row r="16" spans="1:6">
      <c r="A16" s="1296" t="s">
        <v>6</v>
      </c>
      <c r="B16" s="1297">
        <v>0</v>
      </c>
      <c r="C16" s="326"/>
      <c r="D16" s="326"/>
      <c r="E16" s="326"/>
      <c r="F16" s="326"/>
    </row>
    <row r="17" spans="1:6">
      <c r="A17" s="1296" t="s">
        <v>7</v>
      </c>
      <c r="B17" s="1297">
        <v>41</v>
      </c>
      <c r="C17" s="326"/>
      <c r="D17" s="326"/>
      <c r="E17" s="326"/>
      <c r="F17" s="326"/>
    </row>
    <row r="18" spans="1:6">
      <c r="A18" s="1296" t="s">
        <v>8</v>
      </c>
      <c r="B18" s="1297">
        <v>29</v>
      </c>
      <c r="C18" s="326"/>
      <c r="D18" s="326"/>
      <c r="E18" s="326"/>
      <c r="F18" s="326"/>
    </row>
    <row r="19" spans="1:6">
      <c r="A19" s="1296" t="s">
        <v>9</v>
      </c>
      <c r="B19" s="1297">
        <v>37</v>
      </c>
      <c r="C19" s="326"/>
      <c r="D19" s="326"/>
      <c r="E19" s="326"/>
      <c r="F19" s="326"/>
    </row>
    <row r="20" spans="1:6">
      <c r="A20" s="1296" t="s">
        <v>10</v>
      </c>
      <c r="B20" s="1297">
        <v>37</v>
      </c>
      <c r="C20" s="326"/>
      <c r="D20" s="326"/>
      <c r="E20" s="326"/>
      <c r="F20" s="326"/>
    </row>
    <row r="21" spans="1:6">
      <c r="A21" s="1296" t="s">
        <v>11</v>
      </c>
      <c r="B21" s="1297">
        <v>0</v>
      </c>
      <c r="C21" s="326"/>
      <c r="D21" s="326"/>
      <c r="E21" s="326"/>
      <c r="F21" s="326"/>
    </row>
    <row r="22" spans="1:6">
      <c r="A22" s="1296" t="s">
        <v>12</v>
      </c>
      <c r="B22" s="1297">
        <v>768</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2</v>
      </c>
      <c r="C27" s="326"/>
      <c r="D27" s="326"/>
      <c r="E27" s="326"/>
      <c r="F27" s="326"/>
    </row>
    <row r="28" spans="1:6">
      <c r="A28" s="1296" t="s">
        <v>18</v>
      </c>
      <c r="B28" s="1298">
        <v>81085</v>
      </c>
      <c r="C28" s="326"/>
      <c r="D28" s="326"/>
      <c r="E28" s="326"/>
      <c r="F28" s="326"/>
    </row>
    <row r="29" spans="1:6">
      <c r="A29" s="1296" t="s">
        <v>689</v>
      </c>
      <c r="B29" s="1298">
        <v>27</v>
      </c>
      <c r="C29" s="326"/>
      <c r="D29" s="326"/>
      <c r="E29" s="326"/>
      <c r="F29" s="326"/>
    </row>
    <row r="30" spans="1:6">
      <c r="A30" s="1291" t="s">
        <v>690</v>
      </c>
      <c r="B30" s="1299">
        <v>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31875</v>
      </c>
    </row>
    <row r="37" spans="1:6">
      <c r="A37" s="1296" t="s">
        <v>24</v>
      </c>
      <c r="B37" s="1296" t="s">
        <v>27</v>
      </c>
      <c r="C37" s="1297">
        <v>0</v>
      </c>
      <c r="D37" s="1297">
        <v>0</v>
      </c>
      <c r="E37" s="1297">
        <v>0</v>
      </c>
      <c r="F37" s="1297">
        <v>0</v>
      </c>
    </row>
    <row r="38" spans="1:6">
      <c r="A38" s="1296" t="s">
        <v>24</v>
      </c>
      <c r="B38" s="1296" t="s">
        <v>28</v>
      </c>
      <c r="C38" s="1297">
        <v>1</v>
      </c>
      <c r="D38" s="1297">
        <v>83546</v>
      </c>
      <c r="E38" s="1297">
        <v>0</v>
      </c>
      <c r="F38" s="1297">
        <v>0</v>
      </c>
    </row>
    <row r="39" spans="1:6">
      <c r="A39" s="1296" t="s">
        <v>29</v>
      </c>
      <c r="B39" s="1296" t="s">
        <v>30</v>
      </c>
      <c r="C39" s="1297">
        <v>3670</v>
      </c>
      <c r="D39" s="1297">
        <v>63497052.035999998</v>
      </c>
      <c r="E39" s="1297">
        <v>4370</v>
      </c>
      <c r="F39" s="1297">
        <v>14926019.137</v>
      </c>
    </row>
    <row r="40" spans="1:6">
      <c r="A40" s="1296" t="s">
        <v>29</v>
      </c>
      <c r="B40" s="1296" t="s">
        <v>28</v>
      </c>
      <c r="C40" s="1297">
        <v>0</v>
      </c>
      <c r="D40" s="1297">
        <v>0</v>
      </c>
      <c r="E40" s="1297">
        <v>0</v>
      </c>
      <c r="F40" s="1297">
        <v>0</v>
      </c>
    </row>
    <row r="41" spans="1:6">
      <c r="A41" s="1296" t="s">
        <v>31</v>
      </c>
      <c r="B41" s="1296" t="s">
        <v>32</v>
      </c>
      <c r="C41" s="1297">
        <v>57</v>
      </c>
      <c r="D41" s="1297">
        <v>1250562</v>
      </c>
      <c r="E41" s="1297">
        <v>77</v>
      </c>
      <c r="F41" s="1297">
        <v>479606.98200000002</v>
      </c>
    </row>
    <row r="42" spans="1:6">
      <c r="A42" s="1296" t="s">
        <v>31</v>
      </c>
      <c r="B42" s="1296" t="s">
        <v>33</v>
      </c>
      <c r="C42" s="1297">
        <v>3</v>
      </c>
      <c r="D42" s="1297">
        <v>220628</v>
      </c>
      <c r="E42" s="1297">
        <v>5</v>
      </c>
      <c r="F42" s="1297">
        <v>159968</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48735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v>
      </c>
      <c r="D48" s="1297">
        <v>83526</v>
      </c>
      <c r="E48" s="1297">
        <v>0</v>
      </c>
      <c r="F48" s="1297">
        <v>0</v>
      </c>
    </row>
    <row r="49" spans="1:6">
      <c r="A49" s="1296" t="s">
        <v>31</v>
      </c>
      <c r="B49" s="1296" t="s">
        <v>39</v>
      </c>
      <c r="C49" s="1297">
        <v>0</v>
      </c>
      <c r="D49" s="1297">
        <v>0</v>
      </c>
      <c r="E49" s="1297">
        <v>3</v>
      </c>
      <c r="F49" s="1297">
        <v>21893</v>
      </c>
    </row>
    <row r="50" spans="1:6">
      <c r="A50" s="1296" t="s">
        <v>31</v>
      </c>
      <c r="B50" s="1296" t="s">
        <v>40</v>
      </c>
      <c r="C50" s="1297">
        <v>7</v>
      </c>
      <c r="D50" s="1297">
        <v>322922</v>
      </c>
      <c r="E50" s="1297">
        <v>9</v>
      </c>
      <c r="F50" s="1297">
        <v>187874</v>
      </c>
    </row>
    <row r="51" spans="1:6">
      <c r="A51" s="1296" t="s">
        <v>41</v>
      </c>
      <c r="B51" s="1296" t="s">
        <v>42</v>
      </c>
      <c r="C51" s="1297">
        <v>4</v>
      </c>
      <c r="D51" s="1297">
        <v>65940</v>
      </c>
      <c r="E51" s="1297">
        <v>11</v>
      </c>
      <c r="F51" s="1297">
        <v>286478</v>
      </c>
    </row>
    <row r="52" spans="1:6">
      <c r="A52" s="1296" t="s">
        <v>41</v>
      </c>
      <c r="B52" s="1296" t="s">
        <v>28</v>
      </c>
      <c r="C52" s="1297">
        <v>0</v>
      </c>
      <c r="D52" s="1297">
        <v>0</v>
      </c>
      <c r="E52" s="1297">
        <v>0</v>
      </c>
      <c r="F52" s="1297">
        <v>0</v>
      </c>
    </row>
    <row r="53" spans="1:6">
      <c r="A53" s="1296" t="s">
        <v>43</v>
      </c>
      <c r="B53" s="1296" t="s">
        <v>44</v>
      </c>
      <c r="C53" s="1297">
        <v>42</v>
      </c>
      <c r="D53" s="1297">
        <v>876296.8</v>
      </c>
      <c r="E53" s="1297">
        <v>68</v>
      </c>
      <c r="F53" s="1297">
        <v>256607.8</v>
      </c>
    </row>
    <row r="54" spans="1:6">
      <c r="A54" s="1296" t="s">
        <v>45</v>
      </c>
      <c r="B54" s="1296" t="s">
        <v>46</v>
      </c>
      <c r="C54" s="1297">
        <v>0</v>
      </c>
      <c r="D54" s="1297">
        <v>0</v>
      </c>
      <c r="E54" s="1297">
        <v>1</v>
      </c>
      <c r="F54" s="1297">
        <v>605409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v>
      </c>
      <c r="D57" s="1297">
        <v>1146961</v>
      </c>
      <c r="E57" s="1297">
        <v>34</v>
      </c>
      <c r="F57" s="1297">
        <v>1020993</v>
      </c>
    </row>
    <row r="58" spans="1:6">
      <c r="A58" s="1296" t="s">
        <v>48</v>
      </c>
      <c r="B58" s="1296" t="s">
        <v>50</v>
      </c>
      <c r="C58" s="1297">
        <v>26</v>
      </c>
      <c r="D58" s="1297">
        <v>1503491</v>
      </c>
      <c r="E58" s="1297">
        <v>34</v>
      </c>
      <c r="F58" s="1297">
        <v>622455</v>
      </c>
    </row>
    <row r="59" spans="1:6">
      <c r="A59" s="1296" t="s">
        <v>48</v>
      </c>
      <c r="B59" s="1296" t="s">
        <v>51</v>
      </c>
      <c r="C59" s="1297">
        <v>54</v>
      </c>
      <c r="D59" s="1297">
        <v>1940488.9</v>
      </c>
      <c r="E59" s="1297">
        <v>86</v>
      </c>
      <c r="F59" s="1297">
        <v>2110055.9</v>
      </c>
    </row>
    <row r="60" spans="1:6">
      <c r="A60" s="1296" t="s">
        <v>48</v>
      </c>
      <c r="B60" s="1296" t="s">
        <v>52</v>
      </c>
      <c r="C60" s="1297">
        <v>42</v>
      </c>
      <c r="D60" s="1297">
        <v>1713325.05</v>
      </c>
      <c r="E60" s="1297">
        <v>45</v>
      </c>
      <c r="F60" s="1297">
        <v>975210.25</v>
      </c>
    </row>
    <row r="61" spans="1:6">
      <c r="A61" s="1296" t="s">
        <v>48</v>
      </c>
      <c r="B61" s="1296" t="s">
        <v>53</v>
      </c>
      <c r="C61" s="1297">
        <v>102</v>
      </c>
      <c r="D61" s="1297">
        <v>3462066.2</v>
      </c>
      <c r="E61" s="1297">
        <v>180</v>
      </c>
      <c r="F61" s="1297">
        <v>1501358.95</v>
      </c>
    </row>
    <row r="62" spans="1:6">
      <c r="A62" s="1296" t="s">
        <v>48</v>
      </c>
      <c r="B62" s="1296" t="s">
        <v>54</v>
      </c>
      <c r="C62" s="1297">
        <v>6</v>
      </c>
      <c r="D62" s="1297">
        <v>157224</v>
      </c>
      <c r="E62" s="1297">
        <v>6</v>
      </c>
      <c r="F62" s="1297">
        <v>30579</v>
      </c>
    </row>
    <row r="63" spans="1:6">
      <c r="A63" s="1296" t="s">
        <v>48</v>
      </c>
      <c r="B63" s="1296" t="s">
        <v>28</v>
      </c>
      <c r="C63" s="1297">
        <v>0</v>
      </c>
      <c r="D63" s="1297">
        <v>0</v>
      </c>
      <c r="E63" s="1297">
        <v>1</v>
      </c>
      <c r="F63" s="1297">
        <v>10829.459000000001</v>
      </c>
    </row>
    <row r="64" spans="1:6">
      <c r="A64" s="1296" t="s">
        <v>55</v>
      </c>
      <c r="B64" s="1296" t="s">
        <v>56</v>
      </c>
      <c r="C64" s="1297">
        <v>0</v>
      </c>
      <c r="D64" s="1297">
        <v>0</v>
      </c>
      <c r="E64" s="1297">
        <v>0</v>
      </c>
      <c r="F64" s="1297">
        <v>0</v>
      </c>
    </row>
    <row r="65" spans="1:6">
      <c r="A65" s="1296" t="s">
        <v>55</v>
      </c>
      <c r="B65" s="1296" t="s">
        <v>28</v>
      </c>
      <c r="C65" s="1297">
        <v>1</v>
      </c>
      <c r="D65" s="1297">
        <v>18646</v>
      </c>
      <c r="E65" s="1297">
        <v>4</v>
      </c>
      <c r="F65" s="1297">
        <v>21010</v>
      </c>
    </row>
    <row r="66" spans="1:6">
      <c r="A66" s="1296" t="s">
        <v>55</v>
      </c>
      <c r="B66" s="1296" t="s">
        <v>57</v>
      </c>
      <c r="C66" s="1297">
        <v>0</v>
      </c>
      <c r="D66" s="1297">
        <v>0</v>
      </c>
      <c r="E66" s="1297">
        <v>6</v>
      </c>
      <c r="F66" s="1297">
        <v>178935</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17321597</v>
      </c>
      <c r="E73" s="444"/>
      <c r="F73" s="326"/>
    </row>
    <row r="74" spans="1:6">
      <c r="A74" s="1296" t="s">
        <v>63</v>
      </c>
      <c r="B74" s="1296" t="s">
        <v>633</v>
      </c>
      <c r="C74" s="1309" t="s">
        <v>635</v>
      </c>
      <c r="D74" s="1297">
        <v>1416056.5</v>
      </c>
      <c r="E74" s="444"/>
      <c r="F74" s="326"/>
    </row>
    <row r="75" spans="1:6">
      <c r="A75" s="1296" t="s">
        <v>64</v>
      </c>
      <c r="B75" s="1296" t="s">
        <v>632</v>
      </c>
      <c r="C75" s="1309" t="s">
        <v>636</v>
      </c>
      <c r="D75" s="1297">
        <v>14036034</v>
      </c>
      <c r="E75" s="444"/>
      <c r="F75" s="326"/>
    </row>
    <row r="76" spans="1:6">
      <c r="A76" s="1296" t="s">
        <v>64</v>
      </c>
      <c r="B76" s="1296" t="s">
        <v>633</v>
      </c>
      <c r="C76" s="1309" t="s">
        <v>637</v>
      </c>
      <c r="D76" s="1297">
        <v>104729.5</v>
      </c>
      <c r="E76" s="444"/>
      <c r="F76" s="326"/>
    </row>
    <row r="77" spans="1:6">
      <c r="A77" s="1296" t="s">
        <v>65</v>
      </c>
      <c r="B77" s="1296" t="s">
        <v>632</v>
      </c>
      <c r="C77" s="1309" t="s">
        <v>638</v>
      </c>
      <c r="D77" s="1297">
        <v>41415028</v>
      </c>
      <c r="E77" s="444"/>
      <c r="F77" s="326"/>
    </row>
    <row r="78" spans="1:6">
      <c r="A78" s="1291" t="s">
        <v>65</v>
      </c>
      <c r="B78" s="1291" t="s">
        <v>633</v>
      </c>
      <c r="C78" s="1291" t="s">
        <v>639</v>
      </c>
      <c r="D78" s="1299">
        <v>11005339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339525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3151.6126503663422</v>
      </c>
      <c r="C91" s="326"/>
      <c r="D91" s="326"/>
      <c r="E91" s="326"/>
      <c r="F91" s="326"/>
    </row>
    <row r="92" spans="1:6">
      <c r="A92" s="1291" t="s">
        <v>68</v>
      </c>
      <c r="B92" s="1292">
        <v>28.373494689071912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2398</v>
      </c>
      <c r="C97" s="326"/>
      <c r="D97" s="326"/>
      <c r="E97" s="326"/>
      <c r="F97" s="326"/>
    </row>
    <row r="98" spans="1:6">
      <c r="A98" s="1296" t="s">
        <v>71</v>
      </c>
      <c r="B98" s="1297">
        <v>2</v>
      </c>
      <c r="C98" s="326"/>
      <c r="D98" s="326"/>
      <c r="E98" s="326"/>
      <c r="F98" s="326"/>
    </row>
    <row r="99" spans="1:6">
      <c r="A99" s="1296" t="s">
        <v>72</v>
      </c>
      <c r="B99" s="1297">
        <v>16</v>
      </c>
      <c r="C99" s="326"/>
      <c r="D99" s="326"/>
      <c r="E99" s="326"/>
      <c r="F99" s="326"/>
    </row>
    <row r="100" spans="1:6">
      <c r="A100" s="1296" t="s">
        <v>73</v>
      </c>
      <c r="B100" s="1297">
        <v>136</v>
      </c>
      <c r="C100" s="326"/>
      <c r="D100" s="326"/>
      <c r="E100" s="326"/>
      <c r="F100" s="326"/>
    </row>
    <row r="101" spans="1:6">
      <c r="A101" s="1296" t="s">
        <v>74</v>
      </c>
      <c r="B101" s="1297">
        <v>56</v>
      </c>
      <c r="C101" s="326"/>
      <c r="D101" s="326"/>
      <c r="E101" s="326"/>
      <c r="F101" s="326"/>
    </row>
    <row r="102" spans="1:6">
      <c r="A102" s="1296" t="s">
        <v>75</v>
      </c>
      <c r="B102" s="1297">
        <v>44</v>
      </c>
      <c r="C102" s="326"/>
      <c r="D102" s="326"/>
      <c r="E102" s="326"/>
      <c r="F102" s="326"/>
    </row>
    <row r="103" spans="1:6">
      <c r="A103" s="1296" t="s">
        <v>76</v>
      </c>
      <c r="B103" s="1297">
        <v>50</v>
      </c>
      <c r="C103" s="326"/>
      <c r="D103" s="326"/>
      <c r="E103" s="326"/>
      <c r="F103" s="326"/>
    </row>
    <row r="104" spans="1:6">
      <c r="A104" s="1296" t="s">
        <v>77</v>
      </c>
      <c r="B104" s="1297">
        <v>897</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36</v>
      </c>
      <c r="C123" s="1297">
        <v>25</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95</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26491.25565877858</v>
      </c>
      <c r="C3" s="43" t="s">
        <v>163</v>
      </c>
      <c r="D3" s="43"/>
      <c r="E3" s="154"/>
      <c r="F3" s="43"/>
      <c r="G3" s="43"/>
      <c r="H3" s="43"/>
      <c r="I3" s="43"/>
      <c r="J3" s="43"/>
      <c r="K3" s="96"/>
    </row>
    <row r="4" spans="1:11">
      <c r="A4" s="352" t="s">
        <v>164</v>
      </c>
      <c r="B4" s="49">
        <f>IF(ISERROR('SEAP template'!B78+'SEAP template'!C78),0,'SEAP template'!B78+'SEAP template'!C78)</f>
        <v>3179.986145055414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0.19447136175387889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605.40899999999999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605.40899999999999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0.19447136175387889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117.73471264805406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14926.019136999999</v>
      </c>
      <c r="C5" s="17">
        <f>IF(ISERROR('Eigen informatie GS &amp; warmtenet'!B59),0,'Eigen informatie GS &amp; warmtenet'!B59)</f>
        <v>0</v>
      </c>
      <c r="D5" s="30">
        <f>(SUM(HH_hh_gas_kWh,HH_rest_gas_kWh)/1000)*0.902</f>
        <v>57274.340936471999</v>
      </c>
      <c r="E5" s="17">
        <f>B32*B41</f>
        <v>725.84087760103</v>
      </c>
      <c r="F5" s="17">
        <f>B36*B45</f>
        <v>11701.522352248256</v>
      </c>
      <c r="G5" s="18"/>
      <c r="H5" s="17"/>
      <c r="I5" s="17"/>
      <c r="J5" s="17">
        <f>B35*B44+C35*C44</f>
        <v>46.747065898676269</v>
      </c>
      <c r="K5" s="17"/>
      <c r="L5" s="17"/>
      <c r="M5" s="17"/>
      <c r="N5" s="17">
        <f>B34*B43+C34*C43</f>
        <v>5621.0108627992513</v>
      </c>
      <c r="O5" s="17">
        <f>B52*B53*B54</f>
        <v>238.07498632644379</v>
      </c>
      <c r="P5" s="17">
        <f>B60*B61*B62/1000-B60*B61*B62/1000/B63</f>
        <v>610.96963984573142</v>
      </c>
    </row>
    <row r="6" spans="1:16">
      <c r="A6" s="16" t="s">
        <v>598</v>
      </c>
      <c r="B6" s="776">
        <f>kWh_PV_kleiner_dan_10kW</f>
        <v>3151.6126503663422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18077.631787366343</v>
      </c>
      <c r="C8" s="21">
        <f>C5</f>
        <v>0</v>
      </c>
      <c r="D8" s="21">
        <f>D5</f>
        <v>57274.340936471999</v>
      </c>
      <c r="E8" s="21">
        <f>E5</f>
        <v>725.84087760103</v>
      </c>
      <c r="F8" s="21">
        <f>F5</f>
        <v>11701.522352248256</v>
      </c>
      <c r="G8" s="21"/>
      <c r="H8" s="21"/>
      <c r="I8" s="21"/>
      <c r="J8" s="21">
        <f>J5</f>
        <v>46.747065898676269</v>
      </c>
      <c r="K8" s="21"/>
      <c r="L8" s="21">
        <f>L5</f>
        <v>0</v>
      </c>
      <c r="M8" s="21">
        <f>M5</f>
        <v>0</v>
      </c>
      <c r="N8" s="21">
        <f>N5</f>
        <v>5621.0108627992513</v>
      </c>
      <c r="O8" s="21">
        <f>O5</f>
        <v>238.07498632644379</v>
      </c>
      <c r="P8" s="21">
        <f>P5</f>
        <v>610.96963984573142</v>
      </c>
    </row>
    <row r="9" spans="1:16">
      <c r="B9" s="19"/>
      <c r="C9" s="19"/>
      <c r="D9" s="256"/>
      <c r="E9" s="19"/>
      <c r="F9" s="19"/>
      <c r="G9" s="19"/>
      <c r="H9" s="19"/>
      <c r="I9" s="19"/>
      <c r="J9" s="19"/>
      <c r="K9" s="19"/>
      <c r="L9" s="19"/>
      <c r="M9" s="19"/>
      <c r="N9" s="19"/>
      <c r="O9" s="19"/>
      <c r="P9" s="19"/>
    </row>
    <row r="10" spans="1:16">
      <c r="A10" s="24" t="s">
        <v>207</v>
      </c>
      <c r="B10" s="25">
        <f ca="1">'EF ele_warmte'!B12</f>
        <v>0.19447136175387889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3515.5816709743403</v>
      </c>
      <c r="C12" s="23">
        <f ca="1">C10*C8</f>
        <v>0</v>
      </c>
      <c r="D12" s="23">
        <f>D8*D10</f>
        <v>11569.416869167344</v>
      </c>
      <c r="E12" s="23">
        <f>E10*E8</f>
        <v>164.76587921543381</v>
      </c>
      <c r="F12" s="23">
        <f>F10*F8</f>
        <v>3124.3064680502844</v>
      </c>
      <c r="G12" s="23"/>
      <c r="H12" s="23"/>
      <c r="I12" s="23"/>
      <c r="J12" s="23">
        <f>J10*J8</f>
        <v>16.548461328131399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4386</v>
      </c>
      <c r="C26" s="36"/>
      <c r="D26" s="226"/>
    </row>
    <row r="27" spans="1:7" s="15" customFormat="1">
      <c r="A27" s="228" t="s">
        <v>800</v>
      </c>
      <c r="B27" s="37">
        <f>SUM(HH_hh_gas_aantal,HH_rest_gas_aantal)</f>
        <v>3670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3486.5</v>
      </c>
      <c r="C31" s="166" t="s">
        <v>104</v>
      </c>
      <c r="D31" s="231"/>
      <c r="G31" s="15"/>
    </row>
    <row r="32" spans="1:7">
      <c r="A32" s="169" t="s">
        <v>72</v>
      </c>
      <c r="B32" s="166">
        <f>IF((B21*($B$26-($B$27-0.05*$B$27)-$B$60))&lt;0,0,B21*($B$26-($B$27-0.05*$B$27)-$B$60))</f>
        <v>13.358979700946048</v>
      </c>
      <c r="C32" s="166" t="s">
        <v>104</v>
      </c>
      <c r="D32" s="231"/>
      <c r="G32" s="15"/>
    </row>
    <row r="33" spans="1:7">
      <c r="A33" s="169" t="s">
        <v>73</v>
      </c>
      <c r="B33" s="166">
        <f>IF((B22*($B$26-($B$27-0.05*$B$27)-$B$60))&lt;0,0,B22*($B$26-($B$27-0.05*$B$27)-$B$60))</f>
        <v>216.9233725936688</v>
      </c>
      <c r="C33" s="166" t="s">
        <v>104</v>
      </c>
      <c r="D33" s="231"/>
      <c r="G33" s="15"/>
    </row>
    <row r="34" spans="1:7">
      <c r="A34" s="169" t="s">
        <v>74</v>
      </c>
      <c r="B34" s="166">
        <f>IF((B24*($B$26-($B$27-0.05*$B$27)-$B$60))&lt;0,0,B24*($B$26-($B$27-0.05*$B$27)-$B$60))</f>
        <v>41.587113495451604</v>
      </c>
      <c r="C34" s="166">
        <f>B26*C24</f>
        <v>898.7174519915028</v>
      </c>
      <c r="D34" s="231"/>
      <c r="G34" s="15"/>
    </row>
    <row r="35" spans="1:7">
      <c r="A35" s="169" t="s">
        <v>76</v>
      </c>
      <c r="B35" s="166">
        <f>IF((B19*($B$26-($B$27-0.05*$B$27)-$B$60))&lt;0,0,B19*($B$26-($B$27-0.05*$B$27)-$B$60))</f>
        <v>5.8071166273218973</v>
      </c>
      <c r="C35" s="166">
        <f>B35/2</f>
        <v>2.9035583136609486</v>
      </c>
      <c r="D35" s="232"/>
      <c r="G35" s="15"/>
    </row>
    <row r="36" spans="1:7">
      <c r="A36" s="169" t="s">
        <v>77</v>
      </c>
      <c r="B36" s="166">
        <f>IF((B18*($B$26-($B$27-0.05*$B$27)-$B$60))&lt;0,0,B18*($B$26-($B$27-0.05*$B$27)-$B$60))</f>
        <v>563.82341758261146</v>
      </c>
      <c r="C36" s="166" t="s">
        <v>104</v>
      </c>
      <c r="D36" s="232"/>
      <c r="G36" s="15"/>
    </row>
    <row r="37" spans="1:7">
      <c r="A37" s="169" t="s">
        <v>78</v>
      </c>
      <c r="B37" s="166">
        <f>B60</f>
        <v>58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6271.4815589999989</v>
      </c>
      <c r="C5" s="17">
        <f>IF(ISERROR('Eigen informatie GS &amp; warmtenet'!B60),0,'Eigen informatie GS &amp; warmtenet'!B60)</f>
        <v>0</v>
      </c>
      <c r="D5" s="30">
        <f>SUM(D6:D12)</f>
        <v>8951.0476473000017</v>
      </c>
      <c r="E5" s="17">
        <f>SUM(E6:E12)</f>
        <v>82.840076584598023</v>
      </c>
      <c r="F5" s="17">
        <f>SUM(F6:F12)</f>
        <v>716.81793200012862</v>
      </c>
      <c r="G5" s="18"/>
      <c r="H5" s="17"/>
      <c r="I5" s="17"/>
      <c r="J5" s="17">
        <f>SUM(J6:J12)</f>
        <v>1.7353187024742138E-2</v>
      </c>
      <c r="K5" s="17"/>
      <c r="L5" s="17"/>
      <c r="M5" s="17"/>
      <c r="N5" s="17">
        <f>SUM(N6:N12)</f>
        <v>682.97695026025644</v>
      </c>
      <c r="O5" s="17">
        <f>B38*B39*B40</f>
        <v>4.8972607658411542</v>
      </c>
      <c r="P5" s="17">
        <f>B46*B47*B48/1000-B46*B47*B48/1000/B49</f>
        <v>0</v>
      </c>
      <c r="R5" s="32"/>
    </row>
    <row r="6" spans="1:18">
      <c r="A6" s="32" t="s">
        <v>53</v>
      </c>
      <c r="B6" s="37">
        <f>B26</f>
        <v>1501.35895</v>
      </c>
      <c r="C6" s="33"/>
      <c r="D6" s="37">
        <f>IF(ISERROR(TER_kantoor_gas_kWh/1000),0,TER_kantoor_gas_kWh/1000)*0.902</f>
        <v>3122.7837124000002</v>
      </c>
      <c r="E6" s="33">
        <f>$C$26*'E Balans VL '!I12/100/3.6*1000000</f>
        <v>12.080954097046865</v>
      </c>
      <c r="F6" s="33">
        <f>$C$26*('E Balans VL '!L12+'E Balans VL '!N12)/100/3.6*1000000</f>
        <v>183.55692542800546</v>
      </c>
      <c r="G6" s="34"/>
      <c r="H6" s="33"/>
      <c r="I6" s="33"/>
      <c r="J6" s="33">
        <f>$C$26*('E Balans VL '!D12+'E Balans VL '!E12)/100/3.6*1000000</f>
        <v>0</v>
      </c>
      <c r="K6" s="33"/>
      <c r="L6" s="33"/>
      <c r="M6" s="33"/>
      <c r="N6" s="33">
        <f>$C$26*'E Balans VL '!Y12/100/3.6*1000000</f>
        <v>0.80690650169891387</v>
      </c>
      <c r="O6" s="33"/>
      <c r="P6" s="33"/>
      <c r="R6" s="32"/>
    </row>
    <row r="7" spans="1:18">
      <c r="A7" s="32" t="s">
        <v>52</v>
      </c>
      <c r="B7" s="37">
        <f t="shared" ref="B7:B12" si="0">B27</f>
        <v>975.21024999999997</v>
      </c>
      <c r="C7" s="33"/>
      <c r="D7" s="37">
        <f>IF(ISERROR(TER_horeca_gas_kWh/1000),0,TER_horeca_gas_kWh/1000)*0.902</f>
        <v>1545.4191951000003</v>
      </c>
      <c r="E7" s="33">
        <f>$C$27*'E Balans VL '!I9/100/3.6*1000000</f>
        <v>10.47136338728685</v>
      </c>
      <c r="F7" s="33">
        <f>$C$27*('E Balans VL '!L9+'E Balans VL '!N9)/100/3.6*1000000</f>
        <v>117.29414550132452</v>
      </c>
      <c r="G7" s="34"/>
      <c r="H7" s="33"/>
      <c r="I7" s="33"/>
      <c r="J7" s="33">
        <f>$C$27*('E Balans VL '!D9+'E Balans VL '!E9)/100/3.6*1000000</f>
        <v>0</v>
      </c>
      <c r="K7" s="33"/>
      <c r="L7" s="33"/>
      <c r="M7" s="33"/>
      <c r="N7" s="33">
        <f>$C$27*'E Balans VL '!Y9/100/3.6*1000000</f>
        <v>0.14620378169205475</v>
      </c>
      <c r="O7" s="33"/>
      <c r="P7" s="33"/>
      <c r="R7" s="32"/>
    </row>
    <row r="8" spans="1:18">
      <c r="A8" s="6" t="s">
        <v>51</v>
      </c>
      <c r="B8" s="37">
        <f t="shared" si="0"/>
        <v>2110.0558999999998</v>
      </c>
      <c r="C8" s="33"/>
      <c r="D8" s="37">
        <f>IF(ISERROR(TER_handel_gas_kWh/1000),0,TER_handel_gas_kWh/1000)*0.902</f>
        <v>1750.3209877999998</v>
      </c>
      <c r="E8" s="33">
        <f>$C$28*'E Balans VL '!I13/100/3.6*1000000</f>
        <v>56.627440482528044</v>
      </c>
      <c r="F8" s="33">
        <f>$C$28*('E Balans VL '!L13+'E Balans VL '!N13)/100/3.6*1000000</f>
        <v>201.36436645971332</v>
      </c>
      <c r="G8" s="34"/>
      <c r="H8" s="33"/>
      <c r="I8" s="33"/>
      <c r="J8" s="33">
        <f>$C$28*('E Balans VL '!D13+'E Balans VL '!E13)/100/3.6*1000000</f>
        <v>0</v>
      </c>
      <c r="K8" s="33"/>
      <c r="L8" s="33"/>
      <c r="M8" s="33"/>
      <c r="N8" s="33">
        <f>$C$28*'E Balans VL '!Y13/100/3.6*1000000</f>
        <v>0.83645015090896879</v>
      </c>
      <c r="O8" s="33"/>
      <c r="P8" s="33"/>
      <c r="R8" s="32"/>
    </row>
    <row r="9" spans="1:18">
      <c r="A9" s="32" t="s">
        <v>50</v>
      </c>
      <c r="B9" s="37">
        <f t="shared" si="0"/>
        <v>622.45500000000004</v>
      </c>
      <c r="C9" s="33"/>
      <c r="D9" s="37">
        <f>IF(ISERROR(TER_gezond_gas_kWh/1000),0,TER_gezond_gas_kWh/1000)*0.902</f>
        <v>1356.148882</v>
      </c>
      <c r="E9" s="33">
        <f>$C$29*'E Balans VL '!I10/100/3.6*1000000</f>
        <v>1.1666833501491418</v>
      </c>
      <c r="F9" s="33">
        <f>$C$29*('E Balans VL '!L10+'E Balans VL '!N10)/100/3.6*1000000</f>
        <v>51.171480464253463</v>
      </c>
      <c r="G9" s="34"/>
      <c r="H9" s="33"/>
      <c r="I9" s="33"/>
      <c r="J9" s="33">
        <f>$C$29*('E Balans VL '!D10+'E Balans VL '!E10)/100/3.6*1000000</f>
        <v>0</v>
      </c>
      <c r="K9" s="33"/>
      <c r="L9" s="33"/>
      <c r="M9" s="33"/>
      <c r="N9" s="33">
        <f>$C$29*'E Balans VL '!Y10/100/3.6*1000000</f>
        <v>4.8431643181608308</v>
      </c>
      <c r="O9" s="33"/>
      <c r="P9" s="33"/>
      <c r="R9" s="32"/>
    </row>
    <row r="10" spans="1:18">
      <c r="A10" s="32" t="s">
        <v>49</v>
      </c>
      <c r="B10" s="37">
        <f t="shared" si="0"/>
        <v>1020.9930000000001</v>
      </c>
      <c r="C10" s="33"/>
      <c r="D10" s="37">
        <f>IF(ISERROR(TER_ander_gas_kWh/1000),0,TER_ander_gas_kWh/1000)*0.902</f>
        <v>1034.558822</v>
      </c>
      <c r="E10" s="33">
        <f>$C$30*'E Balans VL '!I14/100/3.6*1000000</f>
        <v>1.5738710550622168</v>
      </c>
      <c r="F10" s="33">
        <f>$C$30*('E Balans VL '!L14+'E Balans VL '!N14)/100/3.6*1000000</f>
        <v>158.50944511061405</v>
      </c>
      <c r="G10" s="34"/>
      <c r="H10" s="33"/>
      <c r="I10" s="33"/>
      <c r="J10" s="33">
        <f>$C$30*('E Balans VL '!D14+'E Balans VL '!E14)/100/3.6*1000000</f>
        <v>1.7332432939538258E-2</v>
      </c>
      <c r="K10" s="33"/>
      <c r="L10" s="33"/>
      <c r="M10" s="33"/>
      <c r="N10" s="33">
        <f>$C$30*'E Balans VL '!Y14/100/3.6*1000000</f>
        <v>675.45624621997797</v>
      </c>
      <c r="O10" s="33"/>
      <c r="P10" s="33"/>
      <c r="R10" s="32"/>
    </row>
    <row r="11" spans="1:18">
      <c r="A11" s="32" t="s">
        <v>54</v>
      </c>
      <c r="B11" s="37">
        <f t="shared" si="0"/>
        <v>30.579000000000001</v>
      </c>
      <c r="C11" s="33"/>
      <c r="D11" s="37">
        <f>IF(ISERROR(TER_onderwijs_gas_kWh/1000),0,TER_onderwijs_gas_kWh/1000)*0.902</f>
        <v>141.81604799999999</v>
      </c>
      <c r="E11" s="33">
        <f>$C$31*'E Balans VL '!I11/100/3.6*1000000</f>
        <v>0.77997335629567532</v>
      </c>
      <c r="F11" s="33">
        <f>$C$31*('E Balans VL '!L11+'E Balans VL '!N11)/100/3.6*1000000</f>
        <v>3.6774125705085883</v>
      </c>
      <c r="G11" s="34"/>
      <c r="H11" s="33"/>
      <c r="I11" s="33"/>
      <c r="J11" s="33">
        <f>$C$31*('E Balans VL '!D11+'E Balans VL '!E11)/100/3.6*1000000</f>
        <v>0</v>
      </c>
      <c r="K11" s="33"/>
      <c r="L11" s="33"/>
      <c r="M11" s="33"/>
      <c r="N11" s="33">
        <f>$C$31*'E Balans VL '!Y11/100/3.6*1000000</f>
        <v>6.8006949865970792E-2</v>
      </c>
      <c r="O11" s="33"/>
      <c r="P11" s="33"/>
      <c r="R11" s="32"/>
    </row>
    <row r="12" spans="1:18">
      <c r="A12" s="32" t="s">
        <v>248</v>
      </c>
      <c r="B12" s="37">
        <f t="shared" si="0"/>
        <v>10.829459</v>
      </c>
      <c r="C12" s="33"/>
      <c r="D12" s="37">
        <f>IF(ISERROR(TER_rest_gas_kWh/1000),0,TER_rest_gas_kWh/1000)*0.902</f>
        <v>0</v>
      </c>
      <c r="E12" s="33">
        <f>$C$32*'E Balans VL '!I8/100/3.6*1000000</f>
        <v>0.13979085622924373</v>
      </c>
      <c r="F12" s="33">
        <f>$C$32*('E Balans VL '!L8+'E Balans VL '!N8)/100/3.6*1000000</f>
        <v>1.2441564657091919</v>
      </c>
      <c r="G12" s="34"/>
      <c r="H12" s="33"/>
      <c r="I12" s="33"/>
      <c r="J12" s="33">
        <f>$C$32*('E Balans VL '!D8+'E Balans VL '!E8)/100/3.6*1000000</f>
        <v>2.0754085203878398E-5</v>
      </c>
      <c r="K12" s="33"/>
      <c r="L12" s="33"/>
      <c r="M12" s="33"/>
      <c r="N12" s="33">
        <f>$C$32*'E Balans VL '!Y8/100/3.6*1000000</f>
        <v>0.8199723379517847</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6271.4815589999989</v>
      </c>
      <c r="C16" s="21">
        <f t="shared" ca="1" si="1"/>
        <v>0</v>
      </c>
      <c r="D16" s="21">
        <f t="shared" ca="1" si="1"/>
        <v>8951.0476473000017</v>
      </c>
      <c r="E16" s="21">
        <f t="shared" si="1"/>
        <v>82.840076584598023</v>
      </c>
      <c r="F16" s="21">
        <f t="shared" ca="1" si="1"/>
        <v>716.81793200012862</v>
      </c>
      <c r="G16" s="21">
        <f t="shared" si="1"/>
        <v>0</v>
      </c>
      <c r="H16" s="21">
        <f t="shared" si="1"/>
        <v>0</v>
      </c>
      <c r="I16" s="21">
        <f t="shared" si="1"/>
        <v>0</v>
      </c>
      <c r="J16" s="21">
        <f t="shared" si="1"/>
        <v>1.7353187024742138E-2</v>
      </c>
      <c r="K16" s="21">
        <f t="shared" si="1"/>
        <v>0</v>
      </c>
      <c r="L16" s="21">
        <f t="shared" ca="1" si="1"/>
        <v>0</v>
      </c>
      <c r="M16" s="21">
        <f t="shared" si="1"/>
        <v>0</v>
      </c>
      <c r="N16" s="21">
        <f t="shared" ca="1" si="1"/>
        <v>682.97695026025644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0.19447136175387889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1219.6235589930691</v>
      </c>
      <c r="C20" s="23">
        <f t="shared" ref="C20:P20" ca="1" si="2">C16*C18</f>
        <v>0</v>
      </c>
      <c r="D20" s="23">
        <f t="shared" ca="1" si="2"/>
        <v>1808.1116247546004</v>
      </c>
      <c r="E20" s="23">
        <f t="shared" si="2"/>
        <v>18.804697384703751</v>
      </c>
      <c r="F20" s="23">
        <f t="shared" ca="1" si="2"/>
        <v>191.39038784403436</v>
      </c>
      <c r="G20" s="23">
        <f t="shared" si="2"/>
        <v>0</v>
      </c>
      <c r="H20" s="23">
        <f t="shared" si="2"/>
        <v>0</v>
      </c>
      <c r="I20" s="23">
        <f t="shared" si="2"/>
        <v>0</v>
      </c>
      <c r="J20" s="23">
        <f t="shared" si="2"/>
        <v>6.1430282067587169E-3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1501.35895</v>
      </c>
      <c r="C26" s="39">
        <f>IF(ISERROR(B26*3.6/1000000/'E Balans VL '!Z12*100),0,B26*3.6/1000000/'E Balans VL '!Z12*100)</f>
        <v>3.1849956538544638E-2</v>
      </c>
      <c r="D26" s="235" t="s">
        <v>692</v>
      </c>
      <c r="F26" s="6"/>
    </row>
    <row r="27" spans="1:18">
      <c r="A27" s="229" t="s">
        <v>52</v>
      </c>
      <c r="B27" s="33">
        <f>IF(ISERROR(TER_horeca_ele_kWh/1000),0,TER_horeca_ele_kWh/1000)</f>
        <v>975.21024999999997</v>
      </c>
      <c r="C27" s="39">
        <f>IF(ISERROR(B27*3.6/1000000/'E Balans VL '!Z9*100),0,B27*3.6/1000000/'E Balans VL '!Z9*100)</f>
        <v>7.3441970731394635E-2</v>
      </c>
      <c r="D27" s="235" t="s">
        <v>692</v>
      </c>
      <c r="F27" s="6"/>
    </row>
    <row r="28" spans="1:18">
      <c r="A28" s="169" t="s">
        <v>51</v>
      </c>
      <c r="B28" s="33">
        <f>IF(ISERROR(TER_handel_ele_kWh/1000),0,TER_handel_ele_kWh/1000)</f>
        <v>2110.0558999999998</v>
      </c>
      <c r="C28" s="39">
        <f>IF(ISERROR(B28*3.6/1000000/'E Balans VL '!Z13*100),0,B28*3.6/1000000/'E Balans VL '!Z13*100)</f>
        <v>6.1247446265615395E-2</v>
      </c>
      <c r="D28" s="235" t="s">
        <v>692</v>
      </c>
      <c r="F28" s="6"/>
    </row>
    <row r="29" spans="1:18">
      <c r="A29" s="229" t="s">
        <v>50</v>
      </c>
      <c r="B29" s="33">
        <f>IF(ISERROR(TER_gezond_ele_kWh/1000),0,TER_gezond_ele_kWh/1000)</f>
        <v>622.45500000000004</v>
      </c>
      <c r="C29" s="39">
        <f>IF(ISERROR(B29*3.6/1000000/'E Balans VL '!Z10*100),0,B29*3.6/1000000/'E Balans VL '!Z10*100)</f>
        <v>6.2775329057821044E-2</v>
      </c>
      <c r="D29" s="235" t="s">
        <v>692</v>
      </c>
      <c r="F29" s="6"/>
    </row>
    <row r="30" spans="1:18">
      <c r="A30" s="229" t="s">
        <v>49</v>
      </c>
      <c r="B30" s="33">
        <f>IF(ISERROR(TER_ander_ele_kWh/1000),0,TER_ander_ele_kWh/1000)</f>
        <v>1020.9930000000001</v>
      </c>
      <c r="C30" s="39">
        <f>IF(ISERROR(B30*3.6/1000000/'E Balans VL '!Z14*100),0,B30*3.6/1000000/'E Balans VL '!Z14*100)</f>
        <v>7.4086971048454353E-2</v>
      </c>
      <c r="D30" s="235" t="s">
        <v>692</v>
      </c>
      <c r="F30" s="6"/>
    </row>
    <row r="31" spans="1:18">
      <c r="A31" s="229" t="s">
        <v>54</v>
      </c>
      <c r="B31" s="33">
        <f>IF(ISERROR(TER_onderwijs_ele_kWh/1000),0,TER_onderwijs_ele_kWh/1000)</f>
        <v>30.579000000000001</v>
      </c>
      <c r="C31" s="39">
        <f>IF(ISERROR(B31*3.6/1000000/'E Balans VL '!Z11*100),0,B31*3.6/1000000/'E Balans VL '!Z11*100)</f>
        <v>8.7162602348626501E-3</v>
      </c>
      <c r="D31" s="235" t="s">
        <v>692</v>
      </c>
    </row>
    <row r="32" spans="1:18">
      <c r="A32" s="229" t="s">
        <v>248</v>
      </c>
      <c r="B32" s="33">
        <f>IF(ISERROR(TER_rest_ele_kWh/1000),0,TER_rest_ele_kWh/1000)</f>
        <v>10.829459</v>
      </c>
      <c r="C32" s="39">
        <f>IF(ISERROR(B32*3.6/1000000/'E Balans VL '!Z8*100),0,B32*3.6/1000000/'E Balans VL '!Z8*100)</f>
        <v>8.8712722270475213E-5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898.07698200000004</v>
      </c>
      <c r="C5" s="17">
        <f>IF(ISERROR('Eigen informatie GS &amp; warmtenet'!B61),0,'Eigen informatie GS &amp; warmtenet'!B61)</f>
        <v>0</v>
      </c>
      <c r="D5" s="30">
        <f>SUM(D6:D15)</f>
        <v>1693.6294760000001</v>
      </c>
      <c r="E5" s="17">
        <f>SUM(E6:E15)</f>
        <v>134.02868779036743</v>
      </c>
      <c r="F5" s="17">
        <f>SUM(F6:F15)</f>
        <v>414.78692648009962</v>
      </c>
      <c r="G5" s="18"/>
      <c r="H5" s="17"/>
      <c r="I5" s="17"/>
      <c r="J5" s="17">
        <f>SUM(J6:J15)</f>
        <v>4.9017946208740233E-2</v>
      </c>
      <c r="K5" s="17"/>
      <c r="L5" s="17"/>
      <c r="M5" s="17"/>
      <c r="N5" s="17">
        <f>SUM(N6:N15)</f>
        <v>47.399124690590625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48.734999999999999</v>
      </c>
      <c r="C8" s="33"/>
      <c r="D8" s="37">
        <f>IF( ISERROR(IND_metaal_Gas_kWH/1000),0,IND_metaal_Gas_kWH/1000)*0.902</f>
        <v>0</v>
      </c>
      <c r="E8" s="33">
        <f>C30*'E Balans VL '!I18/100/3.6*1000000</f>
        <v>0.35158881958017635</v>
      </c>
      <c r="F8" s="33">
        <f>C30*'E Balans VL '!L18/100/3.6*1000000+C30*'E Balans VL '!N18/100/3.6*1000000</f>
        <v>4.6094323895478526</v>
      </c>
      <c r="G8" s="34"/>
      <c r="H8" s="33"/>
      <c r="I8" s="33"/>
      <c r="J8" s="40">
        <f>C30*'E Balans VL '!D18/100/3.6*1000000+C30*'E Balans VL '!E18/100/3.6*1000000</f>
        <v>4.9017946208740233E-2</v>
      </c>
      <c r="K8" s="33"/>
      <c r="L8" s="33"/>
      <c r="M8" s="33"/>
      <c r="N8" s="33">
        <f>C30*'E Balans VL '!Y18/100/3.6*1000000</f>
        <v>0.61613934008020343</v>
      </c>
      <c r="O8" s="33"/>
      <c r="P8" s="33"/>
      <c r="R8" s="32"/>
    </row>
    <row r="9" spans="1:18">
      <c r="A9" s="6" t="s">
        <v>32</v>
      </c>
      <c r="B9" s="37">
        <f t="shared" si="0"/>
        <v>479.60698200000002</v>
      </c>
      <c r="C9" s="33"/>
      <c r="D9" s="37">
        <f>IF( ISERROR(IND_andere_gas_kWh/1000),0,IND_andere_gas_kWh/1000)*0.902</f>
        <v>1128.006924</v>
      </c>
      <c r="E9" s="33">
        <f>C31*'E Balans VL '!I19/100/3.6*1000000</f>
        <v>132.90550786100295</v>
      </c>
      <c r="F9" s="33">
        <f>C31*'E Balans VL '!L19/100/3.6*1000000+C31*'E Balans VL '!N19/100/3.6*1000000</f>
        <v>397.4993031202759</v>
      </c>
      <c r="G9" s="34"/>
      <c r="H9" s="33"/>
      <c r="I9" s="33"/>
      <c r="J9" s="40">
        <f>C31*'E Balans VL '!D19/100/3.6*1000000+C31*'E Balans VL '!E19/100/3.6*1000000</f>
        <v>0</v>
      </c>
      <c r="K9" s="33"/>
      <c r="L9" s="33"/>
      <c r="M9" s="33"/>
      <c r="N9" s="33">
        <f>C31*'E Balans VL '!Y19/100/3.6*1000000</f>
        <v>34.813600664742438</v>
      </c>
      <c r="O9" s="33"/>
      <c r="P9" s="33"/>
      <c r="R9" s="32"/>
    </row>
    <row r="10" spans="1:18">
      <c r="A10" s="6" t="s">
        <v>40</v>
      </c>
      <c r="B10" s="37">
        <f t="shared" si="0"/>
        <v>187.874</v>
      </c>
      <c r="C10" s="33"/>
      <c r="D10" s="37">
        <f>IF( ISERROR(IND_voed_gas_kWh/1000),0,IND_voed_gas_kWh/1000)*0.902</f>
        <v>291.27564400000006</v>
      </c>
      <c r="E10" s="33">
        <f>C32*'E Balans VL '!I20/100/3.6*1000000</f>
        <v>0.33260061700375054</v>
      </c>
      <c r="F10" s="33">
        <f>C32*'E Balans VL '!L20/100/3.6*1000000+C32*'E Balans VL '!N20/100/3.6*1000000</f>
        <v>10.146861112325697</v>
      </c>
      <c r="G10" s="34"/>
      <c r="H10" s="33"/>
      <c r="I10" s="33"/>
      <c r="J10" s="40">
        <f>C32*'E Balans VL '!D20/100/3.6*1000000+C32*'E Balans VL '!E20/100/3.6*1000000</f>
        <v>0</v>
      </c>
      <c r="K10" s="33"/>
      <c r="L10" s="33"/>
      <c r="M10" s="33"/>
      <c r="N10" s="33">
        <f>C32*'E Balans VL '!Y20/100/3.6*1000000</f>
        <v>10.916914211617028</v>
      </c>
      <c r="O10" s="33"/>
      <c r="P10" s="33"/>
      <c r="R10" s="32"/>
    </row>
    <row r="11" spans="1:18">
      <c r="A11" s="6" t="s">
        <v>39</v>
      </c>
      <c r="B11" s="37">
        <f t="shared" si="0"/>
        <v>21.893000000000001</v>
      </c>
      <c r="C11" s="33"/>
      <c r="D11" s="37">
        <f>IF( ISERROR(IND_textiel_gas_kWh/1000),0,IND_textiel_gas_kWh/1000)*0.902</f>
        <v>0</v>
      </c>
      <c r="E11" s="33">
        <f>C33*'E Balans VL '!I21/100/3.6*1000000</f>
        <v>7.7175097383280336E-2</v>
      </c>
      <c r="F11" s="33">
        <f>C33*'E Balans VL '!L21/100/3.6*1000000+C33*'E Balans VL '!N21/100/3.6*1000000</f>
        <v>0.64259228794583334</v>
      </c>
      <c r="G11" s="34"/>
      <c r="H11" s="33"/>
      <c r="I11" s="33"/>
      <c r="J11" s="40">
        <f>C33*'E Balans VL '!D21/100/3.6*1000000+C33*'E Balans VL '!E21/100/3.6*1000000</f>
        <v>0</v>
      </c>
      <c r="K11" s="33"/>
      <c r="L11" s="33"/>
      <c r="M11" s="33"/>
      <c r="N11" s="33">
        <f>C33*'E Balans VL '!Y21/100/3.6*1000000</f>
        <v>0.96460244609856816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159.96799999999999</v>
      </c>
      <c r="C14" s="33"/>
      <c r="D14" s="37">
        <f>IF( ISERROR(IND_chemie_gas_kWh/1000),0,IND_chemie_gas_kWh/1000)*0.902</f>
        <v>199.00645599999999</v>
      </c>
      <c r="E14" s="33">
        <f>C36*'E Balans VL '!I24/100/3.6*1000000</f>
        <v>0.3618153953972793</v>
      </c>
      <c r="F14" s="33">
        <f>C36*'E Balans VL '!L24/100/3.6*1000000+C36*'E Balans VL '!N24/100/3.6*1000000</f>
        <v>1.8887375700042961</v>
      </c>
      <c r="G14" s="34"/>
      <c r="H14" s="33"/>
      <c r="I14" s="33"/>
      <c r="J14" s="40">
        <f>C36*'E Balans VL '!D24/100/3.6*1000000+C36*'E Balans VL '!E24/100/3.6*1000000</f>
        <v>0</v>
      </c>
      <c r="K14" s="33"/>
      <c r="L14" s="33"/>
      <c r="M14" s="33"/>
      <c r="N14" s="33">
        <f>C36*'E Balans VL '!Y24/100/3.6*1000000</f>
        <v>8.7868028052388913E-2</v>
      </c>
      <c r="O14" s="33"/>
      <c r="P14" s="33"/>
      <c r="R14" s="32"/>
    </row>
    <row r="15" spans="1:18">
      <c r="A15" s="6" t="s">
        <v>258</v>
      </c>
      <c r="B15" s="37">
        <f t="shared" si="0"/>
        <v>0</v>
      </c>
      <c r="C15" s="33"/>
      <c r="D15" s="37">
        <f>IF( ISERROR(IND_rest_gas_kWh/1000),0,IND_rest_gas_kWh/1000)*0.902</f>
        <v>75.340451999999999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898.07698200000004</v>
      </c>
      <c r="C18" s="21">
        <f>C5+C16</f>
        <v>0</v>
      </c>
      <c r="D18" s="21">
        <f>MAX((D5+D16),0)</f>
        <v>1693.6294760000001</v>
      </c>
      <c r="E18" s="21">
        <f>MAX((E5+E16),0)</f>
        <v>134.02868779036743</v>
      </c>
      <c r="F18" s="21">
        <f>MAX((F5+F16),0)</f>
        <v>414.78692648009962</v>
      </c>
      <c r="G18" s="21"/>
      <c r="H18" s="21"/>
      <c r="I18" s="21"/>
      <c r="J18" s="21">
        <f>MAX((J5+J16),0)</f>
        <v>4.9017946208740233E-2</v>
      </c>
      <c r="K18" s="21"/>
      <c r="L18" s="21">
        <f>MAX((L5+L16),0)</f>
        <v>0</v>
      </c>
      <c r="M18" s="21"/>
      <c r="N18" s="21">
        <f>MAX((N5+N16),0)</f>
        <v>47.399124690590625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0.19447136175387889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174.65025364935377</v>
      </c>
      <c r="C22" s="23">
        <f ca="1">C18*C20</f>
        <v>0</v>
      </c>
      <c r="D22" s="23">
        <f>D18*D20</f>
        <v>342.11315415200005</v>
      </c>
      <c r="E22" s="23">
        <f>E18*E20</f>
        <v>30.424512128413408</v>
      </c>
      <c r="F22" s="23">
        <f>F18*F20</f>
        <v>110.74810937018661</v>
      </c>
      <c r="G22" s="23"/>
      <c r="H22" s="23"/>
      <c r="I22" s="23"/>
      <c r="J22" s="23">
        <f>J18*J20</f>
        <v>1.7352352957894043E-2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48.734999999999999</v>
      </c>
      <c r="C30" s="39">
        <f>IF(ISERROR(B30*3.6/1000000/'E Balans VL '!Z18*100),0,B30*3.6/1000000/'E Balans VL '!Z18*100)</f>
        <v>2.8133955064564096E-3</v>
      </c>
      <c r="D30" s="235" t="s">
        <v>692</v>
      </c>
    </row>
    <row r="31" spans="1:18">
      <c r="A31" s="6" t="s">
        <v>32</v>
      </c>
      <c r="B31" s="37">
        <f>IF( ISERROR(IND_ander_ele_kWh/1000),0,IND_ander_ele_kWh/1000)</f>
        <v>479.60698200000002</v>
      </c>
      <c r="C31" s="39">
        <f>IF(ISERROR(B31*3.6/1000000/'E Balans VL '!Z19*100),0,B31*3.6/1000000/'E Balans VL '!Z19*100)</f>
        <v>2.4122676608762932E-2</v>
      </c>
      <c r="D31" s="235" t="s">
        <v>692</v>
      </c>
    </row>
    <row r="32" spans="1:18">
      <c r="A32" s="169" t="s">
        <v>40</v>
      </c>
      <c r="B32" s="37">
        <f>IF( ISERROR(IND_voed_ele_kWh/1000),0,IND_voed_ele_kWh/1000)</f>
        <v>187.874</v>
      </c>
      <c r="C32" s="39">
        <f>IF(ISERROR(B32*3.6/1000000/'E Balans VL '!Z20*100),0,B32*3.6/1000000/'E Balans VL '!Z20*100)</f>
        <v>6.2573198424207901E-3</v>
      </c>
      <c r="D32" s="235" t="s">
        <v>692</v>
      </c>
    </row>
    <row r="33" spans="1:5">
      <c r="A33" s="169" t="s">
        <v>39</v>
      </c>
      <c r="B33" s="37">
        <f>IF( ISERROR(IND_textiel_ele_kWh/1000),0,IND_textiel_ele_kWh/1000)</f>
        <v>21.893000000000001</v>
      </c>
      <c r="C33" s="39">
        <f>IF(ISERROR(B33*3.6/1000000/'E Balans VL '!Z21*100),0,B33*3.6/1000000/'E Balans VL '!Z21*100)</f>
        <v>3.4133973416583768E-3</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159.96799999999999</v>
      </c>
      <c r="C36" s="39">
        <f>IF(ISERROR(B36*3.6/1000000/'E Balans VL '!Z24*100),0,B36*3.6/1000000/'E Balans VL '!Z24*100)</f>
        <v>4.2193530877497653E-3</v>
      </c>
      <c r="D36" s="235" t="s">
        <v>692</v>
      </c>
    </row>
    <row r="37" spans="1:5">
      <c r="A37" s="169" t="s">
        <v>258</v>
      </c>
      <c r="B37" s="37">
        <f>IF( ISERROR(IND_rest_ele_kWh/1000),0,IND_rest_ele_kWh/1000)</f>
        <v>0</v>
      </c>
      <c r="C37" s="39">
        <f>IF(ISERROR(B37*3.6/1000000/'E Balans VL '!Z15*100),0,B37*3.6/1000000/'E Balans VL '!Z15*100)</f>
        <v>0</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286.47800000000001</v>
      </c>
      <c r="C5" s="17">
        <f>'Eigen informatie GS &amp; warmtenet'!B62</f>
        <v>0</v>
      </c>
      <c r="D5" s="30">
        <f>IF(ISERROR(SUM(LB_lb_gas_kWh,LB_rest_gas_kWh)/1000),0,SUM(LB_lb_gas_kWh,LB_rest_gas_kWh)/1000)*0.902</f>
        <v>59.477879999999999</v>
      </c>
      <c r="E5" s="17">
        <f>B17*'E Balans VL '!I25/3.6*1000000/100</f>
        <v>8.9408839112100154</v>
      </c>
      <c r="F5" s="17">
        <f>B17*('E Balans VL '!L25/3.6*1000000+'E Balans VL '!N25/3.6*1000000)/100</f>
        <v>1012.4449871767522</v>
      </c>
      <c r="G5" s="18"/>
      <c r="H5" s="17"/>
      <c r="I5" s="17"/>
      <c r="J5" s="17">
        <f>('E Balans VL '!D25+'E Balans VL '!E25)/3.6*1000000*landbouw!B17/100</f>
        <v>78.92667570751864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286.47800000000001</v>
      </c>
      <c r="C8" s="21">
        <f>C5+C6</f>
        <v>0</v>
      </c>
      <c r="D8" s="21">
        <f>MAX((D5+D6),0)</f>
        <v>59.477879999999999</v>
      </c>
      <c r="E8" s="21">
        <f>MAX((E5+E6),0)</f>
        <v>8.9408839112100154</v>
      </c>
      <c r="F8" s="21">
        <f>MAX((F5+F6),0)</f>
        <v>1012.4449871767522</v>
      </c>
      <c r="G8" s="21"/>
      <c r="H8" s="21"/>
      <c r="I8" s="21"/>
      <c r="J8" s="21">
        <f>MAX((J5+J6),0)</f>
        <v>78.92667570751864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0.19447136175387889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55.711766772527717</v>
      </c>
      <c r="C12" s="23">
        <f ca="1">C8*C10</f>
        <v>0</v>
      </c>
      <c r="D12" s="23">
        <f>D8*D10</f>
        <v>12.014531760000001</v>
      </c>
      <c r="E12" s="23">
        <f>E8*E10</f>
        <v>2.0295806478446736</v>
      </c>
      <c r="F12" s="23">
        <f>F8*F10</f>
        <v>270.32281157619286</v>
      </c>
      <c r="G12" s="23"/>
      <c r="H12" s="23"/>
      <c r="I12" s="23"/>
      <c r="J12" s="23">
        <f>J8*J10</f>
        <v>27.940043200461599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4.2587008368831988E-2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14.548755512443789</v>
      </c>
      <c r="C26" s="245">
        <f>B26*'GWP N2O_CH4'!B5</f>
        <v>305.52386576131954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12.108689468636314</v>
      </c>
      <c r="C27" s="245">
        <f>B27*'GWP N2O_CH4'!B5</f>
        <v>254.2824788413626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1.5025681851240773</v>
      </c>
      <c r="C28" s="245">
        <f>B28*'GWP N2O_CH4'!B4</f>
        <v>465.79613738846399</v>
      </c>
      <c r="D28" s="50"/>
    </row>
    <row r="29" spans="1:4">
      <c r="A29" s="41" t="s">
        <v>265</v>
      </c>
      <c r="B29" s="245">
        <f>B34*'ha_N2O bodem landbouw'!B4</f>
        <v>1.0317515172922065</v>
      </c>
      <c r="C29" s="245">
        <f>B29*'GWP N2O_CH4'!B4</f>
        <v>319.84297036058399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2.26244531473796E-4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2.8653481320293567E-4</v>
      </c>
      <c r="C5" s="431" t="s">
        <v>204</v>
      </c>
      <c r="D5" s="416">
        <f>SUM(D6:D11)</f>
        <v>4.5333220480000468E-4</v>
      </c>
      <c r="E5" s="416">
        <f>SUM(E6:E11)</f>
        <v>4.3564492638078817E-4</v>
      </c>
      <c r="F5" s="429" t="s">
        <v>204</v>
      </c>
      <c r="G5" s="416">
        <f>SUM(G6:G11)</f>
        <v>0.24051210467246456</v>
      </c>
      <c r="H5" s="416">
        <f>SUM(H6:H11)</f>
        <v>4.1191535956809661E-2</v>
      </c>
      <c r="I5" s="431" t="s">
        <v>204</v>
      </c>
      <c r="J5" s="431" t="s">
        <v>204</v>
      </c>
      <c r="K5" s="431" t="s">
        <v>204</v>
      </c>
      <c r="L5" s="431" t="s">
        <v>204</v>
      </c>
      <c r="M5" s="416">
        <f>SUM(M6:M11)</f>
        <v>1.6590832418226835E-2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5.6197100616332124E-5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9.4866170196683579E-5</v>
      </c>
      <c r="E6" s="882">
        <f>vkm_GW_PW*SUMIFS(TableVerdeelsleutelVkm[LPG],TableVerdeelsleutelVkm[Voertuigtype],"Lichte voertuigen")*SUMIFS(TableECFTransport[EnergieConsumptieFactor (PJ per km)],TableECFTransport[Index],CONCATENATE($A6,"_LPG_LPG"))</f>
        <v>8.3128609520344523E-5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2.5967763113946187E-2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8.4620784555373679E-3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2.0571087872583911E-3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3.520552912096827E-7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1.3436965966642537E-2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1.8677813446999689E-7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7.7453869708372577E-4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6.0621680734342865E-5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1.3066928906929002E-4</v>
      </c>
      <c r="E8" s="419">
        <f>vkm_NGW_PW*SUMIFS(TableVerdeelsleutelVkm[LPG],TableVerdeelsleutelVkm[Voertuigtype],"Lichte voertuigen")*SUMIFS(TableECFTransport[EnergieConsumptieFactor (PJ per km)],TableECFTransport[Index],CONCATENATE($A8,"_LPG_LPG"))</f>
        <v>1.0968535538285878E-4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3.1656519693694089E-2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1.1486755476007983E-2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2.5852861771745381E-3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2.6037502473061255E-8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1.277579280778318E-3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1.6673659482972715E-8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7.364263842095473E-5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1.6660182801604099E-4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2.2779674553403107E-4</v>
      </c>
      <c r="E10" s="419">
        <f>vkm_SW_PW*SUMIFS(TableVerdeelsleutelVkm[LPG],TableVerdeelsleutelVkm[Voertuigtype],"Lichte voertuigen")*SUMIFS(TableECFTransport[EnergieConsumptieFactor (PJ per km)],TableECFTransport[Index],CONCATENATE($A10,"_LPG_LPG"))</f>
        <v>2.4283096147758484E-4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6.9126609778747711E-2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2.124100447467479E-2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5.3909627517251327E-3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2.7361110425369875E-6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9.9046666838655734E-2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1.4940987955682683E-6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5.7092933665640905E-3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79.593003667482137</v>
      </c>
      <c r="C14" s="21"/>
      <c r="D14" s="21">
        <f t="shared" ref="D14:M14" si="0">((D5)*10^9/3600)+D12</f>
        <v>125.92561244444573</v>
      </c>
      <c r="E14" s="21">
        <f t="shared" si="0"/>
        <v>121.01247955021893</v>
      </c>
      <c r="F14" s="21"/>
      <c r="G14" s="21">
        <f t="shared" si="0"/>
        <v>66808.917964573484</v>
      </c>
      <c r="H14" s="21">
        <f t="shared" si="0"/>
        <v>11442.093321336017</v>
      </c>
      <c r="I14" s="21"/>
      <c r="J14" s="21"/>
      <c r="K14" s="21"/>
      <c r="L14" s="21"/>
      <c r="M14" s="21">
        <f t="shared" si="0"/>
        <v>4608.5645606185653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0.19447136175387889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15.478559809296728</v>
      </c>
      <c r="C18" s="23"/>
      <c r="D18" s="23">
        <f t="shared" ref="D18:M18" si="1">D14*D16</f>
        <v>25.436973713778041</v>
      </c>
      <c r="E18" s="23">
        <f t="shared" si="1"/>
        <v>27.469832857899696</v>
      </c>
      <c r="F18" s="23"/>
      <c r="G18" s="23">
        <f t="shared" si="1"/>
        <v>17837.98109654112</v>
      </c>
      <c r="H18" s="23">
        <f t="shared" si="1"/>
        <v>2849.0812370126682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5.7519096281120239E-5</v>
      </c>
      <c r="C50" s="315">
        <f t="shared" ref="C50:P50" si="2">SUM(C51:C52)</f>
        <v>0</v>
      </c>
      <c r="D50" s="315">
        <f t="shared" si="2"/>
        <v>0</v>
      </c>
      <c r="E50" s="315">
        <f t="shared" si="2"/>
        <v>0</v>
      </c>
      <c r="F50" s="315">
        <f t="shared" si="2"/>
        <v>0</v>
      </c>
      <c r="G50" s="315">
        <f t="shared" si="2"/>
        <v>4.1673451566463524E-3</v>
      </c>
      <c r="H50" s="315">
        <f t="shared" si="2"/>
        <v>0</v>
      </c>
      <c r="I50" s="315">
        <f t="shared" si="2"/>
        <v>0</v>
      </c>
      <c r="J50" s="315">
        <f t="shared" si="2"/>
        <v>0</v>
      </c>
      <c r="K50" s="315">
        <f t="shared" si="2"/>
        <v>0</v>
      </c>
      <c r="L50" s="315">
        <f t="shared" si="2"/>
        <v>0</v>
      </c>
      <c r="M50" s="315">
        <f t="shared" si="2"/>
        <v>2.3571745241815863E-4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5.7519096281120239E-5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4.1673451566463524E-3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2.3571745241815863E-4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15.977526744755622</v>
      </c>
      <c r="C54" s="21">
        <f t="shared" ref="C54:P54" si="3">(C50)*10^9/3600</f>
        <v>0</v>
      </c>
      <c r="D54" s="21">
        <f t="shared" si="3"/>
        <v>0</v>
      </c>
      <c r="E54" s="21">
        <f t="shared" si="3"/>
        <v>0</v>
      </c>
      <c r="F54" s="21">
        <f t="shared" si="3"/>
        <v>0</v>
      </c>
      <c r="G54" s="21">
        <f t="shared" si="3"/>
        <v>1157.595876846209</v>
      </c>
      <c r="H54" s="21">
        <f t="shared" si="3"/>
        <v>0</v>
      </c>
      <c r="I54" s="21">
        <f t="shared" si="3"/>
        <v>0</v>
      </c>
      <c r="J54" s="21">
        <f t="shared" si="3"/>
        <v>0</v>
      </c>
      <c r="K54" s="21">
        <f t="shared" si="3"/>
        <v>0</v>
      </c>
      <c r="L54" s="21">
        <f t="shared" si="3"/>
        <v>0</v>
      </c>
      <c r="M54" s="21">
        <f t="shared" si="3"/>
        <v>65.477070116155176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0.19447136175387889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3.1071713835116452</v>
      </c>
      <c r="C58" s="23">
        <f t="shared" ref="C58:P58" ca="1" si="4">C54*C56</f>
        <v>0</v>
      </c>
      <c r="D58" s="23">
        <f t="shared" si="4"/>
        <v>0</v>
      </c>
      <c r="E58" s="23">
        <f t="shared" si="4"/>
        <v>0</v>
      </c>
      <c r="F58" s="23">
        <f t="shared" si="4"/>
        <v>0</v>
      </c>
      <c r="G58" s="23">
        <f t="shared" si="4"/>
        <v>309.07809911793782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3179.986145055414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3179.986145055414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2021-11-11T12:36:36Z</dcterms:modified>
</cp:coreProperties>
</file>