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54C26D44-F7BF-468E-8F26-7FCFA955AEB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10" i="22" l="1"/>
  <c r="A3" i="23"/>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6"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<sst xmlns="http://schemas.openxmlformats.org/spreadsheetml/2006/main" count="2472" uniqueCount="900">
  <si>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</si>
  <si>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</si>
  <si>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</si>
  <si>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</si>
  <si>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</si>
  <si>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</si>
  <si>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</si>
  <si>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</si>
  <si>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</si>
  <si>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</si>
  <si>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</si>
  <si>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</si>
  <si>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</si>
  <si>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</si>
  <si>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</si>
  <si>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</si>
  <si>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</si>
  <si>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</si>
  <si>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</si>
  <si>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</si>
  <si>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</si>
  <si>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</si>
  <si>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</si>
  <si>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</si>
  <si>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</si>
  <si>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</si>
  <si>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</si>
  <si>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</si>
  <si>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</si>
  <si>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</si>
  <si>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</si>
  <si>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</si>
  <si>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</si>
  <si>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</si>
  <si>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</si>
  <si>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</si>
  <si>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</si>
  <si>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</si>
  <si>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</si>
  <si>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</si>
  <si>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</si>
  <si>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</si>
  <si>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</si>
  <si>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</si>
  <si>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</si>
  <si>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</si>
  <si>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</si>
  <si>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</si>
  <si>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</si>
  <si>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</si>
  <si>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</si>
  <si>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</si>
  <si>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</si>
  <si>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</si>
  <si>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</si>
  <si>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</si>
  <si>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</si>
  <si>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</si>
  <si>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</si>
  <si>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</si>
  <si>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</si>
  <si>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</si>
  <si>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</si>
  <si>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</si>
  <si>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</si>
  <si>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</si>
  <si>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</si>
  <si>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</si>
  <si>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</si>
  <si>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</si>
  <si>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</si>
  <si>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</si>
  <si>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</si>
  <si>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</si>
  <si>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</si>
  <si>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</si>
  <si>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</si>
  <si>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</si>
  <si>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</si>
  <si>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</si>
  <si>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</si>
  <si>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</si>
  <si>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</si>
  <si>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</si>
  <si>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</si>
  <si>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</si>
  <si>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</si>
  <si>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</si>
  <si>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</si>
  <si>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</si>
  <si>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</si>
  <si>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</si>
  <si>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</si>
  <si>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</si>
  <si>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</si>
  <si>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</si>
  <si>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</si>
  <si>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</si>
  <si>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</si>
  <si>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</si>
  <si>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</si>
  <si>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</si>
  <si>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</si>
  <si>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</si>
  <si>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</si>
  <si>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</si>
  <si>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</si>
  <si>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</si>
  <si>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</si>
  <si>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</si>
  <si>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</si>
  <si>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</si>
  <si>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</si>
  <si>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</si>
  <si>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</si>
  <si>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</si>
  <si>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</si>
  <si>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</si>
  <si>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</si>
  <si>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</si>
  <si>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</si>
  <si>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</si>
  <si>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</si>
  <si>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</si>
  <si>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</si>
  <si>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</si>
  <si>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</si>
  <si>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</si>
  <si>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</si>
  <si>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</si>
  <si>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</si>
  <si>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</si>
  <si>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</si>
  <si>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</si>
  <si>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</si>
  <si>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</si>
  <si>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</si>
  <si>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</si>
  <si>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</si>
  <si>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</si>
  <si>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</si>
  <si>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</si>
  <si>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</si>
  <si>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</si>
  <si>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</si>
  <si>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</si>
  <si>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</si>
  <si>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</si>
  <si>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</si>
  <si>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</si>
  <si>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</si>
  <si>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</si>
  <si>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</si>
  <si>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</si>
  <si>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</si>
  <si>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</si>
  <si>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</si>
  <si>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</si>
  <si>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</si>
  <si>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</si>
  <si>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</si>
  <si>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</si>
  <si>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</si>
  <si>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</si>
  <si>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</si>
  <si>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</si>
  <si>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</si>
  <si>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</si>
  <si>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</si>
  <si>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</si>
  <si>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</si>
  <si>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</si>
  <si>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</si>
  <si>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</si>
  <si>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</si>
  <si>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</si>
  <si>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</si>
  <si>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</si>
  <si>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</si>
  <si>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</si>
  <si>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</si>
  <si>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</si>
  <si>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</si>
  <si>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</si>
  <si>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</si>
  <si>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</si>
  <si>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</si>
  <si>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</si>
  <si>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</si>
  <si>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</si>
  <si>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</si>
  <si>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</si>
  <si>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</si>
  <si>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</si>
  <si>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</si>
  <si>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</si>
  <si>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</si>
  <si>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</si>
  <si>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</si>
  <si>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</si>
  <si>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</si>
  <si>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</si>
  <si>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</si>
  <si>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</si>
  <si>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</si>
  <si>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</si>
  <si>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</si>
  <si>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</si>
  <si>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</si>
  <si>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</si>
  <si>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</si>
  <si>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</si>
  <si>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</si>
  <si>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</si>
  <si>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</si>
  <si>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</si>
  <si>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</si>
  <si>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</si>
  <si>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</si>
  <si>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</si>
  <si>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</si>
  <si>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</si>
  <si>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</si>
  <si>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</si>
  <si>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</si>
  <si>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</si>
  <si>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</si>
  <si>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</si>
  <si>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</si>
  <si>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</si>
  <si>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</si>
  <si>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</si>
  <si>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</si>
  <si>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</si>
  <si>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</si>
  <si>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</si>
  <si>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</si>
  <si>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</si>
  <si>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</si>
  <si>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</si>
  <si>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</si>
  <si>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</si>
  <si>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</si>
  <si>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</si>
  <si>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</si>
  <si>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</si>
  <si>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</si>
  <si>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</si>
  <si>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</si>
  <si>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</si>
  <si>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</si>
  <si>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</si>
  <si>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</si>
  <si>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</si>
  <si>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</si>
  <si>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</si>
  <si>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</si>
  <si>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</si>
  <si>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</si>
  <si>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</si>
  <si>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</si>
  <si>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</si>
  <si>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</si>
  <si>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</si>
  <si>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</si>
  <si>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</si>
  <si>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</si>
  <si>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</si>
  <si>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</si>
  <si>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</si>
  <si>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</si>
  <si>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</si>
  <si>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</si>
  <si>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</si>
  <si>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</si>
  <si>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</si>
  <si>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</si>
  <si>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</si>
  <si>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</si>
  <si>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</si>
  <si>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</si>
  <si>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</si>
  <si>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</si>
  <si>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</si>
  <si>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</si>
  <si>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</si>
  <si>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</si>
  <si>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</si>
  <si>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</si>
  <si>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</si>
  <si>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</si>
  <si>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</si>
  <si>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</si>
  <si>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</si>
  <si>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</si>
  <si>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</si>
  <si>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</si>
  <si>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</si>
  <si>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</si>
  <si>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</si>
  <si>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</si>
  <si>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</si>
  <si>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</si>
  <si>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</si>
  <si>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</si>
  <si>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</si>
  <si>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</si>
  <si>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</si>
  <si>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</si>
  <si>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</si>
  <si>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</si>
  <si>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</si>
  <si>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</si>
  <si>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</si>
  <si>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</si>
  <si>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</si>
  <si>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</si>
  <si>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</si>
  <si>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</si>
  <si>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</si>
  <si>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</si>
  <si>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</si>
  <si>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</si>
  <si>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</si>
  <si>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</si>
  <si>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</si>
  <si>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</si>
  <si>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</si>
  <si>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</si>
  <si>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</si>
  <si>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</si>
  <si>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</si>
  <si>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</si>
  <si>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</si>
  <si>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</si>
  <si>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</si>
  <si>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</si>
  <si>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</si>
  <si>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</si>
  <si>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</si>
  <si>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</si>
  <si>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</si>
  <si>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</si>
  <si>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</si>
  <si>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</si>
  <si>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</si>
  <si>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</si>
  <si>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</si>
  <si>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</si>
  <si>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</si>
  <si>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</si>
  <si>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</si>
  <si>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</si>
  <si>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</si>
  <si>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</si>
  <si>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</si>
  <si>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</si>
  <si>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</si>
  <si>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</si>
  <si>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</si>
  <si>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</si>
  <si>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</si>
  <si>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</si>
  <si>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</si>
  <si>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</si>
  <si>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</si>
  <si>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</si>
  <si>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</si>
  <si>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</si>
  <si>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</si>
  <si>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</si>
  <si>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</si>
  <si>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</si>
  <si>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</si>
  <si>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</si>
  <si>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</si>
  <si>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</si>
  <si>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</si>
  <si>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</si>
  <si>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</si>
  <si>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</si>
  <si>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</si>
  <si>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</si>
  <si>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</si>
  <si>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</si>
  <si>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</si>
  <si>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</si>
  <si>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</si>
  <si>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</si>
  <si>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</si>
  <si>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</si>
  <si>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</si>
  <si>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</si>
  <si>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</si>
  <si>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</si>
  <si>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</si>
  <si>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</si>
  <si>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</si>
  <si>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</si>
  <si>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</si>
  <si>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</si>
  <si>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</si>
  <si>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</si>
  <si>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</si>
  <si>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</si>
  <si>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</si>
  <si>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</si>
  <si>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</si>
  <si>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</si>
  <si>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</si>
  <si>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</si>
  <si>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</si>
  <si>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</si>
  <si>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</si>
  <si>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</si>
  <si>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</si>
  <si>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</si>
  <si>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</si>
  <si>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</si>
  <si>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</si>
  <si>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</si>
  <si>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</si>
  <si>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</si>
  <si>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</si>
  <si>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</si>
  <si>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</si>
  <si>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</si>
  <si>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</si>
  <si>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</si>
  <si>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</si>
  <si>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</si>
  <si>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</si>
  <si>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</si>
  <si>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</si>
  <si>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</si>
  <si>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</si>
  <si>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</si>
  <si>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</si>
  <si>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</si>
  <si>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</si>
  <si>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</si>
  <si>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</si>
  <si>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</si>
  <si>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</si>
  <si>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</si>
  <si>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</si>
  <si>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</si>
  <si>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</si>
  <si>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</si>
  <si>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</si>
  <si>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</si>
  <si>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</si>
  <si>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</si>
  <si>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</si>
  <si>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</si>
  <si>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</si>
  <si>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</si>
  <si>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</si>
  <si>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</si>
  <si>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</si>
  <si>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</si>
  <si>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</si>
  <si>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</si>
  <si>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</si>
  <si>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</si>
  <si>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</si>
  <si>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</si>
  <si>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</si>
  <si>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</si>
  <si>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</si>
  <si>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</si>
  <si>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</si>
  <si>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</si>
  <si>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</si>
  <si>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</si>
  <si>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</si>
  <si>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</si>
  <si>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</si>
  <si>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</si>
  <si>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</si>
  <si>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</si>
  <si>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</si>
  <si>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</si>
  <si>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</si>
  <si>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</si>
  <si>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</si>
  <si>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</si>
  <si>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</si>
  <si>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</si>
  <si>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</si>
  <si>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</si>
  <si>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</si>
  <si>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</si>
  <si>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</si>
  <si>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</si>
  <si>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</si>
  <si>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</si>
  <si>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</si>
  <si>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</si>
  <si>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</si>
  <si>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</si>
  <si>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</si>
  <si>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</si>
  <si>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</si>
  <si>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</si>
  <si>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</si>
  <si>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</si>
  <si>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</si>
  <si>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</si>
  <si>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</si>
  <si>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</si>
  <si>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</si>
  <si>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</si>
  <si>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</si>
  <si>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</si>
  <si>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</si>
  <si>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</si>
  <si>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</si>
  <si>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</si>
  <si>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</si>
  <si>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</si>
  <si>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</si>
  <si>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</si>
  <si>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</si>
  <si>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</si>
  <si>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</si>
  <si>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</si>
  <si>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</si>
  <si>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</si>
  <si>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</si>
  <si>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</si>
  <si>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</si>
  <si>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</si>
  <si>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</si>
  <si>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</si>
  <si>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</si>
  <si>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</si>
  <si>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</si>
  <si>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</si>
  <si>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</si>
  <si>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</si>
  <si>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</si>
  <si>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</si>
  <si>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</si>
  <si>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</si>
  <si>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</si>
  <si>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</si>
  <si>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</si>
  <si>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</si>
  <si>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</si>
  <si>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</si>
  <si>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</si>
  <si>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</si>
  <si>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</si>
  <si>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</si>
  <si>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</si>
  <si>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</si>
  <si>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</si>
  <si>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</si>
  <si>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</si>
  <si>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</si>
  <si>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</si>
  <si>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</si>
  <si>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</si>
  <si>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</si>
  <si>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</si>
  <si>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</si>
  <si>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</si>
  <si>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</si>
  <si>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</si>
  <si>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</si>
  <si>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</si>
  <si>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</si>
  <si>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</si>
  <si>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</si>
  <si>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</si>
  <si>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</si>
  <si>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</si>
  <si>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</si>
  <si>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</si>
  <si>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</si>
  <si>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</si>
  <si>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</si>
  <si>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</si>
  <si>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</si>
  <si>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</si>
  <si>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</si>
  <si>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</si>
  <si>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</si>
  <si>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</si>
  <si>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</si>
  <si>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</si>
  <si>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</si>
  <si>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</si>
  <si>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</si>
  <si>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</si>
  <si>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</si>
  <si>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</si>
  <si>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</si>
  <si>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</si>
  <si>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</si>
  <si>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</si>
  <si>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</si>
  <si>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</si>
  <si>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</si>
  <si>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</si>
  <si>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</si>
  <si>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</si>
  <si>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</si>
  <si>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</si>
  <si>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</si>
  <si>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</si>
  <si>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</si>
  <si>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</si>
  <si>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</si>
  <si>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</si>
  <si>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</si>
  <si>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</si>
  <si>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</si>
  <si>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</si>
  <si>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</si>
  <si>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</si>
  <si>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</si>
  <si>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</si>
  <si>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</si>
  <si>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</si>
  <si>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</si>
  <si>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</si>
  <si>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</si>
  <si>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</si>
  <si>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</si>
  <si>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</si>
  <si>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</si>
  <si>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</si>
  <si>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</si>
  <si>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</si>
  <si>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</si>
  <si>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</si>
  <si>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</si>
  <si>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</si>
  <si>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</si>
  <si>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</si>
  <si>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</si>
  <si>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</si>
  <si>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</si>
  <si>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</si>
  <si>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</si>
  <si>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</si>
  <si>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</si>
  <si>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</si>
  <si>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</si>
  <si>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</si>
  <si>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</si>
  <si>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</si>
  <si>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</si>
  <si>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</si>
  <si>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</si>
  <si>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</si>
  <si>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</si>
  <si>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</si>
  <si>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</si>
  <si>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</si>
  <si>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</si>
  <si>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</si>
  <si>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</si>
  <si>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</si>
  <si>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</si>
  <si>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</si>
  <si>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</si>
  <si>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</si>
  <si>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</si>
  <si>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</si>
  <si>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</si>
  <si>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</si>
  <si>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</si>
  <si>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</si>
  <si>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</si>
  <si>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</si>
  <si>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</si>
  <si>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</si>
  <si>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</si>
  <si>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</si>
  <si>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</si>
  <si>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</si>
  <si>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</si>
  <si>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</si>
  <si>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</si>
  <si>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</si>
  <si>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</si>
  <si>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</si>
  <si>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</si>
  <si>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</si>
  <si>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</si>
  <si>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</si>
  <si>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</si>
  <si>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</si>
  <si>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</si>
  <si>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</si>
  <si>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</si>
  <si>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</si>
  <si>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</si>
  <si>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</si>
  <si>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</si>
  <si>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</si>
  <si>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</si>
  <si>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</si>
  <si>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</si>
  <si>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</si>
  <si>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</si>
  <si>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</si>
  <si>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</si>
  <si>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</si>
  <si>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</si>
  <si>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</si>
  <si>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</si>
  <si>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</si>
  <si>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</si>
  <si>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</si>
  <si>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</si>
  <si>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</si>
  <si>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</si>
  <si>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</si>
  <si>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</si>
  <si>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</si>
  <si>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</si>
  <si>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</si>
  <si>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</si>
  <si>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</si>
  <si>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</si>
  <si>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</si>
  <si>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</si>
  <si>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</si>
  <si>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</si>
  <si>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</si>
  <si>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</si>
  <si>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</si>
  <si>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</si>
  <si>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</si>
  <si>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</si>
  <si>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</si>
  <si>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</si>
  <si>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</si>
  <si>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</si>
  <si>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</si>
  <si>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</si>
  <si>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</si>
  <si>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</si>
  <si>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</si>
  <si>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</si>
  <si>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</si>
  <si>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</si>
  <si>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</si>
  <si>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</si>
  <si>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</si>
  <si>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</si>
  <si>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</si>
  <si>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</si>
  <si>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</si>
  <si>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</si>
  <si>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</si>
  <si>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</si>
  <si>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</si>
  <si>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</si>
  <si>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</si>
  <si>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</si>
  <si>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</si>
  <si>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</si>
  <si>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</si>
  <si>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</si>
  <si>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</si>
  <si>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</si>
  <si>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</si>
  <si>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</si>
  <si>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</si>
  <si>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</si>
  <si>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</si>
  <si>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</si>
  <si>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</si>
  <si>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</si>
  <si>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</si>
  <si>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</si>
  <si>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</si>
  <si>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</si>
  <si>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</si>
  <si>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</si>
  <si>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</si>
  <si>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</si>
  <si>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</si>
  <si>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</si>
  <si>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</si>
  <si>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</si>
  <si>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</si>
  <si>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</si>
  <si>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</si>
  <si>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</si>
  <si>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</si>
  <si>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</si>
  <si>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</si>
  <si>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</si>
  <si>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</si>
  <si>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</si>
  <si>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</si>
  <si>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</si>
  <si>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</si>
  <si>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</si>
  <si>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</si>
  <si>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</si>
  <si>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</si>
  <si>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</si>
  <si>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</si>
  <si>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</si>
  <si>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</si>
  <si>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</si>
  <si>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</si>
  <si>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</si>
  <si>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</si>
  <si>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</si>
  <si>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</si>
  <si>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</si>
  <si>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</si>
  <si>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</si>
  <si>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</si>
  <si>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</si>
  <si>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</si>
  <si>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</si>
  <si>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</si>
  <si>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</si>
  <si>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</si>
  <si>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</si>
  <si>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</si>
  <si>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</si>
  <si>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</si>
  <si>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</si>
  <si>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</si>
  <si>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</si>
  <si>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</si>
  <si>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</si>
  <si>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</si>
  <si>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</si>
  <si>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</si>
  <si>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</si>
  <si>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</si>
  <si>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</si>
  <si>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</si>
  <si>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</si>
  <si>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</si>
  <si>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</si>
  <si>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</si>
  <si>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</si>
  <si>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</si>
  <si>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</si>
  <si>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</si>
  <si>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</si>
  <si>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</si>
  <si>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</si>
  <si>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</si>
  <si>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</si>
  <si>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</si>
  <si>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</si>
  <si>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</si>
  <si>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</si>
  <si>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</si>
  <si>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</si>
  <si>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</si>
  <si>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</si>
  <si>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</si>
  <si>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</si>
  <si>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</si>
  <si>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</si>
  <si>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</si>
  <si>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</si>
  <si>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</si>
  <si>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</si>
  <si>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</si>
  <si>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</si>
  <si>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</si>
  <si>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</si>
  <si>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</si>
  <si>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</si>
  <si>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</si>
  <si>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</si>
  <si>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</si>
  <si>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</si>
  <si>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</si>
  <si>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</si>
  <si>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</si>
  <si>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</si>
  <si>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</si>
  <si>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</si>
  <si>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</si>
  <si>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</si>
  <si>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</si>
  <si>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</si>
  <si>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</si>
  <si>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</si>
  <si>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</si>
  <si>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</si>
  <si>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13002</t>
  </si>
  <si>
    <t>BAARLE-HERTOG</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</si>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</sst>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B29CED7-C55D-4216-BE4F-358BA64C3E1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29175.853236745676</c:v>
                </c:pt>
                <c:pt idx="1">
                  <c:v>2863.5240104328632</c:v>
                </c:pt>
                <c:pt idx="2">
                  <c:v>156.99299999999999</c:v>
                </c:pt>
                <c:pt idx="3">
                  <c:v>4981.2328937373331</c:v>
                </c:pt>
                <c:pt idx="4">
                  <c:v>452.51117762106628</c:v>
                </c:pt>
                <c:pt idx="5">
                  <c:v>6607.2562845732728</c:v>
                </c:pt>
                <c:pt idx="6">
                  <c:v>87.843852301315309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29175.853236745676</c:v>
                </c:pt>
                <c:pt idx="1">
                  <c:v>2863.5240104328632</c:v>
                </c:pt>
                <c:pt idx="2">
                  <c:v>156.99299999999999</c:v>
                </c:pt>
                <c:pt idx="3">
                  <c:v>4981.2328937373331</c:v>
                </c:pt>
                <c:pt idx="4">
                  <c:v>452.51117762106628</c:v>
                </c:pt>
                <c:pt idx="5">
                  <c:v>6607.2562845732728</c:v>
                </c:pt>
                <c:pt idx="6">
                  <c:v>87.843852301315309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5578.3265570662879</c:v>
                </c:pt>
                <c:pt idx="1">
                  <c:v>564.92444275156697</c:v>
                </c:pt>
                <c:pt idx="2">
                  <c:v>31.32867549474846</c:v>
                </c:pt>
                <c:pt idx="3">
                  <c:v>1228.0803749981935</c:v>
                </c:pt>
                <c:pt idx="4">
                  <c:v>93.527230030654295</c:v>
                </c:pt>
                <c:pt idx="5">
                  <c:v>1645.8694622421845</c:v>
                </c:pt>
                <c:pt idx="6">
                  <c:v>22.138477681827126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5578.3265570662879</c:v>
                </c:pt>
                <c:pt idx="1">
                  <c:v>564.92444275156697</c:v>
                </c:pt>
                <c:pt idx="2">
                  <c:v>31.32867549474846</c:v>
                </c:pt>
                <c:pt idx="3">
                  <c:v>1228.0803749981935</c:v>
                </c:pt>
                <c:pt idx="4">
                  <c:v>93.527230030654295</c:v>
                </c:pt>
                <c:pt idx="5">
                  <c:v>1645.8694622421845</c:v>
                </c:pt>
                <c:pt idx="6">
                  <c:v>22.138477681827126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13002</v>
      </c>
      <c r="B6" s="384"/>
      <c r="C6" s="385"/>
    </row>
    <row r="7" spans="1:7" s="382" customFormat="1" ht="15.75" customHeight="1">
      <c r="A7" s="386" t="str">
        <f>txtMunicipality</f>
        <v>BAARLE-HERTOG</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2329.7997799999998</v>
      </c>
      <c r="D10" s="679">
        <f ca="1">tertiair!C16</f>
        <v>0</v>
      </c>
      <c r="E10" s="679">
        <f ca="1">tertiair!D16</f>
        <v>291.57194378400004</v>
      </c>
      <c r="F10" s="679">
        <f>tertiair!E16</f>
        <v>35.023484732491241</v>
      </c>
      <c r="G10" s="679">
        <f ca="1">tertiair!F16</f>
        <v>241.50699282164209</v>
      </c>
      <c r="H10" s="679">
        <f>tertiair!G16</f>
        <v>0</v>
      </c>
      <c r="I10" s="679">
        <f>tertiair!H16</f>
        <v>0</v>
      </c>
      <c r="J10" s="679">
        <f>tertiair!I16</f>
        <v>0</v>
      </c>
      <c r="K10" s="679">
        <f>tertiair!J16</f>
        <v>1.7561592193588689E-3</v>
      </c>
      <c r="L10" s="679">
        <f>tertiair!K16</f>
        <v>0</v>
      </c>
      <c r="M10" s="679">
        <f ca="1">tertiair!L16</f>
        <v>0</v>
      </c>
      <c r="N10" s="679">
        <f>tertiair!M16</f>
        <v>0</v>
      </c>
      <c r="O10" s="679">
        <f ca="1">tertiair!N16</f>
        <v>70.073914629015647</v>
      </c>
      <c r="P10" s="679">
        <f>tertiair!O16</f>
        <v>0</v>
      </c>
      <c r="Q10" s="680">
        <f>tertiair!P16</f>
        <v>52.539138306495019</v>
      </c>
      <c r="R10" s="682">
        <f ca="1">SUM(C10:Q10)</f>
        <v>3020.5170104328636</v>
      </c>
      <c r="S10" s="67"/>
    </row>
    <row r="11" spans="1:19" s="442" customFormat="1">
      <c r="A11" s="800" t="s">
        <v>213</v>
      </c>
      <c r="B11" s="805"/>
      <c r="C11" s="679">
        <f>huishoudens!B8</f>
        <v>4599.6389426527794</v>
      </c>
      <c r="D11" s="679">
        <f>huishoudens!C8</f>
        <v>0</v>
      </c>
      <c r="E11" s="679">
        <f>huishoudens!D8</f>
        <v>23071.52199275489</v>
      </c>
      <c r="F11" s="679">
        <f>huishoudens!E8</f>
        <v>0</v>
      </c>
      <c r="G11" s="679">
        <f>huishoudens!F8</f>
        <v>0</v>
      </c>
      <c r="H11" s="679">
        <f>huishoudens!G8</f>
        <v>0</v>
      </c>
      <c r="I11" s="679">
        <f>huishoudens!H8</f>
        <v>0</v>
      </c>
      <c r="J11" s="679">
        <f>huishoudens!I8</f>
        <v>0</v>
      </c>
      <c r="K11" s="679">
        <f>huishoudens!J8</f>
        <v>0</v>
      </c>
      <c r="L11" s="679">
        <f>huishoudens!K8</f>
        <v>0</v>
      </c>
      <c r="M11" s="679">
        <f>huishoudens!L8</f>
        <v>0</v>
      </c>
      <c r="N11" s="679">
        <f>huishoudens!M8</f>
        <v>0</v>
      </c>
      <c r="O11" s="679">
        <f>huishoudens!N8</f>
        <v>1334.0235406085233</v>
      </c>
      <c r="P11" s="679">
        <f>huishoudens!O8</f>
        <v>33.727289729579546</v>
      </c>
      <c r="Q11" s="680">
        <f>huishoudens!P8</f>
        <v>136.94147099990531</v>
      </c>
      <c r="R11" s="682">
        <f>SUM(C11:Q11)</f>
        <v>29175.853236745676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318.377904</v>
      </c>
      <c r="D13" s="679">
        <f>industrie!C18</f>
        <v>0</v>
      </c>
      <c r="E13" s="679">
        <f>industrie!D18</f>
        <v>16.872597324000001</v>
      </c>
      <c r="F13" s="679">
        <f>industrie!E18</f>
        <v>22.306328807093919</v>
      </c>
      <c r="G13" s="679">
        <f>industrie!F18</f>
        <v>79.249983319288134</v>
      </c>
      <c r="H13" s="679">
        <f>industrie!G18</f>
        <v>0</v>
      </c>
      <c r="I13" s="679">
        <f>industrie!H18</f>
        <v>0</v>
      </c>
      <c r="J13" s="679">
        <f>industrie!I18</f>
        <v>0</v>
      </c>
      <c r="K13" s="679">
        <f>industrie!J18</f>
        <v>1.022337698702134</v>
      </c>
      <c r="L13" s="679">
        <f>industrie!K18</f>
        <v>0</v>
      </c>
      <c r="M13" s="679">
        <f>industrie!L18</f>
        <v>0</v>
      </c>
      <c r="N13" s="679">
        <f>industrie!M18</f>
        <v>0</v>
      </c>
      <c r="O13" s="679">
        <f>industrie!N18</f>
        <v>14.682026471982137</v>
      </c>
      <c r="P13" s="679">
        <f>industrie!O18</f>
        <v>0</v>
      </c>
      <c r="Q13" s="680">
        <f>industrie!P18</f>
        <v>0</v>
      </c>
      <c r="R13" s="682">
        <f>SUM(C13:Q13)</f>
        <v>452.51117762106628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7247.8166266527796</v>
      </c>
      <c r="D16" s="715">
        <f t="shared" ref="D16:R16" ca="1" si="0">SUM(D9:D15)</f>
        <v>0</v>
      </c>
      <c r="E16" s="715">
        <f t="shared" ca="1" si="0"/>
        <v>23379.966533862891</v>
      </c>
      <c r="F16" s="715">
        <f t="shared" si="0"/>
        <v>57.32981353958516</v>
      </c>
      <c r="G16" s="715">
        <f t="shared" ca="1" si="0"/>
        <v>320.75697614093019</v>
      </c>
      <c r="H16" s="715">
        <f t="shared" si="0"/>
        <v>0</v>
      </c>
      <c r="I16" s="715">
        <f t="shared" si="0"/>
        <v>0</v>
      </c>
      <c r="J16" s="715">
        <f t="shared" si="0"/>
        <v>0</v>
      </c>
      <c r="K16" s="715">
        <f t="shared" si="0"/>
        <v>1.0240938579214929</v>
      </c>
      <c r="L16" s="715">
        <f t="shared" si="0"/>
        <v>0</v>
      </c>
      <c r="M16" s="715">
        <f t="shared" ca="1" si="0"/>
        <v>0</v>
      </c>
      <c r="N16" s="715">
        <f t="shared" si="0"/>
        <v>0</v>
      </c>
      <c r="O16" s="715">
        <f t="shared" ca="1" si="0"/>
        <v>1418.7794817095212</v>
      </c>
      <c r="P16" s="715">
        <f t="shared" si="0"/>
        <v>33.727289729579546</v>
      </c>
      <c r="Q16" s="715">
        <f t="shared" si="0"/>
        <v>189.48060930640031</v>
      </c>
      <c r="R16" s="715">
        <f t="shared" ca="1" si="0"/>
        <v>32648.881424799605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1.132744411377697</v>
      </c>
      <c r="D19" s="679">
        <f>transport!C54</f>
        <v>0</v>
      </c>
      <c r="E19" s="679">
        <f>transport!D54</f>
        <v>0</v>
      </c>
      <c r="F19" s="679">
        <f>transport!E54</f>
        <v>0</v>
      </c>
      <c r="G19" s="679">
        <f>transport!F54</f>
        <v>0</v>
      </c>
      <c r="H19" s="679">
        <f>transport!G54</f>
        <v>82.069038661556874</v>
      </c>
      <c r="I19" s="679">
        <f>transport!H54</f>
        <v>0</v>
      </c>
      <c r="J19" s="679">
        <f>transport!I54</f>
        <v>0</v>
      </c>
      <c r="K19" s="679">
        <f>transport!J54</f>
        <v>0</v>
      </c>
      <c r="L19" s="679">
        <f>transport!K54</f>
        <v>0</v>
      </c>
      <c r="M19" s="679">
        <f>transport!L54</f>
        <v>0</v>
      </c>
      <c r="N19" s="679">
        <f>transport!M54</f>
        <v>4.6420692283807412</v>
      </c>
      <c r="O19" s="679">
        <f>transport!N54</f>
        <v>0</v>
      </c>
      <c r="P19" s="679">
        <f>transport!O54</f>
        <v>0</v>
      </c>
      <c r="Q19" s="680">
        <f>transport!P54</f>
        <v>0</v>
      </c>
      <c r="R19" s="682">
        <f>SUM(C19:Q19)</f>
        <v>87.843852301315309</v>
      </c>
      <c r="S19" s="67"/>
    </row>
    <row r="20" spans="1:19" s="442" customFormat="1">
      <c r="A20" s="800" t="s">
        <v>295</v>
      </c>
      <c r="B20" s="805"/>
      <c r="C20" s="679">
        <f>transport!B14</f>
        <v>6.3934852278113494</v>
      </c>
      <c r="D20" s="679">
        <f>transport!C14</f>
        <v>0</v>
      </c>
      <c r="E20" s="679">
        <f>transport!D14</f>
        <v>11.707748082502997</v>
      </c>
      <c r="F20" s="679">
        <f>transport!E14</f>
        <v>10.08794244350354</v>
      </c>
      <c r="G20" s="679">
        <f>transport!F14</f>
        <v>0</v>
      </c>
      <c r="H20" s="679">
        <f>transport!G14</f>
        <v>5173.7385378392864</v>
      </c>
      <c r="I20" s="679">
        <f>transport!H14</f>
        <v>1038.3554023988188</v>
      </c>
      <c r="J20" s="679">
        <f>transport!I14</f>
        <v>0</v>
      </c>
      <c r="K20" s="679">
        <f>transport!J14</f>
        <v>0</v>
      </c>
      <c r="L20" s="679">
        <f>transport!K14</f>
        <v>0</v>
      </c>
      <c r="M20" s="679">
        <f>transport!L14</f>
        <v>0</v>
      </c>
      <c r="N20" s="679">
        <f>transport!M14</f>
        <v>366.97316858134911</v>
      </c>
      <c r="O20" s="679">
        <f>transport!N14</f>
        <v>0</v>
      </c>
      <c r="P20" s="679">
        <f>transport!O14</f>
        <v>0</v>
      </c>
      <c r="Q20" s="680">
        <f>transport!P14</f>
        <v>0</v>
      </c>
      <c r="R20" s="682">
        <f>SUM(C20:Q20)</f>
        <v>6607.2562845732728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7.5262296391890464</v>
      </c>
      <c r="D22" s="803">
        <f t="shared" ref="D22:R22" si="1">SUM(D18:D21)</f>
        <v>0</v>
      </c>
      <c r="E22" s="803">
        <f t="shared" si="1"/>
        <v>11.707748082502997</v>
      </c>
      <c r="F22" s="803">
        <f t="shared" si="1"/>
        <v>10.08794244350354</v>
      </c>
      <c r="G22" s="803">
        <f t="shared" si="1"/>
        <v>0</v>
      </c>
      <c r="H22" s="803">
        <f t="shared" si="1"/>
        <v>5255.8075765008434</v>
      </c>
      <c r="I22" s="803">
        <f t="shared" si="1"/>
        <v>1038.3554023988188</v>
      </c>
      <c r="J22" s="803">
        <f t="shared" si="1"/>
        <v>0</v>
      </c>
      <c r="K22" s="803">
        <f t="shared" si="1"/>
        <v>0</v>
      </c>
      <c r="L22" s="803">
        <f t="shared" si="1"/>
        <v>0</v>
      </c>
      <c r="M22" s="803">
        <f t="shared" si="1"/>
        <v>0</v>
      </c>
      <c r="N22" s="803">
        <f t="shared" si="1"/>
        <v>371.61523780972988</v>
      </c>
      <c r="O22" s="803">
        <f t="shared" si="1"/>
        <v>0</v>
      </c>
      <c r="P22" s="803">
        <f t="shared" si="1"/>
        <v>0</v>
      </c>
      <c r="Q22" s="803">
        <f t="shared" si="1"/>
        <v>0</v>
      </c>
      <c r="R22" s="803">
        <f t="shared" si="1"/>
        <v>6695.1001368745883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821.96151699999996</v>
      </c>
      <c r="D24" s="679">
        <f>+landbouw!C8</f>
        <v>0</v>
      </c>
      <c r="E24" s="679">
        <f>+landbouw!D8</f>
        <v>1002.2590751360001</v>
      </c>
      <c r="F24" s="679">
        <f>+landbouw!E8</f>
        <v>25.653147896100496</v>
      </c>
      <c r="G24" s="679">
        <f>+landbouw!F8</f>
        <v>2904.9030555185691</v>
      </c>
      <c r="H24" s="679">
        <f>+landbouw!G8</f>
        <v>0</v>
      </c>
      <c r="I24" s="679">
        <f>+landbouw!H8</f>
        <v>0</v>
      </c>
      <c r="J24" s="679">
        <f>+landbouw!I8</f>
        <v>0</v>
      </c>
      <c r="K24" s="679">
        <f>+landbouw!J8</f>
        <v>226.45609818666378</v>
      </c>
      <c r="L24" s="679">
        <f>+landbouw!K8</f>
        <v>0</v>
      </c>
      <c r="M24" s="679">
        <f>+landbouw!L8</f>
        <v>0</v>
      </c>
      <c r="N24" s="679">
        <f>+landbouw!M8</f>
        <v>0</v>
      </c>
      <c r="O24" s="679">
        <f>+landbouw!N8</f>
        <v>0</v>
      </c>
      <c r="P24" s="679">
        <f>+landbouw!O8</f>
        <v>0</v>
      </c>
      <c r="Q24" s="680">
        <f>+landbouw!P8</f>
        <v>0</v>
      </c>
      <c r="R24" s="682">
        <f>SUM(C24:Q24)</f>
        <v>4981.2328937373331</v>
      </c>
      <c r="S24" s="67"/>
    </row>
    <row r="25" spans="1:19" s="442" customFormat="1" ht="15" thickBot="1">
      <c r="A25" s="822" t="s">
        <v>708</v>
      </c>
      <c r="B25" s="941"/>
      <c r="C25" s="942">
        <f>IF(Onbekend_ele_kWh="---",0,Onbekend_ele_kWh)/1000+IF(REST_rest_ele_kWh="---",0,REST_rest_ele_kWh)/1000</f>
        <v>299.06028900000001</v>
      </c>
      <c r="D25" s="942"/>
      <c r="E25" s="942">
        <f>IF(onbekend_gas_kWh="---",0,onbekend_gas_kWh)/1000+IF(REST_rest_gas_kWh="---",0,REST_rest_gas_kWh)/1000</f>
        <v>22.271661000000002</v>
      </c>
      <c r="F25" s="942"/>
      <c r="G25" s="942"/>
      <c r="H25" s="942"/>
      <c r="I25" s="942"/>
      <c r="J25" s="942"/>
      <c r="K25" s="942"/>
      <c r="L25" s="942"/>
      <c r="M25" s="942"/>
      <c r="N25" s="942"/>
      <c r="O25" s="942"/>
      <c r="P25" s="942"/>
      <c r="Q25" s="943"/>
      <c r="R25" s="682">
        <f>SUM(C25:Q25)</f>
        <v>321.33195000000001</v>
      </c>
      <c r="S25" s="67"/>
    </row>
    <row r="26" spans="1:19" s="442" customFormat="1" ht="15.75" thickBot="1">
      <c r="A26" s="687" t="s">
        <v>709</v>
      </c>
      <c r="B26" s="808"/>
      <c r="C26" s="803">
        <f>SUM(C24:C25)</f>
        <v>1121.021806</v>
      </c>
      <c r="D26" s="803">
        <f t="shared" ref="D26:R26" si="2">SUM(D24:D25)</f>
        <v>0</v>
      </c>
      <c r="E26" s="803">
        <f t="shared" si="2"/>
        <v>1024.5307361360001</v>
      </c>
      <c r="F26" s="803">
        <f t="shared" si="2"/>
        <v>25.653147896100496</v>
      </c>
      <c r="G26" s="803">
        <f t="shared" si="2"/>
        <v>2904.9030555185691</v>
      </c>
      <c r="H26" s="803">
        <f t="shared" si="2"/>
        <v>0</v>
      </c>
      <c r="I26" s="803">
        <f t="shared" si="2"/>
        <v>0</v>
      </c>
      <c r="J26" s="803">
        <f t="shared" si="2"/>
        <v>0</v>
      </c>
      <c r="K26" s="803">
        <f t="shared" si="2"/>
        <v>226.45609818666378</v>
      </c>
      <c r="L26" s="803">
        <f t="shared" si="2"/>
        <v>0</v>
      </c>
      <c r="M26" s="803">
        <f t="shared" si="2"/>
        <v>0</v>
      </c>
      <c r="N26" s="803">
        <f t="shared" si="2"/>
        <v>0</v>
      </c>
      <c r="O26" s="803">
        <f t="shared" si="2"/>
        <v>0</v>
      </c>
      <c r="P26" s="803">
        <f t="shared" si="2"/>
        <v>0</v>
      </c>
      <c r="Q26" s="803">
        <f t="shared" si="2"/>
        <v>0</v>
      </c>
      <c r="R26" s="803">
        <f t="shared" si="2"/>
        <v>5302.5648437373329</v>
      </c>
      <c r="S26" s="67"/>
    </row>
    <row r="27" spans="1:19" s="442" customFormat="1" ht="17.25" thickTop="1" thickBot="1">
      <c r="A27" s="688" t="s">
        <v>109</v>
      </c>
      <c r="B27" s="795"/>
      <c r="C27" s="689">
        <f ca="1">C22+C16+C26</f>
        <v>8376.3646622919696</v>
      </c>
      <c r="D27" s="689">
        <f t="shared" ref="D27:R27" ca="1" si="3">D22+D16+D26</f>
        <v>0</v>
      </c>
      <c r="E27" s="689">
        <f t="shared" ca="1" si="3"/>
        <v>24416.205018081393</v>
      </c>
      <c r="F27" s="689">
        <f t="shared" si="3"/>
        <v>93.070903879189189</v>
      </c>
      <c r="G27" s="689">
        <f t="shared" ca="1" si="3"/>
        <v>3225.6600316594995</v>
      </c>
      <c r="H27" s="689">
        <f t="shared" si="3"/>
        <v>5255.8075765008434</v>
      </c>
      <c r="I27" s="689">
        <f t="shared" si="3"/>
        <v>1038.3554023988188</v>
      </c>
      <c r="J27" s="689">
        <f t="shared" si="3"/>
        <v>0</v>
      </c>
      <c r="K27" s="689">
        <f t="shared" si="3"/>
        <v>227.48019204458527</v>
      </c>
      <c r="L27" s="689">
        <f t="shared" si="3"/>
        <v>0</v>
      </c>
      <c r="M27" s="689">
        <f t="shared" ca="1" si="3"/>
        <v>0</v>
      </c>
      <c r="N27" s="689">
        <f t="shared" si="3"/>
        <v>371.61523780972988</v>
      </c>
      <c r="O27" s="689">
        <f t="shared" ca="1" si="3"/>
        <v>1418.7794817095212</v>
      </c>
      <c r="P27" s="689">
        <f t="shared" si="3"/>
        <v>33.727289729579546</v>
      </c>
      <c r="Q27" s="689">
        <f t="shared" si="3"/>
        <v>189.48060930640031</v>
      </c>
      <c r="R27" s="689">
        <f t="shared" ca="1" si="3"/>
        <v>44646.546405411522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464.9222658039298</v>
      </c>
      <c r="D40" s="679">
        <f ca="1">tertiair!C20</f>
        <v>0</v>
      </c>
      <c r="E40" s="679">
        <f ca="1">tertiair!D20</f>
        <v>58.897532644368013</v>
      </c>
      <c r="F40" s="679">
        <f>tertiair!E20</f>
        <v>7.9503310342755116</v>
      </c>
      <c r="G40" s="679">
        <f ca="1">tertiair!F20</f>
        <v>64.482367083378435</v>
      </c>
      <c r="H40" s="679">
        <f>tertiair!G20</f>
        <v>0</v>
      </c>
      <c r="I40" s="679">
        <f>tertiair!H20</f>
        <v>0</v>
      </c>
      <c r="J40" s="679">
        <f>tertiair!I20</f>
        <v>0</v>
      </c>
      <c r="K40" s="679">
        <f>tertiair!J20</f>
        <v>6.2168036365303954E-4</v>
      </c>
      <c r="L40" s="679">
        <f>tertiair!K20</f>
        <v>0</v>
      </c>
      <c r="M40" s="679">
        <f ca="1">tertiair!L20</f>
        <v>0</v>
      </c>
      <c r="N40" s="679">
        <f>tertiair!M20</f>
        <v>0</v>
      </c>
      <c r="O40" s="679">
        <f ca="1">tertiair!N20</f>
        <v>0</v>
      </c>
      <c r="P40" s="679">
        <f>tertiair!O20</f>
        <v>0</v>
      </c>
      <c r="Q40" s="762">
        <f>tertiair!P20</f>
        <v>0</v>
      </c>
      <c r="R40" s="841">
        <f t="shared" ca="1" si="4"/>
        <v>596.25311824631547</v>
      </c>
    </row>
    <row r="41" spans="1:18">
      <c r="A41" s="813" t="s">
        <v>213</v>
      </c>
      <c r="B41" s="820"/>
      <c r="C41" s="679">
        <f ca="1">huishoudens!B12</f>
        <v>917.87911452979972</v>
      </c>
      <c r="D41" s="679">
        <f ca="1">huishoudens!C12</f>
        <v>0</v>
      </c>
      <c r="E41" s="679">
        <f>huishoudens!D12</f>
        <v>4660.4474425364879</v>
      </c>
      <c r="F41" s="679">
        <f>huishoudens!E12</f>
        <v>0</v>
      </c>
      <c r="G41" s="679">
        <f>huishoudens!F12</f>
        <v>0</v>
      </c>
      <c r="H41" s="679">
        <f>huishoudens!G12</f>
        <v>0</v>
      </c>
      <c r="I41" s="679">
        <f>huishoudens!H12</f>
        <v>0</v>
      </c>
      <c r="J41" s="679">
        <f>huishoudens!I12</f>
        <v>0</v>
      </c>
      <c r="K41" s="679">
        <f>huishoudens!J12</f>
        <v>0</v>
      </c>
      <c r="L41" s="679">
        <f>huishoudens!K12</f>
        <v>0</v>
      </c>
      <c r="M41" s="679">
        <f>huishoudens!L12</f>
        <v>0</v>
      </c>
      <c r="N41" s="679">
        <f>huishoudens!M12</f>
        <v>0</v>
      </c>
      <c r="O41" s="679">
        <f>huishoudens!N12</f>
        <v>0</v>
      </c>
      <c r="P41" s="679">
        <f>huishoudens!O12</f>
        <v>0</v>
      </c>
      <c r="Q41" s="762">
        <f>huishoudens!P12</f>
        <v>0</v>
      </c>
      <c r="R41" s="841">
        <f t="shared" ca="1" si="4"/>
        <v>5578.3265570662879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63.53377564040548</v>
      </c>
      <c r="D43" s="679">
        <f ca="1">industrie!C22</f>
        <v>0</v>
      </c>
      <c r="E43" s="679">
        <f>industrie!D22</f>
        <v>3.4082646594480006</v>
      </c>
      <c r="F43" s="679">
        <f>industrie!E22</f>
        <v>5.0635366392103203</v>
      </c>
      <c r="G43" s="679">
        <f>industrie!F22</f>
        <v>21.159745546249933</v>
      </c>
      <c r="H43" s="679">
        <f>industrie!G22</f>
        <v>0</v>
      </c>
      <c r="I43" s="679">
        <f>industrie!H22</f>
        <v>0</v>
      </c>
      <c r="J43" s="679">
        <f>industrie!I22</f>
        <v>0</v>
      </c>
      <c r="K43" s="679">
        <f>industrie!J22</f>
        <v>0.36190754534055541</v>
      </c>
      <c r="L43" s="679">
        <f>industrie!K22</f>
        <v>0</v>
      </c>
      <c r="M43" s="679">
        <f>industrie!L22</f>
        <v>0</v>
      </c>
      <c r="N43" s="679">
        <f>industrie!M22</f>
        <v>0</v>
      </c>
      <c r="O43" s="679">
        <f>industrie!N22</f>
        <v>0</v>
      </c>
      <c r="P43" s="679">
        <f>industrie!O22</f>
        <v>0</v>
      </c>
      <c r="Q43" s="762">
        <f>industrie!P22</f>
        <v>0</v>
      </c>
      <c r="R43" s="840">
        <f t="shared" ca="1" si="4"/>
        <v>93.527230030654295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1446.335155974135</v>
      </c>
      <c r="D46" s="715">
        <f t="shared" ref="D46:Q46" ca="1" si="5">SUM(D39:D45)</f>
        <v>0</v>
      </c>
      <c r="E46" s="715">
        <f t="shared" ca="1" si="5"/>
        <v>4722.7532398403036</v>
      </c>
      <c r="F46" s="715">
        <f t="shared" si="5"/>
        <v>13.013867673485832</v>
      </c>
      <c r="G46" s="715">
        <f t="shared" ca="1" si="5"/>
        <v>85.642112629628372</v>
      </c>
      <c r="H46" s="715">
        <f t="shared" si="5"/>
        <v>0</v>
      </c>
      <c r="I46" s="715">
        <f t="shared" si="5"/>
        <v>0</v>
      </c>
      <c r="J46" s="715">
        <f t="shared" si="5"/>
        <v>0</v>
      </c>
      <c r="K46" s="715">
        <f t="shared" si="5"/>
        <v>0.36252922570420848</v>
      </c>
      <c r="L46" s="715">
        <f t="shared" si="5"/>
        <v>0</v>
      </c>
      <c r="M46" s="715">
        <f t="shared" ca="1" si="5"/>
        <v>0</v>
      </c>
      <c r="N46" s="715">
        <f t="shared" si="5"/>
        <v>0</v>
      </c>
      <c r="O46" s="715">
        <f t="shared" ca="1" si="5"/>
        <v>0</v>
      </c>
      <c r="P46" s="715">
        <f t="shared" si="5"/>
        <v>0</v>
      </c>
      <c r="Q46" s="715">
        <f t="shared" si="5"/>
        <v>0</v>
      </c>
      <c r="R46" s="715">
        <f ca="1">SUM(R39:R45)</f>
        <v>6268.1069053432575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0.22604435919143992</v>
      </c>
      <c r="D49" s="679">
        <f ca="1">transport!C58</f>
        <v>0</v>
      </c>
      <c r="E49" s="679">
        <f>transport!D58</f>
        <v>0</v>
      </c>
      <c r="F49" s="679">
        <f>transport!E58</f>
        <v>0</v>
      </c>
      <c r="G49" s="679">
        <f>transport!F58</f>
        <v>0</v>
      </c>
      <c r="H49" s="679">
        <f>transport!G58</f>
        <v>21.912433322635685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22.138477681827126</v>
      </c>
    </row>
    <row r="50" spans="1:18">
      <c r="A50" s="816" t="s">
        <v>295</v>
      </c>
      <c r="B50" s="826"/>
      <c r="C50" s="685">
        <f ca="1">transport!B18</f>
        <v>1.2758493944479672</v>
      </c>
      <c r="D50" s="685">
        <f>transport!C18</f>
        <v>0</v>
      </c>
      <c r="E50" s="685">
        <f>transport!D18</f>
        <v>2.3649651126656055</v>
      </c>
      <c r="F50" s="685">
        <f>transport!E18</f>
        <v>2.2899629346753034</v>
      </c>
      <c r="G50" s="685">
        <f>transport!F18</f>
        <v>0</v>
      </c>
      <c r="H50" s="685">
        <f>transport!G18</f>
        <v>1381.3881896030896</v>
      </c>
      <c r="I50" s="685">
        <f>transport!H18</f>
        <v>258.55049519730591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1645.8694622421845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1.501893753639407</v>
      </c>
      <c r="D52" s="715">
        <f t="shared" ref="D52:Q52" ca="1" si="6">SUM(D48:D51)</f>
        <v>0</v>
      </c>
      <c r="E52" s="715">
        <f t="shared" si="6"/>
        <v>2.3649651126656055</v>
      </c>
      <c r="F52" s="715">
        <f t="shared" si="6"/>
        <v>2.2899629346753034</v>
      </c>
      <c r="G52" s="715">
        <f t="shared" si="6"/>
        <v>0</v>
      </c>
      <c r="H52" s="715">
        <f t="shared" si="6"/>
        <v>1403.3006229257253</v>
      </c>
      <c r="I52" s="715">
        <f t="shared" si="6"/>
        <v>258.55049519730591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1668.0079399240117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164.02620266676965</v>
      </c>
      <c r="D54" s="685">
        <f ca="1">+landbouw!C12</f>
        <v>0</v>
      </c>
      <c r="E54" s="685">
        <f>+landbouw!D12</f>
        <v>202.45633317747203</v>
      </c>
      <c r="F54" s="685">
        <f>+landbouw!E12</f>
        <v>5.8232645724148124</v>
      </c>
      <c r="G54" s="685">
        <f>+landbouw!F12</f>
        <v>775.60911582345796</v>
      </c>
      <c r="H54" s="685">
        <f>+landbouw!G12</f>
        <v>0</v>
      </c>
      <c r="I54" s="685">
        <f>+landbouw!H12</f>
        <v>0</v>
      </c>
      <c r="J54" s="685">
        <f>+landbouw!I12</f>
        <v>0</v>
      </c>
      <c r="K54" s="685">
        <f>+landbouw!J12</f>
        <v>80.165458758078969</v>
      </c>
      <c r="L54" s="685">
        <f>+landbouw!K12</f>
        <v>0</v>
      </c>
      <c r="M54" s="685">
        <f>+landbouw!L12</f>
        <v>0</v>
      </c>
      <c r="N54" s="685">
        <f>+landbouw!M12</f>
        <v>0</v>
      </c>
      <c r="O54" s="685">
        <f>+landbouw!N12</f>
        <v>0</v>
      </c>
      <c r="P54" s="685">
        <f>+landbouw!O12</f>
        <v>0</v>
      </c>
      <c r="Q54" s="686">
        <f>+landbouw!P12</f>
        <v>0</v>
      </c>
      <c r="R54" s="714">
        <f ca="1">SUM(C54:Q54)</f>
        <v>1228.0803749981935</v>
      </c>
    </row>
    <row r="55" spans="1:18" ht="15" thickBot="1">
      <c r="A55" s="816" t="s">
        <v>708</v>
      </c>
      <c r="B55" s="826"/>
      <c r="C55" s="685">
        <f ca="1">C25*'EF ele_warmte'!B12</f>
        <v>59.678856684353399</v>
      </c>
      <c r="D55" s="685"/>
      <c r="E55" s="685">
        <f>E25*EF_CO2_aardgas</f>
        <v>4.4988755220000005</v>
      </c>
      <c r="F55" s="685"/>
      <c r="G55" s="685"/>
      <c r="H55" s="685"/>
      <c r="I55" s="685"/>
      <c r="J55" s="685"/>
      <c r="K55" s="685"/>
      <c r="L55" s="685"/>
      <c r="M55" s="685"/>
      <c r="N55" s="685"/>
      <c r="O55" s="685"/>
      <c r="P55" s="685"/>
      <c r="Q55" s="686"/>
      <c r="R55" s="714">
        <f ca="1">SUM(C55:Q55)</f>
        <v>64.177732206353397</v>
      </c>
    </row>
    <row r="56" spans="1:18" ht="15.75" thickBot="1">
      <c r="A56" s="814" t="s">
        <v>709</v>
      </c>
      <c r="B56" s="827"/>
      <c r="C56" s="715">
        <f ca="1">SUM(C54:C55)</f>
        <v>223.70505935112305</v>
      </c>
      <c r="D56" s="715">
        <f t="shared" ref="D56:Q56" ca="1" si="7">SUM(D54:D55)</f>
        <v>0</v>
      </c>
      <c r="E56" s="715">
        <f t="shared" si="7"/>
        <v>206.95520869947202</v>
      </c>
      <c r="F56" s="715">
        <f t="shared" si="7"/>
        <v>5.8232645724148124</v>
      </c>
      <c r="G56" s="715">
        <f t="shared" si="7"/>
        <v>775.60911582345796</v>
      </c>
      <c r="H56" s="715">
        <f t="shared" si="7"/>
        <v>0</v>
      </c>
      <c r="I56" s="715">
        <f t="shared" si="7"/>
        <v>0</v>
      </c>
      <c r="J56" s="715">
        <f t="shared" si="7"/>
        <v>0</v>
      </c>
      <c r="K56" s="715">
        <f t="shared" si="7"/>
        <v>80.165458758078969</v>
      </c>
      <c r="L56" s="715">
        <f t="shared" si="7"/>
        <v>0</v>
      </c>
      <c r="M56" s="715">
        <f t="shared" si="7"/>
        <v>0</v>
      </c>
      <c r="N56" s="715">
        <f t="shared" si="7"/>
        <v>0</v>
      </c>
      <c r="O56" s="715">
        <f t="shared" si="7"/>
        <v>0</v>
      </c>
      <c r="P56" s="715">
        <f t="shared" si="7"/>
        <v>0</v>
      </c>
      <c r="Q56" s="716">
        <f t="shared" si="7"/>
        <v>0</v>
      </c>
      <c r="R56" s="717">
        <f ca="1">SUM(R54:R55)</f>
        <v>1292.2581072045468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1671.5421090788975</v>
      </c>
      <c r="D61" s="723">
        <f t="shared" ref="D61:Q61" ca="1" si="8">D46+D52+D56</f>
        <v>0</v>
      </c>
      <c r="E61" s="723">
        <f t="shared" ca="1" si="8"/>
        <v>4932.0734136524406</v>
      </c>
      <c r="F61" s="723">
        <f t="shared" si="8"/>
        <v>21.127095180575949</v>
      </c>
      <c r="G61" s="723">
        <f t="shared" ca="1" si="8"/>
        <v>861.25122845308636</v>
      </c>
      <c r="H61" s="723">
        <f t="shared" si="8"/>
        <v>1403.3006229257253</v>
      </c>
      <c r="I61" s="723">
        <f t="shared" si="8"/>
        <v>258.55049519730591</v>
      </c>
      <c r="J61" s="723">
        <f t="shared" si="8"/>
        <v>0</v>
      </c>
      <c r="K61" s="723">
        <f t="shared" si="8"/>
        <v>80.527987983783177</v>
      </c>
      <c r="L61" s="723">
        <f t="shared" si="8"/>
        <v>0</v>
      </c>
      <c r="M61" s="723">
        <f t="shared" ca="1" si="8"/>
        <v>0</v>
      </c>
      <c r="N61" s="723">
        <f t="shared" si="8"/>
        <v>0</v>
      </c>
      <c r="O61" s="723">
        <f t="shared" ca="1" si="8"/>
        <v>0</v>
      </c>
      <c r="P61" s="723">
        <f t="shared" si="8"/>
        <v>0</v>
      </c>
      <c r="Q61" s="723">
        <f t="shared" si="8"/>
        <v>0</v>
      </c>
      <c r="R61" s="723">
        <f ca="1">R46+R52+R56</f>
        <v>9228.3729524718165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0.19955460112711049</v>
      </c>
      <c r="D63" s="769">
        <f t="shared" ca="1" si="9"/>
        <v>0</v>
      </c>
      <c r="E63" s="967">
        <f t="shared" ca="1" si="9"/>
        <v>0.20199999999999996</v>
      </c>
      <c r="F63" s="769">
        <f t="shared" si="9"/>
        <v>0.22700000000000004</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812.82570718383545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812.82570718383545</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4599.6389426527794</v>
      </c>
      <c r="C4" s="446">
        <f>huishoudens!C8</f>
        <v>0</v>
      </c>
      <c r="D4" s="446">
        <f>huishoudens!D8</f>
        <v>23071.52199275489</v>
      </c>
      <c r="E4" s="446">
        <f>huishoudens!E8</f>
        <v>0</v>
      </c>
      <c r="F4" s="446">
        <f>huishoudens!F8</f>
        <v>0</v>
      </c>
      <c r="G4" s="446">
        <f>huishoudens!G8</f>
        <v>0</v>
      </c>
      <c r="H4" s="446">
        <f>huishoudens!H8</f>
        <v>0</v>
      </c>
      <c r="I4" s="446">
        <f>huishoudens!I8</f>
        <v>0</v>
      </c>
      <c r="J4" s="446">
        <f>huishoudens!J8</f>
        <v>0</v>
      </c>
      <c r="K4" s="446">
        <f>huishoudens!K8</f>
        <v>0</v>
      </c>
      <c r="L4" s="446">
        <f>huishoudens!L8</f>
        <v>0</v>
      </c>
      <c r="M4" s="446">
        <f>huishoudens!M8</f>
        <v>0</v>
      </c>
      <c r="N4" s="446">
        <f>huishoudens!N8</f>
        <v>1334.0235406085233</v>
      </c>
      <c r="O4" s="446">
        <f>huishoudens!O8</f>
        <v>33.727289729579546</v>
      </c>
      <c r="P4" s="447">
        <f>huishoudens!P8</f>
        <v>136.94147099990531</v>
      </c>
      <c r="Q4" s="448">
        <f>SUM(B4:P4)</f>
        <v>29175.853236745676</v>
      </c>
    </row>
    <row r="5" spans="1:17">
      <c r="A5" s="445" t="s">
        <v>149</v>
      </c>
      <c r="B5" s="446">
        <f ca="1">tertiair!B16</f>
        <v>2172.8067799999999</v>
      </c>
      <c r="C5" s="446">
        <f ca="1">tertiair!C16</f>
        <v>0</v>
      </c>
      <c r="D5" s="446">
        <f ca="1">tertiair!D16</f>
        <v>291.57194378400004</v>
      </c>
      <c r="E5" s="446">
        <f>tertiair!E16</f>
        <v>35.023484732491241</v>
      </c>
      <c r="F5" s="446">
        <f ca="1">tertiair!F16</f>
        <v>241.50699282164209</v>
      </c>
      <c r="G5" s="446">
        <f>tertiair!G16</f>
        <v>0</v>
      </c>
      <c r="H5" s="446">
        <f>tertiair!H16</f>
        <v>0</v>
      </c>
      <c r="I5" s="446">
        <f>tertiair!I16</f>
        <v>0</v>
      </c>
      <c r="J5" s="446">
        <f>tertiair!J16</f>
        <v>1.7561592193588689E-3</v>
      </c>
      <c r="K5" s="446">
        <f>tertiair!K16</f>
        <v>0</v>
      </c>
      <c r="L5" s="446">
        <f ca="1">tertiair!L16</f>
        <v>0</v>
      </c>
      <c r="M5" s="446">
        <f>tertiair!M16</f>
        <v>0</v>
      </c>
      <c r="N5" s="446">
        <f ca="1">tertiair!N16</f>
        <v>70.073914629015647</v>
      </c>
      <c r="O5" s="446">
        <f>tertiair!O16</f>
        <v>0</v>
      </c>
      <c r="P5" s="447">
        <f>tertiair!P16</f>
        <v>52.539138306495019</v>
      </c>
      <c r="Q5" s="445">
        <f t="shared" ref="Q5:Q14" ca="1" si="0">SUM(B5:P5)</f>
        <v>2863.5240104328632</v>
      </c>
    </row>
    <row r="6" spans="1:17">
      <c r="A6" s="445" t="s">
        <v>187</v>
      </c>
      <c r="B6" s="446">
        <f>'openbare verlichting'!B8</f>
        <v>156.99299999999999</v>
      </c>
      <c r="C6" s="446"/>
      <c r="D6" s="446"/>
      <c r="E6" s="446"/>
      <c r="F6" s="446"/>
      <c r="G6" s="446"/>
      <c r="H6" s="446"/>
      <c r="I6" s="446"/>
      <c r="J6" s="446"/>
      <c r="K6" s="446"/>
      <c r="L6" s="446"/>
      <c r="M6" s="446"/>
      <c r="N6" s="446"/>
      <c r="O6" s="446"/>
      <c r="P6" s="447"/>
      <c r="Q6" s="445">
        <f t="shared" si="0"/>
        <v>156.99299999999999</v>
      </c>
    </row>
    <row r="7" spans="1:17">
      <c r="A7" s="445" t="s">
        <v>105</v>
      </c>
      <c r="B7" s="446">
        <f>landbouw!B8</f>
        <v>821.96151699999996</v>
      </c>
      <c r="C7" s="446">
        <f>landbouw!C8</f>
        <v>0</v>
      </c>
      <c r="D7" s="446">
        <f>landbouw!D8</f>
        <v>1002.2590751360001</v>
      </c>
      <c r="E7" s="446">
        <f>landbouw!E8</f>
        <v>25.653147896100496</v>
      </c>
      <c r="F7" s="446">
        <f>landbouw!F8</f>
        <v>2904.9030555185691</v>
      </c>
      <c r="G7" s="446">
        <f>landbouw!G8</f>
        <v>0</v>
      </c>
      <c r="H7" s="446">
        <f>landbouw!H8</f>
        <v>0</v>
      </c>
      <c r="I7" s="446">
        <f>landbouw!I8</f>
        <v>0</v>
      </c>
      <c r="J7" s="446">
        <f>landbouw!J8</f>
        <v>226.45609818666378</v>
      </c>
      <c r="K7" s="446">
        <f>landbouw!K8</f>
        <v>0</v>
      </c>
      <c r="L7" s="446">
        <f>landbouw!L8</f>
        <v>0</v>
      </c>
      <c r="M7" s="446">
        <f>landbouw!M8</f>
        <v>0</v>
      </c>
      <c r="N7" s="446">
        <f>landbouw!N8</f>
        <v>0</v>
      </c>
      <c r="O7" s="446">
        <f>landbouw!O8</f>
        <v>0</v>
      </c>
      <c r="P7" s="447">
        <f>landbouw!P8</f>
        <v>0</v>
      </c>
      <c r="Q7" s="445">
        <f t="shared" si="0"/>
        <v>4981.2328937373331</v>
      </c>
    </row>
    <row r="8" spans="1:17">
      <c r="A8" s="445" t="s">
        <v>612</v>
      </c>
      <c r="B8" s="446">
        <f>industrie!B18</f>
        <v>318.377904</v>
      </c>
      <c r="C8" s="446">
        <f>industrie!C18</f>
        <v>0</v>
      </c>
      <c r="D8" s="446">
        <f>industrie!D18</f>
        <v>16.872597324000001</v>
      </c>
      <c r="E8" s="446">
        <f>industrie!E18</f>
        <v>22.306328807093919</v>
      </c>
      <c r="F8" s="446">
        <f>industrie!F18</f>
        <v>79.249983319288134</v>
      </c>
      <c r="G8" s="446">
        <f>industrie!G18</f>
        <v>0</v>
      </c>
      <c r="H8" s="446">
        <f>industrie!H18</f>
        <v>0</v>
      </c>
      <c r="I8" s="446">
        <f>industrie!I18</f>
        <v>0</v>
      </c>
      <c r="J8" s="446">
        <f>industrie!J18</f>
        <v>1.022337698702134</v>
      </c>
      <c r="K8" s="446">
        <f>industrie!K18</f>
        <v>0</v>
      </c>
      <c r="L8" s="446">
        <f>industrie!L18</f>
        <v>0</v>
      </c>
      <c r="M8" s="446">
        <f>industrie!M18</f>
        <v>0</v>
      </c>
      <c r="N8" s="446">
        <f>industrie!N18</f>
        <v>14.682026471982137</v>
      </c>
      <c r="O8" s="446">
        <f>industrie!O18</f>
        <v>0</v>
      </c>
      <c r="P8" s="447">
        <f>industrie!P18</f>
        <v>0</v>
      </c>
      <c r="Q8" s="445">
        <f t="shared" si="0"/>
        <v>452.51117762106628</v>
      </c>
    </row>
    <row r="9" spans="1:17" s="451" customFormat="1">
      <c r="A9" s="449" t="s">
        <v>538</v>
      </c>
      <c r="B9" s="450">
        <f>transport!B14</f>
        <v>6.3934852278113494</v>
      </c>
      <c r="C9" s="450">
        <f>transport!C14</f>
        <v>0</v>
      </c>
      <c r="D9" s="450">
        <f>transport!D14</f>
        <v>11.707748082502997</v>
      </c>
      <c r="E9" s="450">
        <f>transport!E14</f>
        <v>10.08794244350354</v>
      </c>
      <c r="F9" s="450">
        <f>transport!F14</f>
        <v>0</v>
      </c>
      <c r="G9" s="450">
        <f>transport!G14</f>
        <v>5173.7385378392864</v>
      </c>
      <c r="H9" s="450">
        <f>transport!H14</f>
        <v>1038.3554023988188</v>
      </c>
      <c r="I9" s="450">
        <f>transport!I14</f>
        <v>0</v>
      </c>
      <c r="J9" s="450">
        <f>transport!J14</f>
        <v>0</v>
      </c>
      <c r="K9" s="450">
        <f>transport!K14</f>
        <v>0</v>
      </c>
      <c r="L9" s="450">
        <f>transport!L14</f>
        <v>0</v>
      </c>
      <c r="M9" s="450">
        <f>transport!M14</f>
        <v>366.97316858134911</v>
      </c>
      <c r="N9" s="450">
        <f>transport!N14</f>
        <v>0</v>
      </c>
      <c r="O9" s="450">
        <f>transport!O14</f>
        <v>0</v>
      </c>
      <c r="P9" s="450">
        <f>transport!P14</f>
        <v>0</v>
      </c>
      <c r="Q9" s="449">
        <f>SUM(B9:P9)</f>
        <v>6607.2562845732728</v>
      </c>
    </row>
    <row r="10" spans="1:17">
      <c r="A10" s="445" t="s">
        <v>528</v>
      </c>
      <c r="B10" s="446">
        <f>transport!B54</f>
        <v>1.132744411377697</v>
      </c>
      <c r="C10" s="446">
        <f>transport!C54</f>
        <v>0</v>
      </c>
      <c r="D10" s="446">
        <f>transport!D54</f>
        <v>0</v>
      </c>
      <c r="E10" s="446">
        <f>transport!E54</f>
        <v>0</v>
      </c>
      <c r="F10" s="446">
        <f>transport!F54</f>
        <v>0</v>
      </c>
      <c r="G10" s="446">
        <f>transport!G54</f>
        <v>82.069038661556874</v>
      </c>
      <c r="H10" s="446">
        <f>transport!H54</f>
        <v>0</v>
      </c>
      <c r="I10" s="446">
        <f>transport!I54</f>
        <v>0</v>
      </c>
      <c r="J10" s="446">
        <f>transport!J54</f>
        <v>0</v>
      </c>
      <c r="K10" s="446">
        <f>transport!K54</f>
        <v>0</v>
      </c>
      <c r="L10" s="446">
        <f>transport!L54</f>
        <v>0</v>
      </c>
      <c r="M10" s="446">
        <f>transport!M54</f>
        <v>4.6420692283807412</v>
      </c>
      <c r="N10" s="446">
        <f>transport!N54</f>
        <v>0</v>
      </c>
      <c r="O10" s="446">
        <f>transport!O54</f>
        <v>0</v>
      </c>
      <c r="P10" s="447">
        <f>transport!P54</f>
        <v>0</v>
      </c>
      <c r="Q10" s="445">
        <f t="shared" si="0"/>
        <v>87.843852301315309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299.06028900000001</v>
      </c>
      <c r="C14" s="453"/>
      <c r="D14" s="453">
        <f>'SEAP template'!E25</f>
        <v>22.271661000000002</v>
      </c>
      <c r="E14" s="453"/>
      <c r="F14" s="453"/>
      <c r="G14" s="453"/>
      <c r="H14" s="453"/>
      <c r="I14" s="453"/>
      <c r="J14" s="453"/>
      <c r="K14" s="453"/>
      <c r="L14" s="453"/>
      <c r="M14" s="453"/>
      <c r="N14" s="453"/>
      <c r="O14" s="453"/>
      <c r="P14" s="454"/>
      <c r="Q14" s="445">
        <f t="shared" si="0"/>
        <v>321.33195000000001</v>
      </c>
    </row>
    <row r="15" spans="1:17" s="457" customFormat="1">
      <c r="A15" s="455" t="s">
        <v>532</v>
      </c>
      <c r="B15" s="456">
        <f ca="1">SUM(B4:B14)</f>
        <v>8376.3646622919696</v>
      </c>
      <c r="C15" s="456">
        <f t="shared" ref="C15:Q15" ca="1" si="1">SUM(C4:C14)</f>
        <v>0</v>
      </c>
      <c r="D15" s="456">
        <f t="shared" ca="1" si="1"/>
        <v>24416.205018081393</v>
      </c>
      <c r="E15" s="456">
        <f t="shared" si="1"/>
        <v>93.070903879189189</v>
      </c>
      <c r="F15" s="456">
        <f t="shared" ca="1" si="1"/>
        <v>3225.6600316594995</v>
      </c>
      <c r="G15" s="456">
        <f t="shared" si="1"/>
        <v>5255.8075765008434</v>
      </c>
      <c r="H15" s="456">
        <f t="shared" si="1"/>
        <v>1038.3554023988188</v>
      </c>
      <c r="I15" s="456">
        <f t="shared" si="1"/>
        <v>0</v>
      </c>
      <c r="J15" s="456">
        <f t="shared" si="1"/>
        <v>227.48019204458527</v>
      </c>
      <c r="K15" s="456">
        <f t="shared" si="1"/>
        <v>0</v>
      </c>
      <c r="L15" s="456">
        <f t="shared" ca="1" si="1"/>
        <v>0</v>
      </c>
      <c r="M15" s="456">
        <f t="shared" si="1"/>
        <v>371.61523780972988</v>
      </c>
      <c r="N15" s="456">
        <f t="shared" ca="1" si="1"/>
        <v>1418.7794817095212</v>
      </c>
      <c r="O15" s="456">
        <f t="shared" si="1"/>
        <v>33.727289729579546</v>
      </c>
      <c r="P15" s="456">
        <f t="shared" si="1"/>
        <v>189.48060930640031</v>
      </c>
      <c r="Q15" s="456">
        <f t="shared" ca="1" si="1"/>
        <v>44646.546405411529</v>
      </c>
    </row>
    <row r="17" spans="1:17">
      <c r="A17" s="458" t="s">
        <v>533</v>
      </c>
      <c r="B17" s="774">
        <f ca="1">huishoudens!B10</f>
        <v>0.19955460112711051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917.87911452979972</v>
      </c>
      <c r="C22" s="446">
        <f t="shared" ref="C22:C32" ca="1" si="3">C4*$C$17</f>
        <v>0</v>
      </c>
      <c r="D22" s="446">
        <f t="shared" ref="D22:D32" si="4">D4*$D$17</f>
        <v>4660.4474425364879</v>
      </c>
      <c r="E22" s="446">
        <f t="shared" ref="E22:E32" si="5">E4*$E$17</f>
        <v>0</v>
      </c>
      <c r="F22" s="446">
        <f t="shared" ref="F22:F32" si="6">F4*$F$17</f>
        <v>0</v>
      </c>
      <c r="G22" s="446">
        <f t="shared" ref="G22:G32" si="7">G4*$G$17</f>
        <v>0</v>
      </c>
      <c r="H22" s="446">
        <f t="shared" ref="H22:H32" si="8">H4*$H$17</f>
        <v>0</v>
      </c>
      <c r="I22" s="446">
        <f t="shared" ref="I22:I32" si="9">I4*$I$17</f>
        <v>0</v>
      </c>
      <c r="J22" s="446">
        <f t="shared" ref="J22:J32" si="10">J4*$J$17</f>
        <v>0</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5578.3265570662879</v>
      </c>
    </row>
    <row r="23" spans="1:17">
      <c r="A23" s="445" t="s">
        <v>149</v>
      </c>
      <c r="B23" s="446">
        <f t="shared" ca="1" si="2"/>
        <v>433.59359030918137</v>
      </c>
      <c r="C23" s="446">
        <f t="shared" ca="1" si="3"/>
        <v>0</v>
      </c>
      <c r="D23" s="446">
        <f t="shared" ca="1" si="4"/>
        <v>58.897532644368013</v>
      </c>
      <c r="E23" s="446">
        <f t="shared" si="5"/>
        <v>7.9503310342755116</v>
      </c>
      <c r="F23" s="446">
        <f t="shared" ca="1" si="6"/>
        <v>64.482367083378435</v>
      </c>
      <c r="G23" s="446">
        <f t="shared" si="7"/>
        <v>0</v>
      </c>
      <c r="H23" s="446">
        <f t="shared" si="8"/>
        <v>0</v>
      </c>
      <c r="I23" s="446">
        <f t="shared" si="9"/>
        <v>0</v>
      </c>
      <c r="J23" s="446">
        <f t="shared" si="10"/>
        <v>6.2168036365303954E-4</v>
      </c>
      <c r="K23" s="446">
        <f t="shared" si="11"/>
        <v>0</v>
      </c>
      <c r="L23" s="446">
        <f t="shared" ca="1" si="12"/>
        <v>0</v>
      </c>
      <c r="M23" s="446">
        <f t="shared" si="13"/>
        <v>0</v>
      </c>
      <c r="N23" s="446">
        <f t="shared" ca="1" si="14"/>
        <v>0</v>
      </c>
      <c r="O23" s="446">
        <f t="shared" si="15"/>
        <v>0</v>
      </c>
      <c r="P23" s="447">
        <f t="shared" si="16"/>
        <v>0</v>
      </c>
      <c r="Q23" s="445">
        <f t="shared" ref="Q23:Q31" ca="1" si="17">SUM(B23:P23)</f>
        <v>564.92444275156697</v>
      </c>
    </row>
    <row r="24" spans="1:17">
      <c r="A24" s="445" t="s">
        <v>187</v>
      </c>
      <c r="B24" s="446">
        <f t="shared" ca="1" si="2"/>
        <v>31.32867549474846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31.32867549474846</v>
      </c>
    </row>
    <row r="25" spans="1:17">
      <c r="A25" s="445" t="s">
        <v>105</v>
      </c>
      <c r="B25" s="446">
        <f t="shared" ca="1" si="2"/>
        <v>164.02620266676965</v>
      </c>
      <c r="C25" s="446">
        <f t="shared" ca="1" si="3"/>
        <v>0</v>
      </c>
      <c r="D25" s="446">
        <f t="shared" si="4"/>
        <v>202.45633317747203</v>
      </c>
      <c r="E25" s="446">
        <f t="shared" si="5"/>
        <v>5.8232645724148124</v>
      </c>
      <c r="F25" s="446">
        <f t="shared" si="6"/>
        <v>775.60911582345796</v>
      </c>
      <c r="G25" s="446">
        <f t="shared" si="7"/>
        <v>0</v>
      </c>
      <c r="H25" s="446">
        <f t="shared" si="8"/>
        <v>0</v>
      </c>
      <c r="I25" s="446">
        <f t="shared" si="9"/>
        <v>0</v>
      </c>
      <c r="J25" s="446">
        <f t="shared" si="10"/>
        <v>80.165458758078969</v>
      </c>
      <c r="K25" s="446">
        <f t="shared" si="11"/>
        <v>0</v>
      </c>
      <c r="L25" s="446">
        <f t="shared" si="12"/>
        <v>0</v>
      </c>
      <c r="M25" s="446">
        <f t="shared" si="13"/>
        <v>0</v>
      </c>
      <c r="N25" s="446">
        <f t="shared" si="14"/>
        <v>0</v>
      </c>
      <c r="O25" s="446">
        <f t="shared" si="15"/>
        <v>0</v>
      </c>
      <c r="P25" s="447">
        <f t="shared" si="16"/>
        <v>0</v>
      </c>
      <c r="Q25" s="445">
        <f t="shared" ca="1" si="17"/>
        <v>1228.0803749981935</v>
      </c>
    </row>
    <row r="26" spans="1:17">
      <c r="A26" s="445" t="s">
        <v>612</v>
      </c>
      <c r="B26" s="446">
        <f t="shared" ca="1" si="2"/>
        <v>63.53377564040548</v>
      </c>
      <c r="C26" s="446">
        <f t="shared" ca="1" si="3"/>
        <v>0</v>
      </c>
      <c r="D26" s="446">
        <f t="shared" si="4"/>
        <v>3.4082646594480006</v>
      </c>
      <c r="E26" s="446">
        <f t="shared" si="5"/>
        <v>5.0635366392103203</v>
      </c>
      <c r="F26" s="446">
        <f t="shared" si="6"/>
        <v>21.159745546249933</v>
      </c>
      <c r="G26" s="446">
        <f t="shared" si="7"/>
        <v>0</v>
      </c>
      <c r="H26" s="446">
        <f t="shared" si="8"/>
        <v>0</v>
      </c>
      <c r="I26" s="446">
        <f t="shared" si="9"/>
        <v>0</v>
      </c>
      <c r="J26" s="446">
        <f t="shared" si="10"/>
        <v>0.36190754534055541</v>
      </c>
      <c r="K26" s="446">
        <f t="shared" si="11"/>
        <v>0</v>
      </c>
      <c r="L26" s="446">
        <f t="shared" si="12"/>
        <v>0</v>
      </c>
      <c r="M26" s="446">
        <f t="shared" si="13"/>
        <v>0</v>
      </c>
      <c r="N26" s="446">
        <f t="shared" si="14"/>
        <v>0</v>
      </c>
      <c r="O26" s="446">
        <f t="shared" si="15"/>
        <v>0</v>
      </c>
      <c r="P26" s="447">
        <f t="shared" si="16"/>
        <v>0</v>
      </c>
      <c r="Q26" s="445">
        <f t="shared" ca="1" si="17"/>
        <v>93.527230030654295</v>
      </c>
    </row>
    <row r="27" spans="1:17" s="451" customFormat="1">
      <c r="A27" s="449" t="s">
        <v>538</v>
      </c>
      <c r="B27" s="768">
        <f t="shared" ca="1" si="2"/>
        <v>1.2758493944479672</v>
      </c>
      <c r="C27" s="450">
        <f t="shared" ca="1" si="3"/>
        <v>0</v>
      </c>
      <c r="D27" s="450">
        <f t="shared" si="4"/>
        <v>2.3649651126656055</v>
      </c>
      <c r="E27" s="450">
        <f t="shared" si="5"/>
        <v>2.2899629346753034</v>
      </c>
      <c r="F27" s="450">
        <f t="shared" si="6"/>
        <v>0</v>
      </c>
      <c r="G27" s="450">
        <f t="shared" si="7"/>
        <v>1381.3881896030896</v>
      </c>
      <c r="H27" s="450">
        <f t="shared" si="8"/>
        <v>258.55049519730591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1645.8694622421845</v>
      </c>
    </row>
    <row r="28" spans="1:17" ht="16.5" customHeight="1">
      <c r="A28" s="445" t="s">
        <v>528</v>
      </c>
      <c r="B28" s="446">
        <f t="shared" ca="1" si="2"/>
        <v>0.22604435919143992</v>
      </c>
      <c r="C28" s="446">
        <f t="shared" ca="1" si="3"/>
        <v>0</v>
      </c>
      <c r="D28" s="446">
        <f t="shared" si="4"/>
        <v>0</v>
      </c>
      <c r="E28" s="446">
        <f t="shared" si="5"/>
        <v>0</v>
      </c>
      <c r="F28" s="446">
        <f t="shared" si="6"/>
        <v>0</v>
      </c>
      <c r="G28" s="446">
        <f t="shared" si="7"/>
        <v>21.912433322635685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22.138477681827126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59.678856684353399</v>
      </c>
      <c r="C32" s="446">
        <f t="shared" ca="1" si="3"/>
        <v>0</v>
      </c>
      <c r="D32" s="446">
        <f t="shared" si="4"/>
        <v>4.4988755220000005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64.177732206353397</v>
      </c>
    </row>
    <row r="33" spans="1:17" s="457" customFormat="1">
      <c r="A33" s="455" t="s">
        <v>532</v>
      </c>
      <c r="B33" s="456">
        <f ca="1">SUM(B22:B32)</f>
        <v>1671.5421090788977</v>
      </c>
      <c r="C33" s="456">
        <f t="shared" ref="C33:Q33" ca="1" si="19">SUM(C22:C32)</f>
        <v>0</v>
      </c>
      <c r="D33" s="456">
        <f t="shared" ca="1" si="19"/>
        <v>4932.0734136524406</v>
      </c>
      <c r="E33" s="456">
        <f t="shared" si="19"/>
        <v>21.127095180575949</v>
      </c>
      <c r="F33" s="456">
        <f t="shared" ca="1" si="19"/>
        <v>861.25122845308636</v>
      </c>
      <c r="G33" s="456">
        <f t="shared" si="19"/>
        <v>1403.3006229257253</v>
      </c>
      <c r="H33" s="456">
        <f t="shared" si="19"/>
        <v>258.55049519730591</v>
      </c>
      <c r="I33" s="456">
        <f t="shared" si="19"/>
        <v>0</v>
      </c>
      <c r="J33" s="456">
        <f t="shared" si="19"/>
        <v>80.527987983783177</v>
      </c>
      <c r="K33" s="456">
        <f t="shared" si="19"/>
        <v>0</v>
      </c>
      <c r="L33" s="456">
        <f t="shared" ca="1" si="19"/>
        <v>0</v>
      </c>
      <c r="M33" s="456">
        <f t="shared" si="19"/>
        <v>0</v>
      </c>
      <c r="N33" s="456">
        <f t="shared" ca="1" si="19"/>
        <v>0</v>
      </c>
      <c r="O33" s="456">
        <f t="shared" si="19"/>
        <v>0</v>
      </c>
      <c r="P33" s="456">
        <f t="shared" si="19"/>
        <v>0</v>
      </c>
      <c r="Q33" s="456">
        <f t="shared" ca="1" si="19"/>
        <v>9228.3729524718146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812.82570718383545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812.82570718383545</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0.19955460112711051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0.19955460112711051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0.19955460112711051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0.19955460112711051</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1122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468.96</v>
      </c>
      <c r="C14" s="326"/>
      <c r="D14" s="326"/>
      <c r="E14" s="326"/>
      <c r="F14" s="326"/>
    </row>
    <row r="15" spans="1:6">
      <c r="A15" s="1296" t="s">
        <v>177</v>
      </c>
      <c r="B15" s="1297">
        <v>251</v>
      </c>
      <c r="C15" s="326"/>
      <c r="D15" s="326"/>
      <c r="E15" s="326"/>
      <c r="F15" s="326"/>
    </row>
    <row r="16" spans="1:6">
      <c r="A16" s="1296" t="s">
        <v>6</v>
      </c>
      <c r="B16" s="1297">
        <v>641</v>
      </c>
      <c r="C16" s="326"/>
      <c r="D16" s="326"/>
      <c r="E16" s="326"/>
      <c r="F16" s="326"/>
    </row>
    <row r="17" spans="1:6">
      <c r="A17" s="1296" t="s">
        <v>7</v>
      </c>
      <c r="B17" s="1297">
        <v>26</v>
      </c>
      <c r="C17" s="326"/>
      <c r="D17" s="326"/>
      <c r="E17" s="326"/>
      <c r="F17" s="326"/>
    </row>
    <row r="18" spans="1:6">
      <c r="A18" s="1296" t="s">
        <v>8</v>
      </c>
      <c r="B18" s="1297">
        <v>315</v>
      </c>
      <c r="C18" s="326"/>
      <c r="D18" s="326"/>
      <c r="E18" s="326"/>
      <c r="F18" s="326"/>
    </row>
    <row r="19" spans="1:6">
      <c r="A19" s="1296" t="s">
        <v>9</v>
      </c>
      <c r="B19" s="1297">
        <v>322</v>
      </c>
      <c r="C19" s="326"/>
      <c r="D19" s="326"/>
      <c r="E19" s="326"/>
      <c r="F19" s="326"/>
    </row>
    <row r="20" spans="1:6">
      <c r="A20" s="1296" t="s">
        <v>10</v>
      </c>
      <c r="B20" s="1297">
        <v>102</v>
      </c>
      <c r="C20" s="326"/>
      <c r="D20" s="326"/>
      <c r="E20" s="326"/>
      <c r="F20" s="326"/>
    </row>
    <row r="21" spans="1:6">
      <c r="A21" s="1296" t="s">
        <v>11</v>
      </c>
      <c r="B21" s="1297">
        <v>1537</v>
      </c>
      <c r="C21" s="326"/>
      <c r="D21" s="326"/>
      <c r="E21" s="326"/>
      <c r="F21" s="326"/>
    </row>
    <row r="22" spans="1:6">
      <c r="A22" s="1296" t="s">
        <v>12</v>
      </c>
      <c r="B22" s="1297">
        <v>9992</v>
      </c>
      <c r="C22" s="326"/>
      <c r="D22" s="326"/>
      <c r="E22" s="326"/>
      <c r="F22" s="326"/>
    </row>
    <row r="23" spans="1:6">
      <c r="A23" s="1296" t="s">
        <v>13</v>
      </c>
      <c r="B23" s="1297">
        <v>82</v>
      </c>
      <c r="C23" s="326"/>
      <c r="D23" s="326"/>
      <c r="E23" s="326"/>
      <c r="F23" s="326"/>
    </row>
    <row r="24" spans="1:6">
      <c r="A24" s="1296" t="s">
        <v>14</v>
      </c>
      <c r="B24" s="1297">
        <v>5</v>
      </c>
      <c r="C24" s="326"/>
      <c r="D24" s="326"/>
      <c r="E24" s="326"/>
      <c r="F24" s="326"/>
    </row>
    <row r="25" spans="1:6">
      <c r="A25" s="1296" t="s">
        <v>15</v>
      </c>
      <c r="B25" s="1297">
        <v>446</v>
      </c>
      <c r="C25" s="326"/>
      <c r="D25" s="326"/>
      <c r="E25" s="326"/>
      <c r="F25" s="326"/>
    </row>
    <row r="26" spans="1:6">
      <c r="A26" s="1296" t="s">
        <v>16</v>
      </c>
      <c r="B26" s="1297">
        <v>8</v>
      </c>
      <c r="C26" s="326"/>
      <c r="D26" s="326"/>
      <c r="E26" s="326"/>
      <c r="F26" s="326"/>
    </row>
    <row r="27" spans="1:6">
      <c r="A27" s="1296" t="s">
        <v>17</v>
      </c>
      <c r="B27" s="1297">
        <v>0</v>
      </c>
      <c r="C27" s="326"/>
      <c r="D27" s="326"/>
      <c r="E27" s="326"/>
      <c r="F27" s="326"/>
    </row>
    <row r="28" spans="1:6">
      <c r="A28" s="1296" t="s">
        <v>18</v>
      </c>
      <c r="B28" s="1298">
        <v>81022</v>
      </c>
      <c r="C28" s="326"/>
      <c r="D28" s="326"/>
      <c r="E28" s="326"/>
      <c r="F28" s="326"/>
    </row>
    <row r="29" spans="1:6">
      <c r="A29" s="1296" t="s">
        <v>689</v>
      </c>
      <c r="B29" s="1298">
        <v>7</v>
      </c>
      <c r="C29" s="326"/>
      <c r="D29" s="326"/>
      <c r="E29" s="326"/>
      <c r="F29" s="326"/>
    </row>
    <row r="30" spans="1:6">
      <c r="A30" s="1291" t="s">
        <v>690</v>
      </c>
      <c r="B30" s="1299">
        <v>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8407.2630000000008</v>
      </c>
    </row>
    <row r="39" spans="1:6">
      <c r="A39" s="1296" t="s">
        <v>29</v>
      </c>
      <c r="B39" s="1296" t="s">
        <v>30</v>
      </c>
      <c r="C39" s="1297">
        <v>1182</v>
      </c>
      <c r="D39" s="1297">
        <v>25578184.027444445</v>
      </c>
      <c r="E39" s="1297">
        <v>1104</v>
      </c>
      <c r="F39" s="1297">
        <v>4065346.375</v>
      </c>
    </row>
    <row r="40" spans="1:6">
      <c r="A40" s="1296" t="s">
        <v>29</v>
      </c>
      <c r="B40" s="1296" t="s">
        <v>28</v>
      </c>
      <c r="C40" s="1297">
        <v>0</v>
      </c>
      <c r="D40" s="1297">
        <v>0</v>
      </c>
      <c r="E40" s="1297">
        <v>0</v>
      </c>
      <c r="F40" s="1297">
        <v>0</v>
      </c>
    </row>
    <row r="41" spans="1:6">
      <c r="A41" s="1296" t="s">
        <v>31</v>
      </c>
      <c r="B41" s="1296" t="s">
        <v>32</v>
      </c>
      <c r="C41" s="1297">
        <v>0</v>
      </c>
      <c r="D41" s="1297">
        <v>0</v>
      </c>
      <c r="E41" s="1297">
        <v>14</v>
      </c>
      <c r="F41" s="1297">
        <v>58539.061999999998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54153.398999999998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v>
      </c>
      <c r="D48" s="1297">
        <v>18705.761999999999</v>
      </c>
      <c r="E48" s="1297">
        <v>12</v>
      </c>
      <c r="F48" s="1297">
        <v>117158.32</v>
      </c>
    </row>
    <row r="49" spans="1:6">
      <c r="A49" s="1296" t="s">
        <v>31</v>
      </c>
      <c r="B49" s="1296" t="s">
        <v>39</v>
      </c>
      <c r="C49" s="1297">
        <v>0</v>
      </c>
      <c r="D49" s="1297">
        <v>0</v>
      </c>
      <c r="E49" s="1297">
        <v>0</v>
      </c>
      <c r="F49" s="1297">
        <v>0</v>
      </c>
    </row>
    <row r="50" spans="1:6">
      <c r="A50" s="1296" t="s">
        <v>31</v>
      </c>
      <c r="B50" s="1296" t="s">
        <v>40</v>
      </c>
      <c r="C50" s="1297">
        <v>0</v>
      </c>
      <c r="D50" s="1297">
        <v>0</v>
      </c>
      <c r="E50" s="1297">
        <v>3</v>
      </c>
      <c r="F50" s="1297">
        <v>88527.123000000007</v>
      </c>
    </row>
    <row r="51" spans="1:6">
      <c r="A51" s="1296" t="s">
        <v>41</v>
      </c>
      <c r="B51" s="1296" t="s">
        <v>42</v>
      </c>
      <c r="C51" s="1297">
        <v>0</v>
      </c>
      <c r="D51" s="1297">
        <v>0</v>
      </c>
      <c r="E51" s="1297">
        <v>40</v>
      </c>
      <c r="F51" s="1297">
        <v>700976.94200000004</v>
      </c>
    </row>
    <row r="52" spans="1:6">
      <c r="A52" s="1296" t="s">
        <v>41</v>
      </c>
      <c r="B52" s="1296" t="s">
        <v>28</v>
      </c>
      <c r="C52" s="1297">
        <v>8</v>
      </c>
      <c r="D52" s="1297">
        <v>1111151.9680000001</v>
      </c>
      <c r="E52" s="1297">
        <v>6</v>
      </c>
      <c r="F52" s="1297">
        <v>120984.575</v>
      </c>
    </row>
    <row r="53" spans="1:6">
      <c r="A53" s="1296" t="s">
        <v>43</v>
      </c>
      <c r="B53" s="1296" t="s">
        <v>44</v>
      </c>
      <c r="C53" s="1297">
        <v>2</v>
      </c>
      <c r="D53" s="1297">
        <v>22271.661</v>
      </c>
      <c r="E53" s="1297">
        <v>50</v>
      </c>
      <c r="F53" s="1297">
        <v>299060.28899999999</v>
      </c>
    </row>
    <row r="54" spans="1:6">
      <c r="A54" s="1296" t="s">
        <v>45</v>
      </c>
      <c r="B54" s="1296" t="s">
        <v>46</v>
      </c>
      <c r="C54" s="1297">
        <v>0</v>
      </c>
      <c r="D54" s="1297">
        <v>0</v>
      </c>
      <c r="E54" s="1297">
        <v>1</v>
      </c>
      <c r="F54" s="1297">
        <v>156993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5</v>
      </c>
      <c r="F57" s="1297">
        <v>23597.847000000002</v>
      </c>
    </row>
    <row r="58" spans="1:6">
      <c r="A58" s="1296" t="s">
        <v>48</v>
      </c>
      <c r="B58" s="1296" t="s">
        <v>50</v>
      </c>
      <c r="C58" s="1297">
        <v>0</v>
      </c>
      <c r="D58" s="1297">
        <v>0</v>
      </c>
      <c r="E58" s="1297">
        <v>3</v>
      </c>
      <c r="F58" s="1297">
        <v>34470.523999999998</v>
      </c>
    </row>
    <row r="59" spans="1:6">
      <c r="A59" s="1296" t="s">
        <v>48</v>
      </c>
      <c r="B59" s="1296" t="s">
        <v>51</v>
      </c>
      <c r="C59" s="1297">
        <v>0</v>
      </c>
      <c r="D59" s="1297">
        <v>0</v>
      </c>
      <c r="E59" s="1297">
        <v>48</v>
      </c>
      <c r="F59" s="1297">
        <v>649555.54599999997</v>
      </c>
    </row>
    <row r="60" spans="1:6">
      <c r="A60" s="1296" t="s">
        <v>48</v>
      </c>
      <c r="B60" s="1296" t="s">
        <v>52</v>
      </c>
      <c r="C60" s="1297">
        <v>0</v>
      </c>
      <c r="D60" s="1297">
        <v>0</v>
      </c>
      <c r="E60" s="1297">
        <v>18</v>
      </c>
      <c r="F60" s="1297">
        <v>379858.54499999998</v>
      </c>
    </row>
    <row r="61" spans="1:6">
      <c r="A61" s="1296" t="s">
        <v>48</v>
      </c>
      <c r="B61" s="1296" t="s">
        <v>53</v>
      </c>
      <c r="C61" s="1297">
        <v>3</v>
      </c>
      <c r="D61" s="1297">
        <v>95758.588000000003</v>
      </c>
      <c r="E61" s="1297">
        <v>66</v>
      </c>
      <c r="F61" s="1297">
        <v>306999.36900000001</v>
      </c>
    </row>
    <row r="62" spans="1:6">
      <c r="A62" s="1296" t="s">
        <v>48</v>
      </c>
      <c r="B62" s="1296" t="s">
        <v>54</v>
      </c>
      <c r="C62" s="1297">
        <v>0</v>
      </c>
      <c r="D62" s="1297">
        <v>0</v>
      </c>
      <c r="E62" s="1297">
        <v>3</v>
      </c>
      <c r="F62" s="1297">
        <v>70994.762000000002</v>
      </c>
    </row>
    <row r="63" spans="1:6">
      <c r="A63" s="1296" t="s">
        <v>48</v>
      </c>
      <c r="B63" s="1296" t="s">
        <v>28</v>
      </c>
      <c r="C63" s="1297">
        <v>5</v>
      </c>
      <c r="D63" s="1297">
        <v>227491.90400000001</v>
      </c>
      <c r="E63" s="1297">
        <v>38</v>
      </c>
      <c r="F63" s="1297">
        <v>707330.18700000003</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14450.105</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4642202</v>
      </c>
      <c r="E73" s="444"/>
      <c r="F73" s="326"/>
    </row>
    <row r="74" spans="1:6">
      <c r="A74" s="1296" t="s">
        <v>63</v>
      </c>
      <c r="B74" s="1296" t="s">
        <v>633</v>
      </c>
      <c r="C74" s="1309" t="s">
        <v>635</v>
      </c>
      <c r="D74" s="1297">
        <v>757559.5</v>
      </c>
      <c r="E74" s="444"/>
      <c r="F74" s="326"/>
    </row>
    <row r="75" spans="1:6">
      <c r="A75" s="1296" t="s">
        <v>64</v>
      </c>
      <c r="B75" s="1296" t="s">
        <v>632</v>
      </c>
      <c r="C75" s="1309" t="s">
        <v>636</v>
      </c>
      <c r="D75" s="1297">
        <v>1796399</v>
      </c>
      <c r="E75" s="444"/>
      <c r="F75" s="326"/>
    </row>
    <row r="76" spans="1:6">
      <c r="A76" s="1296" t="s">
        <v>64</v>
      </c>
      <c r="B76" s="1296" t="s">
        <v>633</v>
      </c>
      <c r="C76" s="1309" t="s">
        <v>637</v>
      </c>
      <c r="D76" s="1297">
        <v>34924.5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24071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534.29256765277955</v>
      </c>
      <c r="C91" s="326"/>
      <c r="D91" s="326"/>
      <c r="E91" s="326"/>
      <c r="F91" s="326"/>
    </row>
    <row r="92" spans="1:6">
      <c r="A92" s="1291" t="s">
        <v>68</v>
      </c>
      <c r="B92" s="1292">
        <v>278.53313953105595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675</v>
      </c>
      <c r="C97" s="326"/>
      <c r="D97" s="326"/>
      <c r="E97" s="326"/>
      <c r="F97" s="326"/>
    </row>
    <row r="98" spans="1:6">
      <c r="A98" s="1296" t="s">
        <v>71</v>
      </c>
      <c r="B98" s="1297">
        <v>1</v>
      </c>
      <c r="C98" s="326"/>
      <c r="D98" s="326"/>
      <c r="E98" s="326"/>
      <c r="F98" s="326"/>
    </row>
    <row r="99" spans="1:6">
      <c r="A99" s="1296" t="s">
        <v>72</v>
      </c>
      <c r="B99" s="1297">
        <v>5</v>
      </c>
      <c r="C99" s="326"/>
      <c r="D99" s="326"/>
      <c r="E99" s="326"/>
      <c r="F99" s="326"/>
    </row>
    <row r="100" spans="1:6">
      <c r="A100" s="1296" t="s">
        <v>73</v>
      </c>
      <c r="B100" s="1297">
        <v>23</v>
      </c>
      <c r="C100" s="326"/>
      <c r="D100" s="326"/>
      <c r="E100" s="326"/>
      <c r="F100" s="326"/>
    </row>
    <row r="101" spans="1:6">
      <c r="A101" s="1296" t="s">
        <v>74</v>
      </c>
      <c r="B101" s="1297">
        <v>24</v>
      </c>
      <c r="C101" s="326"/>
      <c r="D101" s="326"/>
      <c r="E101" s="326"/>
      <c r="F101" s="326"/>
    </row>
    <row r="102" spans="1:6">
      <c r="A102" s="1296" t="s">
        <v>75</v>
      </c>
      <c r="B102" s="1297">
        <v>17</v>
      </c>
      <c r="C102" s="326"/>
      <c r="D102" s="326"/>
      <c r="E102" s="326"/>
      <c r="F102" s="326"/>
    </row>
    <row r="103" spans="1:6">
      <c r="A103" s="1296" t="s">
        <v>76</v>
      </c>
      <c r="B103" s="1297">
        <v>16</v>
      </c>
      <c r="C103" s="326"/>
      <c r="D103" s="326"/>
      <c r="E103" s="326"/>
      <c r="F103" s="326"/>
    </row>
    <row r="104" spans="1:6">
      <c r="A104" s="1296" t="s">
        <v>77</v>
      </c>
      <c r="B104" s="1297">
        <v>95</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6</v>
      </c>
      <c r="C123" s="1297">
        <v>3</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14</v>
      </c>
      <c r="C129" s="326"/>
      <c r="D129" s="326"/>
      <c r="E129" s="326"/>
      <c r="F129" s="326"/>
    </row>
    <row r="130" spans="1:6">
      <c r="A130" s="1296" t="s">
        <v>283</v>
      </c>
      <c r="B130" s="1297">
        <v>0</v>
      </c>
      <c r="C130" s="326"/>
      <c r="D130" s="326"/>
      <c r="E130" s="326"/>
      <c r="F130" s="326"/>
    </row>
    <row r="131" spans="1:6">
      <c r="A131" s="1296" t="s">
        <v>284</v>
      </c>
      <c r="B131" s="1297">
        <v>1</v>
      </c>
      <c r="C131" s="326"/>
      <c r="D131" s="326"/>
      <c r="E131" s="326"/>
      <c r="F131" s="326"/>
    </row>
    <row r="132" spans="1:6">
      <c r="A132" s="1291" t="s">
        <v>285</v>
      </c>
      <c r="B132" s="1292">
        <v>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8376.3646622919696</v>
      </c>
      <c r="C3" s="43" t="s">
        <v>163</v>
      </c>
      <c r="D3" s="43"/>
      <c r="E3" s="154"/>
      <c r="F3" s="43"/>
      <c r="G3" s="43"/>
      <c r="H3" s="43"/>
      <c r="I3" s="43"/>
      <c r="J3" s="43"/>
      <c r="K3" s="96"/>
    </row>
    <row r="4" spans="1:11">
      <c r="A4" s="352" t="s">
        <v>164</v>
      </c>
      <c r="B4" s="49">
        <f>IF(ISERROR('SEAP template'!B78+'SEAP template'!C78),0,'SEAP template'!B78+'SEAP template'!C78)</f>
        <v>812.82570718383545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0.19955460112711051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156.99299999999999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156.99299999999999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0.19955460112711051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31.32867549474846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4065.3463750000001</v>
      </c>
      <c r="C5" s="17">
        <f>IF(ISERROR('Eigen informatie GS &amp; warmtenet'!B59),0,'Eigen informatie GS &amp; warmtenet'!B59)</f>
        <v>0</v>
      </c>
      <c r="D5" s="30">
        <f>(SUM(HH_hh_gas_kWh,HH_rest_gas_kWh)/1000)*0.902</f>
        <v>23071.52199275489</v>
      </c>
      <c r="E5" s="17">
        <f>B32*B41</f>
        <v>0</v>
      </c>
      <c r="F5" s="17">
        <f>B36*B45</f>
        <v>0</v>
      </c>
      <c r="G5" s="18"/>
      <c r="H5" s="17"/>
      <c r="I5" s="17"/>
      <c r="J5" s="17">
        <f>B35*B44+C35*C44</f>
        <v>0</v>
      </c>
      <c r="K5" s="17"/>
      <c r="L5" s="17"/>
      <c r="M5" s="17"/>
      <c r="N5" s="17">
        <f>B34*B43+C34*C43</f>
        <v>1334.0235406085233</v>
      </c>
      <c r="O5" s="17">
        <f>B52*B53*B54</f>
        <v>33.727289729579546</v>
      </c>
      <c r="P5" s="17">
        <f>B60*B61*B62/1000-B60*B61*B62/1000/B63</f>
        <v>136.94147099990531</v>
      </c>
    </row>
    <row r="6" spans="1:16">
      <c r="A6" s="16" t="s">
        <v>598</v>
      </c>
      <c r="B6" s="776">
        <f>kWh_PV_kleiner_dan_10kW</f>
        <v>534.29256765277955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4599.6389426527794</v>
      </c>
      <c r="C8" s="21">
        <f>C5</f>
        <v>0</v>
      </c>
      <c r="D8" s="21">
        <f>D5</f>
        <v>23071.52199275489</v>
      </c>
      <c r="E8" s="21">
        <f>E5</f>
        <v>0</v>
      </c>
      <c r="F8" s="21">
        <f>F5</f>
        <v>0</v>
      </c>
      <c r="G8" s="21"/>
      <c r="H8" s="21"/>
      <c r="I8" s="21"/>
      <c r="J8" s="21">
        <f>J5</f>
        <v>0</v>
      </c>
      <c r="K8" s="21"/>
      <c r="L8" s="21">
        <f>L5</f>
        <v>0</v>
      </c>
      <c r="M8" s="21">
        <f>M5</f>
        <v>0</v>
      </c>
      <c r="N8" s="21">
        <f>N5</f>
        <v>1334.0235406085233</v>
      </c>
      <c r="O8" s="21">
        <f>O5</f>
        <v>33.727289729579546</v>
      </c>
      <c r="P8" s="21">
        <f>P5</f>
        <v>136.94147099990531</v>
      </c>
    </row>
    <row r="9" spans="1:16">
      <c r="B9" s="19"/>
      <c r="C9" s="19"/>
      <c r="D9" s="256"/>
      <c r="E9" s="19"/>
      <c r="F9" s="19"/>
      <c r="G9" s="19"/>
      <c r="H9" s="19"/>
      <c r="I9" s="19"/>
      <c r="J9" s="19"/>
      <c r="K9" s="19"/>
      <c r="L9" s="19"/>
      <c r="M9" s="19"/>
      <c r="N9" s="19"/>
      <c r="O9" s="19"/>
      <c r="P9" s="19"/>
    </row>
    <row r="10" spans="1:16">
      <c r="A10" s="24" t="s">
        <v>207</v>
      </c>
      <c r="B10" s="25">
        <f ca="1">'EF ele_warmte'!B12</f>
        <v>0.19955460112711051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917.87911452979972</v>
      </c>
      <c r="C12" s="23">
        <f ca="1">C10*C8</f>
        <v>0</v>
      </c>
      <c r="D12" s="23">
        <f>D8*D10</f>
        <v>4660.4474425364879</v>
      </c>
      <c r="E12" s="23">
        <f>E10*E8</f>
        <v>0</v>
      </c>
      <c r="F12" s="23">
        <f>F10*F8</f>
        <v>0</v>
      </c>
      <c r="G12" s="23"/>
      <c r="H12" s="23"/>
      <c r="I12" s="23"/>
      <c r="J12" s="23">
        <f>J10*J8</f>
        <v>0</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1122</v>
      </c>
      <c r="C26" s="36"/>
      <c r="D26" s="226"/>
    </row>
    <row r="27" spans="1:7" s="15" customFormat="1">
      <c r="A27" s="228" t="s">
        <v>800</v>
      </c>
      <c r="B27" s="37">
        <f>SUM(HH_hh_gas_aantal,HH_rest_gas_aantal)</f>
        <v>1182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1122.9000000000001</v>
      </c>
      <c r="C31" s="166" t="s">
        <v>104</v>
      </c>
      <c r="D31" s="231"/>
      <c r="G31" s="15"/>
    </row>
    <row r="32" spans="1:7">
      <c r="A32" s="169" t="s">
        <v>72</v>
      </c>
      <c r="B32" s="166">
        <f>IF((B21*($B$26-($B$27-0.05*$B$27)-$B$60))&lt;0,0,B21*($B$26-($B$27-0.05*$B$27)-$B$60))</f>
        <v>0</v>
      </c>
      <c r="C32" s="166" t="s">
        <v>104</v>
      </c>
      <c r="D32" s="231"/>
      <c r="G32" s="15"/>
    </row>
    <row r="33" spans="1:7">
      <c r="A33" s="169" t="s">
        <v>73</v>
      </c>
      <c r="B33" s="166">
        <f>IF((B22*($B$26-($B$27-0.05*$B$27)-$B$60))&lt;0,0,B22*($B$26-($B$27-0.05*$B$27)-$B$60))</f>
        <v>0</v>
      </c>
      <c r="C33" s="166" t="s">
        <v>104</v>
      </c>
      <c r="D33" s="231"/>
      <c r="G33" s="15"/>
    </row>
    <row r="34" spans="1:7">
      <c r="A34" s="169" t="s">
        <v>74</v>
      </c>
      <c r="B34" s="166">
        <f>IF((B24*($B$26-($B$27-0.05*$B$27)-$B$60))&lt;0,0,B24*($B$26-($B$27-0.05*$B$27)-$B$60))</f>
        <v>0</v>
      </c>
      <c r="C34" s="166">
        <f>B26*C24</f>
        <v>229.90446446294257</v>
      </c>
      <c r="D34" s="231"/>
      <c r="G34" s="15"/>
    </row>
    <row r="35" spans="1:7">
      <c r="A35" s="169" t="s">
        <v>76</v>
      </c>
      <c r="B35" s="166">
        <f>IF((B19*($B$26-($B$27-0.05*$B$27)-$B$60))&lt;0,0,B19*($B$26-($B$27-0.05*$B$27)-$B$60))</f>
        <v>0</v>
      </c>
      <c r="C35" s="166">
        <f>B35/2</f>
        <v>0</v>
      </c>
      <c r="D35" s="232"/>
      <c r="G35" s="15"/>
    </row>
    <row r="36" spans="1:7">
      <c r="A36" s="169" t="s">
        <v>77</v>
      </c>
      <c r="B36" s="166">
        <f>IF((B18*($B$26-($B$27-0.05*$B$27)-$B$60))&lt;0,0,B18*($B$26-($B$27-0.05*$B$27)-$B$60))</f>
        <v>0</v>
      </c>
      <c r="C36" s="166" t="s">
        <v>104</v>
      </c>
      <c r="D36" s="232"/>
      <c r="G36" s="15"/>
    </row>
    <row r="37" spans="1:7">
      <c r="A37" s="169" t="s">
        <v>78</v>
      </c>
      <c r="B37" s="166">
        <f>B60</f>
        <v>13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2172.8067799999999</v>
      </c>
      <c r="C5" s="17">
        <f>IF(ISERROR('Eigen informatie GS &amp; warmtenet'!B60),0,'Eigen informatie GS &amp; warmtenet'!B60)</f>
        <v>0</v>
      </c>
      <c r="D5" s="30">
        <f>SUM(D6:D12)</f>
        <v>291.57194378400004</v>
      </c>
      <c r="E5" s="17">
        <f>SUM(E6:E12)</f>
        <v>35.023484732491241</v>
      </c>
      <c r="F5" s="17">
        <f>SUM(F6:F12)</f>
        <v>241.50699282164209</v>
      </c>
      <c r="G5" s="18"/>
      <c r="H5" s="17"/>
      <c r="I5" s="17"/>
      <c r="J5" s="17">
        <f>SUM(J6:J12)</f>
        <v>1.7561592193588689E-3</v>
      </c>
      <c r="K5" s="17"/>
      <c r="L5" s="17"/>
      <c r="M5" s="17"/>
      <c r="N5" s="17">
        <f>SUM(N6:N12)</f>
        <v>70.073914629015647</v>
      </c>
      <c r="O5" s="17">
        <f>B38*B39*B40</f>
        <v>0</v>
      </c>
      <c r="P5" s="17">
        <f>B46*B47*B48/1000-B46*B47*B48/1000/B49</f>
        <v>52.539138306495019</v>
      </c>
      <c r="R5" s="32"/>
    </row>
    <row r="6" spans="1:18">
      <c r="A6" s="32" t="s">
        <v>53</v>
      </c>
      <c r="B6" s="37">
        <f>B26</f>
        <v>306.999369</v>
      </c>
      <c r="C6" s="33"/>
      <c r="D6" s="37">
        <f>IF(ISERROR(TER_kantoor_gas_kWh/1000),0,TER_kantoor_gas_kWh/1000)*0.902</f>
        <v>86.374246376000002</v>
      </c>
      <c r="E6" s="33">
        <f>$C$26*'E Balans VL '!I12/100/3.6*1000000</f>
        <v>2.4703254905906094</v>
      </c>
      <c r="F6" s="33">
        <f>$C$26*('E Balans VL '!L12+'E Balans VL '!N12)/100/3.6*1000000</f>
        <v>37.533902390216355</v>
      </c>
      <c r="G6" s="34"/>
      <c r="H6" s="33"/>
      <c r="I6" s="33"/>
      <c r="J6" s="33">
        <f>$C$26*('E Balans VL '!D12+'E Balans VL '!E12)/100/3.6*1000000</f>
        <v>0</v>
      </c>
      <c r="K6" s="33"/>
      <c r="L6" s="33"/>
      <c r="M6" s="33"/>
      <c r="N6" s="33">
        <f>$C$26*'E Balans VL '!Y12/100/3.6*1000000</f>
        <v>0.16499704275487481</v>
      </c>
      <c r="O6" s="33"/>
      <c r="P6" s="33"/>
      <c r="R6" s="32"/>
    </row>
    <row r="7" spans="1:18">
      <c r="A7" s="32" t="s">
        <v>52</v>
      </c>
      <c r="B7" s="37">
        <f t="shared" ref="B7:B12" si="0">B27</f>
        <v>379.85854499999999</v>
      </c>
      <c r="C7" s="33"/>
      <c r="D7" s="37">
        <f>IF(ISERROR(TER_horeca_gas_kWh/1000),0,TER_horeca_gas_kWh/1000)*0.902</f>
        <v>0</v>
      </c>
      <c r="E7" s="33">
        <f>$C$27*'E Balans VL '!I9/100/3.6*1000000</f>
        <v>4.0787480037879567</v>
      </c>
      <c r="F7" s="33">
        <f>$C$27*('E Balans VL '!L9+'E Balans VL '!N9)/100/3.6*1000000</f>
        <v>45.687771890370755</v>
      </c>
      <c r="G7" s="34"/>
      <c r="H7" s="33"/>
      <c r="I7" s="33"/>
      <c r="J7" s="33">
        <f>$C$27*('E Balans VL '!D9+'E Balans VL '!E9)/100/3.6*1000000</f>
        <v>0</v>
      </c>
      <c r="K7" s="33"/>
      <c r="L7" s="33"/>
      <c r="M7" s="33"/>
      <c r="N7" s="33">
        <f>$C$27*'E Balans VL '!Y9/100/3.6*1000000</f>
        <v>5.694849473438323E-2</v>
      </c>
      <c r="O7" s="33"/>
      <c r="P7" s="33"/>
      <c r="R7" s="32"/>
    </row>
    <row r="8" spans="1:18">
      <c r="A8" s="6" t="s">
        <v>51</v>
      </c>
      <c r="B8" s="37">
        <f t="shared" si="0"/>
        <v>649.55554599999994</v>
      </c>
      <c r="C8" s="33"/>
      <c r="D8" s="37">
        <f>IF(ISERROR(TER_handel_gas_kWh/1000),0,TER_handel_gas_kWh/1000)*0.902</f>
        <v>0</v>
      </c>
      <c r="E8" s="33">
        <f>$C$28*'E Balans VL '!I13/100/3.6*1000000</f>
        <v>17.432082259626871</v>
      </c>
      <c r="F8" s="33">
        <f>$C$28*('E Balans VL '!L13+'E Balans VL '!N13)/100/3.6*1000000</f>
        <v>61.987618906533797</v>
      </c>
      <c r="G8" s="34"/>
      <c r="H8" s="33"/>
      <c r="I8" s="33"/>
      <c r="J8" s="33">
        <f>$C$28*('E Balans VL '!D13+'E Balans VL '!E13)/100/3.6*1000000</f>
        <v>0</v>
      </c>
      <c r="K8" s="33"/>
      <c r="L8" s="33"/>
      <c r="M8" s="33"/>
      <c r="N8" s="33">
        <f>$C$28*'E Balans VL '!Y13/100/3.6*1000000</f>
        <v>0.25749120413134913</v>
      </c>
      <c r="O8" s="33"/>
      <c r="P8" s="33"/>
      <c r="R8" s="32"/>
    </row>
    <row r="9" spans="1:18">
      <c r="A9" s="32" t="s">
        <v>50</v>
      </c>
      <c r="B9" s="37">
        <f t="shared" si="0"/>
        <v>34.470523999999997</v>
      </c>
      <c r="C9" s="33"/>
      <c r="D9" s="37">
        <f>IF(ISERROR(TER_gezond_gas_kWh/1000),0,TER_gezond_gas_kWh/1000)*0.902</f>
        <v>0</v>
      </c>
      <c r="E9" s="33">
        <f>$C$29*'E Balans VL '!I10/100/3.6*1000000</f>
        <v>6.4608986066007013E-2</v>
      </c>
      <c r="F9" s="33">
        <f>$C$29*('E Balans VL '!L10+'E Balans VL '!N10)/100/3.6*1000000</f>
        <v>2.8337915920967451</v>
      </c>
      <c r="G9" s="34"/>
      <c r="H9" s="33"/>
      <c r="I9" s="33"/>
      <c r="J9" s="33">
        <f>$C$29*('E Balans VL '!D10+'E Balans VL '!E10)/100/3.6*1000000</f>
        <v>0</v>
      </c>
      <c r="K9" s="33"/>
      <c r="L9" s="33"/>
      <c r="M9" s="33"/>
      <c r="N9" s="33">
        <f>$C$29*'E Balans VL '!Y10/100/3.6*1000000</f>
        <v>0.2682063954263465</v>
      </c>
      <c r="O9" s="33"/>
      <c r="P9" s="33"/>
      <c r="R9" s="32"/>
    </row>
    <row r="10" spans="1:18">
      <c r="A10" s="32" t="s">
        <v>49</v>
      </c>
      <c r="B10" s="37">
        <f t="shared" si="0"/>
        <v>23.597847000000002</v>
      </c>
      <c r="C10" s="33"/>
      <c r="D10" s="37">
        <f>IF(ISERROR(TER_ander_gas_kWh/1000),0,TER_ander_gas_kWh/1000)*0.902</f>
        <v>0</v>
      </c>
      <c r="E10" s="33">
        <f>$C$30*'E Balans VL '!I14/100/3.6*1000000</f>
        <v>3.637632026378905E-2</v>
      </c>
      <c r="F10" s="33">
        <f>$C$30*('E Balans VL '!L14+'E Balans VL '!N14)/100/3.6*1000000</f>
        <v>3.6635722612938268</v>
      </c>
      <c r="G10" s="34"/>
      <c r="H10" s="33"/>
      <c r="I10" s="33"/>
      <c r="J10" s="33">
        <f>$C$30*('E Balans VL '!D14+'E Balans VL '!E14)/100/3.6*1000000</f>
        <v>4.005983396996689E-4</v>
      </c>
      <c r="K10" s="33"/>
      <c r="L10" s="33"/>
      <c r="M10" s="33"/>
      <c r="N10" s="33">
        <f>$C$30*'E Balans VL '!Y14/100/3.6*1000000</f>
        <v>15.611579269880764</v>
      </c>
      <c r="O10" s="33"/>
      <c r="P10" s="33"/>
      <c r="R10" s="32"/>
    </row>
    <row r="11" spans="1:18">
      <c r="A11" s="32" t="s">
        <v>54</v>
      </c>
      <c r="B11" s="37">
        <f t="shared" si="0"/>
        <v>70.994762000000009</v>
      </c>
      <c r="C11" s="33"/>
      <c r="D11" s="37">
        <f>IF(ISERROR(TER_onderwijs_gas_kWh/1000),0,TER_onderwijs_gas_kWh/1000)*0.902</f>
        <v>0</v>
      </c>
      <c r="E11" s="33">
        <f>$C$31*'E Balans VL '!I11/100/3.6*1000000</f>
        <v>1.8108513292309327</v>
      </c>
      <c r="F11" s="33">
        <f>$C$31*('E Balans VL '!L11+'E Balans VL '!N11)/100/3.6*1000000</f>
        <v>8.5377883586469636</v>
      </c>
      <c r="G11" s="34"/>
      <c r="H11" s="33"/>
      <c r="I11" s="33"/>
      <c r="J11" s="33">
        <f>$C$31*('E Balans VL '!D11+'E Balans VL '!E11)/100/3.6*1000000</f>
        <v>0</v>
      </c>
      <c r="K11" s="33"/>
      <c r="L11" s="33"/>
      <c r="M11" s="33"/>
      <c r="N11" s="33">
        <f>$C$31*'E Balans VL '!Y11/100/3.6*1000000</f>
        <v>0.15789061840088067</v>
      </c>
      <c r="O11" s="33"/>
      <c r="P11" s="33"/>
      <c r="R11" s="32"/>
    </row>
    <row r="12" spans="1:18">
      <c r="A12" s="32" t="s">
        <v>248</v>
      </c>
      <c r="B12" s="37">
        <f t="shared" si="0"/>
        <v>707.33018700000002</v>
      </c>
      <c r="C12" s="33"/>
      <c r="D12" s="37">
        <f>IF(ISERROR(TER_rest_gas_kWh/1000),0,TER_rest_gas_kWh/1000)*0.902</f>
        <v>205.19769740800001</v>
      </c>
      <c r="E12" s="33">
        <f>$C$32*'E Balans VL '!I8/100/3.6*1000000</f>
        <v>9.1304923429250806</v>
      </c>
      <c r="F12" s="33">
        <f>$C$32*('E Balans VL '!L8+'E Balans VL '!N8)/100/3.6*1000000</f>
        <v>81.262547422483607</v>
      </c>
      <c r="G12" s="34"/>
      <c r="H12" s="33"/>
      <c r="I12" s="33"/>
      <c r="J12" s="33">
        <f>$C$32*('E Balans VL '!D8+'E Balans VL '!E8)/100/3.6*1000000</f>
        <v>1.3555608796592001E-3</v>
      </c>
      <c r="K12" s="33"/>
      <c r="L12" s="33"/>
      <c r="M12" s="33"/>
      <c r="N12" s="33">
        <f>$C$32*'E Balans VL '!Y8/100/3.6*1000000</f>
        <v>53.556801603687049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2172.8067799999999</v>
      </c>
      <c r="C16" s="21">
        <f t="shared" ca="1" si="1"/>
        <v>0</v>
      </c>
      <c r="D16" s="21">
        <f t="shared" ca="1" si="1"/>
        <v>291.57194378400004</v>
      </c>
      <c r="E16" s="21">
        <f t="shared" si="1"/>
        <v>35.023484732491241</v>
      </c>
      <c r="F16" s="21">
        <f t="shared" ca="1" si="1"/>
        <v>241.50699282164209</v>
      </c>
      <c r="G16" s="21">
        <f t="shared" si="1"/>
        <v>0</v>
      </c>
      <c r="H16" s="21">
        <f t="shared" si="1"/>
        <v>0</v>
      </c>
      <c r="I16" s="21">
        <f t="shared" si="1"/>
        <v>0</v>
      </c>
      <c r="J16" s="21">
        <f t="shared" si="1"/>
        <v>1.7561592193588689E-3</v>
      </c>
      <c r="K16" s="21">
        <f t="shared" si="1"/>
        <v>0</v>
      </c>
      <c r="L16" s="21">
        <f t="shared" ca="1" si="1"/>
        <v>0</v>
      </c>
      <c r="M16" s="21">
        <f t="shared" si="1"/>
        <v>0</v>
      </c>
      <c r="N16" s="21">
        <f t="shared" ca="1" si="1"/>
        <v>70.073914629015647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0.19955460112711051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433.59359030918137</v>
      </c>
      <c r="C20" s="23">
        <f t="shared" ref="C20:P20" ca="1" si="2">C16*C18</f>
        <v>0</v>
      </c>
      <c r="D20" s="23">
        <f t="shared" ca="1" si="2"/>
        <v>58.897532644368013</v>
      </c>
      <c r="E20" s="23">
        <f t="shared" si="2"/>
        <v>7.9503310342755116</v>
      </c>
      <c r="F20" s="23">
        <f t="shared" ca="1" si="2"/>
        <v>64.482367083378435</v>
      </c>
      <c r="G20" s="23">
        <f t="shared" si="2"/>
        <v>0</v>
      </c>
      <c r="H20" s="23">
        <f t="shared" si="2"/>
        <v>0</v>
      </c>
      <c r="I20" s="23">
        <f t="shared" si="2"/>
        <v>0</v>
      </c>
      <c r="J20" s="23">
        <f t="shared" si="2"/>
        <v>6.2168036365303954E-4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306.999369</v>
      </c>
      <c r="C26" s="39">
        <f>IF(ISERROR(B26*3.6/1000000/'E Balans VL '!Z12*100),0,B26*3.6/1000000/'E Balans VL '!Z12*100)</f>
        <v>6.512710741165946E-3</v>
      </c>
      <c r="D26" s="235" t="s">
        <v>692</v>
      </c>
      <c r="F26" s="6"/>
    </row>
    <row r="27" spans="1:18">
      <c r="A27" s="229" t="s">
        <v>52</v>
      </c>
      <c r="B27" s="33">
        <f>IF(ISERROR(TER_horeca_ele_kWh/1000),0,TER_horeca_ele_kWh/1000)</f>
        <v>379.85854499999999</v>
      </c>
      <c r="C27" s="39">
        <f>IF(ISERROR(B27*3.6/1000000/'E Balans VL '!Z9*100),0,B27*3.6/1000000/'E Balans VL '!Z9*100)</f>
        <v>2.8606713417911833E-2</v>
      </c>
      <c r="D27" s="235" t="s">
        <v>692</v>
      </c>
      <c r="F27" s="6"/>
    </row>
    <row r="28" spans="1:18">
      <c r="A28" s="169" t="s">
        <v>51</v>
      </c>
      <c r="B28" s="33">
        <f>IF(ISERROR(TER_handel_ele_kWh/1000),0,TER_handel_ele_kWh/1000)</f>
        <v>649.55554599999994</v>
      </c>
      <c r="C28" s="39">
        <f>IF(ISERROR(B28*3.6/1000000/'E Balans VL '!Z13*100),0,B28*3.6/1000000/'E Balans VL '!Z13*100)</f>
        <v>1.885429594550906E-2</v>
      </c>
      <c r="D28" s="235" t="s">
        <v>692</v>
      </c>
      <c r="F28" s="6"/>
    </row>
    <row r="29" spans="1:18">
      <c r="A29" s="229" t="s">
        <v>50</v>
      </c>
      <c r="B29" s="33">
        <f>IF(ISERROR(TER_gezond_ele_kWh/1000),0,TER_gezond_ele_kWh/1000)</f>
        <v>34.470523999999997</v>
      </c>
      <c r="C29" s="39">
        <f>IF(ISERROR(B29*3.6/1000000/'E Balans VL '!Z10*100),0,B29*3.6/1000000/'E Balans VL '!Z10*100)</f>
        <v>3.4763934531741526E-3</v>
      </c>
      <c r="D29" s="235" t="s">
        <v>692</v>
      </c>
      <c r="F29" s="6"/>
    </row>
    <row r="30" spans="1:18">
      <c r="A30" s="229" t="s">
        <v>49</v>
      </c>
      <c r="B30" s="33">
        <f>IF(ISERROR(TER_ander_ele_kWh/1000),0,TER_ander_ele_kWh/1000)</f>
        <v>23.597847000000002</v>
      </c>
      <c r="C30" s="39">
        <f>IF(ISERROR(B30*3.6/1000000/'E Balans VL '!Z14*100),0,B30*3.6/1000000/'E Balans VL '!Z14*100)</f>
        <v>1.7123457335112538E-3</v>
      </c>
      <c r="D30" s="235" t="s">
        <v>692</v>
      </c>
      <c r="F30" s="6"/>
    </row>
    <row r="31" spans="1:18">
      <c r="A31" s="229" t="s">
        <v>54</v>
      </c>
      <c r="B31" s="33">
        <f>IF(ISERROR(TER_onderwijs_ele_kWh/1000),0,TER_onderwijs_ele_kWh/1000)</f>
        <v>70.994762000000009</v>
      </c>
      <c r="C31" s="39">
        <f>IF(ISERROR(B31*3.6/1000000/'E Balans VL '!Z11*100),0,B31*3.6/1000000/'E Balans VL '!Z11*100)</f>
        <v>2.0236398211326011E-2</v>
      </c>
      <c r="D31" s="235" t="s">
        <v>692</v>
      </c>
    </row>
    <row r="32" spans="1:18">
      <c r="A32" s="229" t="s">
        <v>248</v>
      </c>
      <c r="B32" s="33">
        <f>IF(ISERROR(TER_rest_ele_kWh/1000),0,TER_rest_ele_kWh/1000)</f>
        <v>707.33018700000002</v>
      </c>
      <c r="C32" s="39">
        <f>IF(ISERROR(B32*3.6/1000000/'E Balans VL '!Z8*100),0,B32*3.6/1000000/'E Balans VL '!Z8*100)</f>
        <v>5.794304815490257E-3</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318.377904</v>
      </c>
      <c r="C5" s="17">
        <f>IF(ISERROR('Eigen informatie GS &amp; warmtenet'!B61),0,'Eigen informatie GS &amp; warmtenet'!B61)</f>
        <v>0</v>
      </c>
      <c r="D5" s="30">
        <f>SUM(D6:D15)</f>
        <v>16.872597324000001</v>
      </c>
      <c r="E5" s="17">
        <f>SUM(E6:E15)</f>
        <v>22.306328807093919</v>
      </c>
      <c r="F5" s="17">
        <f>SUM(F6:F15)</f>
        <v>79.249983319288134</v>
      </c>
      <c r="G5" s="18"/>
      <c r="H5" s="17"/>
      <c r="I5" s="17"/>
      <c r="J5" s="17">
        <f>SUM(J6:J15)</f>
        <v>1.022337698702134</v>
      </c>
      <c r="K5" s="17"/>
      <c r="L5" s="17"/>
      <c r="M5" s="17"/>
      <c r="N5" s="17">
        <f>SUM(N6:N15)</f>
        <v>14.682026471982137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54.153399</v>
      </c>
      <c r="C8" s="33"/>
      <c r="D8" s="37">
        <f>IF( ISERROR(IND_metaal_Gas_kWH/1000),0,IND_metaal_Gas_kWH/1000)*0.902</f>
        <v>0</v>
      </c>
      <c r="E8" s="33">
        <f>C30*'E Balans VL '!I18/100/3.6*1000000</f>
        <v>0.3906787653773327</v>
      </c>
      <c r="F8" s="33">
        <f>C30*'E Balans VL '!L18/100/3.6*1000000+C30*'E Balans VL '!N18/100/3.6*1000000</f>
        <v>5.1219130266688904</v>
      </c>
      <c r="G8" s="34"/>
      <c r="H8" s="33"/>
      <c r="I8" s="33"/>
      <c r="J8" s="40">
        <f>C30*'E Balans VL '!D18/100/3.6*1000000+C30*'E Balans VL '!E18/100/3.6*1000000</f>
        <v>5.4467803410330307E-2</v>
      </c>
      <c r="K8" s="33"/>
      <c r="L8" s="33"/>
      <c r="M8" s="33"/>
      <c r="N8" s="33">
        <f>C30*'E Balans VL '!Y18/100/3.6*1000000</f>
        <v>0.68464223910864797</v>
      </c>
      <c r="O8" s="33"/>
      <c r="P8" s="33"/>
      <c r="R8" s="32"/>
    </row>
    <row r="9" spans="1:18">
      <c r="A9" s="6" t="s">
        <v>32</v>
      </c>
      <c r="B9" s="37">
        <f t="shared" si="0"/>
        <v>58.539062000000001</v>
      </c>
      <c r="C9" s="33"/>
      <c r="D9" s="37">
        <f>IF( ISERROR(IND_andere_gas_kWh/1000),0,IND_andere_gas_kWh/1000)*0.902</f>
        <v>0</v>
      </c>
      <c r="E9" s="33">
        <f>C31*'E Balans VL '!I19/100/3.6*1000000</f>
        <v>16.221956845525529</v>
      </c>
      <c r="F9" s="33">
        <f>C31*'E Balans VL '!L19/100/3.6*1000000+C31*'E Balans VL '!N19/100/3.6*1000000</f>
        <v>48.517301089487937</v>
      </c>
      <c r="G9" s="34"/>
      <c r="H9" s="33"/>
      <c r="I9" s="33"/>
      <c r="J9" s="40">
        <f>C31*'E Balans VL '!D19/100/3.6*1000000+C31*'E Balans VL '!E19/100/3.6*1000000</f>
        <v>0</v>
      </c>
      <c r="K9" s="33"/>
      <c r="L9" s="33"/>
      <c r="M9" s="33"/>
      <c r="N9" s="33">
        <f>C31*'E Balans VL '!Y19/100/3.6*1000000</f>
        <v>4.2492198909577157</v>
      </c>
      <c r="O9" s="33"/>
      <c r="P9" s="33"/>
      <c r="R9" s="32"/>
    </row>
    <row r="10" spans="1:18">
      <c r="A10" s="6" t="s">
        <v>40</v>
      </c>
      <c r="B10" s="37">
        <f t="shared" si="0"/>
        <v>88.527123000000003</v>
      </c>
      <c r="C10" s="33"/>
      <c r="D10" s="37">
        <f>IF( ISERROR(IND_voed_gas_kWh/1000),0,IND_voed_gas_kWh/1000)*0.902</f>
        <v>0</v>
      </c>
      <c r="E10" s="33">
        <f>C32*'E Balans VL '!I20/100/3.6*1000000</f>
        <v>0.15672299376905224</v>
      </c>
      <c r="F10" s="33">
        <f>C32*'E Balans VL '!L20/100/3.6*1000000+C32*'E Balans VL '!N20/100/3.6*1000000</f>
        <v>4.7812492508530919</v>
      </c>
      <c r="G10" s="34"/>
      <c r="H10" s="33"/>
      <c r="I10" s="33"/>
      <c r="J10" s="40">
        <f>C32*'E Balans VL '!D20/100/3.6*1000000+C32*'E Balans VL '!E20/100/3.6*1000000</f>
        <v>0</v>
      </c>
      <c r="K10" s="33"/>
      <c r="L10" s="33"/>
      <c r="M10" s="33"/>
      <c r="N10" s="33">
        <f>C32*'E Balans VL '!Y20/100/3.6*1000000</f>
        <v>5.1441019363630351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117.15832</v>
      </c>
      <c r="C15" s="33"/>
      <c r="D15" s="37">
        <f>IF( ISERROR(IND_rest_gas_kWh/1000),0,IND_rest_gas_kWh/1000)*0.902</f>
        <v>16.872597324000001</v>
      </c>
      <c r="E15" s="33">
        <f>C37*'E Balans VL '!I15/100/3.6*1000000</f>
        <v>5.5369702024220029</v>
      </c>
      <c r="F15" s="33">
        <f>C37*'E Balans VL '!L15/100/3.6*1000000+C37*'E Balans VL '!N15/100/3.6*1000000</f>
        <v>20.829519952278215</v>
      </c>
      <c r="G15" s="34"/>
      <c r="H15" s="33"/>
      <c r="I15" s="33"/>
      <c r="J15" s="40">
        <f>C37*'E Balans VL '!D15/100/3.6*1000000+C37*'E Balans VL '!E15/100/3.6*1000000</f>
        <v>0.96786989529180367</v>
      </c>
      <c r="K15" s="33"/>
      <c r="L15" s="33"/>
      <c r="M15" s="33"/>
      <c r="N15" s="33">
        <f>C37*'E Balans VL '!Y15/100/3.6*1000000</f>
        <v>4.6040624055527397</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318.377904</v>
      </c>
      <c r="C18" s="21">
        <f>C5+C16</f>
        <v>0</v>
      </c>
      <c r="D18" s="21">
        <f>MAX((D5+D16),0)</f>
        <v>16.872597324000001</v>
      </c>
      <c r="E18" s="21">
        <f>MAX((E5+E16),0)</f>
        <v>22.306328807093919</v>
      </c>
      <c r="F18" s="21">
        <f>MAX((F5+F16),0)</f>
        <v>79.249983319288134</v>
      </c>
      <c r="G18" s="21"/>
      <c r="H18" s="21"/>
      <c r="I18" s="21"/>
      <c r="J18" s="21">
        <f>MAX((J5+J16),0)</f>
        <v>1.022337698702134</v>
      </c>
      <c r="K18" s="21"/>
      <c r="L18" s="21">
        <f>MAX((L5+L16),0)</f>
        <v>0</v>
      </c>
      <c r="M18" s="21"/>
      <c r="N18" s="21">
        <f>MAX((N5+N16),0)</f>
        <v>14.682026471982137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0.19955460112711051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63.53377564040548</v>
      </c>
      <c r="C22" s="23">
        <f ca="1">C18*C20</f>
        <v>0</v>
      </c>
      <c r="D22" s="23">
        <f>D18*D20</f>
        <v>3.4082646594480006</v>
      </c>
      <c r="E22" s="23">
        <f>E18*E20</f>
        <v>5.0635366392103203</v>
      </c>
      <c r="F22" s="23">
        <f>F18*F20</f>
        <v>21.159745546249933</v>
      </c>
      <c r="G22" s="23"/>
      <c r="H22" s="23"/>
      <c r="I22" s="23"/>
      <c r="J22" s="23">
        <f>J18*J20</f>
        <v>0.36190754534055541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54.153399</v>
      </c>
      <c r="C30" s="39">
        <f>IF(ISERROR(B30*3.6/1000000/'E Balans VL '!Z18*100),0,B30*3.6/1000000/'E Balans VL '!Z18*100)</f>
        <v>3.1261912261401673E-3</v>
      </c>
      <c r="D30" s="235" t="s">
        <v>692</v>
      </c>
    </row>
    <row r="31" spans="1:18">
      <c r="A31" s="6" t="s">
        <v>32</v>
      </c>
      <c r="B31" s="37">
        <f>IF( ISERROR(IND_ander_ele_kWh/1000),0,IND_ander_ele_kWh/1000)</f>
        <v>58.539062000000001</v>
      </c>
      <c r="C31" s="39">
        <f>IF(ISERROR(B31*3.6/1000000/'E Balans VL '!Z19*100),0,B31*3.6/1000000/'E Balans VL '!Z19*100)</f>
        <v>2.9443250715777171E-3</v>
      </c>
      <c r="D31" s="235" t="s">
        <v>692</v>
      </c>
    </row>
    <row r="32" spans="1:18">
      <c r="A32" s="169" t="s">
        <v>40</v>
      </c>
      <c r="B32" s="37">
        <f>IF( ISERROR(IND_voed_ele_kWh/1000),0,IND_voed_ele_kWh/1000)</f>
        <v>88.527123000000003</v>
      </c>
      <c r="C32" s="39">
        <f>IF(ISERROR(B32*3.6/1000000/'E Balans VL '!Z20*100),0,B32*3.6/1000000/'E Balans VL '!Z20*100)</f>
        <v>2.9484788919186583E-3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117.15832</v>
      </c>
      <c r="C37" s="39">
        <f>IF(ISERROR(B37*3.6/1000000/'E Balans VL '!Z15*100),0,B37*3.6/1000000/'E Balans VL '!Z15*100)</f>
        <v>9.1415528079640451E-4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821.96151699999996</v>
      </c>
      <c r="C5" s="17">
        <f>'Eigen informatie GS &amp; warmtenet'!B62</f>
        <v>0</v>
      </c>
      <c r="D5" s="30">
        <f>IF(ISERROR(SUM(LB_lb_gas_kWh,LB_rest_gas_kWh)/1000),0,SUM(LB_lb_gas_kWh,LB_rest_gas_kWh)/1000)*0.902</f>
        <v>1002.2590751360001</v>
      </c>
      <c r="E5" s="17">
        <f>B17*'E Balans VL '!I25/3.6*1000000/100</f>
        <v>25.653147896100496</v>
      </c>
      <c r="F5" s="17">
        <f>B17*('E Balans VL '!L25/3.6*1000000+'E Balans VL '!N25/3.6*1000000)/100</f>
        <v>2904.9030555185691</v>
      </c>
      <c r="G5" s="18"/>
      <c r="H5" s="17"/>
      <c r="I5" s="17"/>
      <c r="J5" s="17">
        <f>('E Balans VL '!D25+'E Balans VL '!E25)/3.6*1000000*landbouw!B17/100</f>
        <v>226.45609818666378</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821.96151699999996</v>
      </c>
      <c r="C8" s="21">
        <f>C5+C6</f>
        <v>0</v>
      </c>
      <c r="D8" s="21">
        <f>MAX((D5+D6),0)</f>
        <v>1002.2590751360001</v>
      </c>
      <c r="E8" s="21">
        <f>MAX((E5+E6),0)</f>
        <v>25.653147896100496</v>
      </c>
      <c r="F8" s="21">
        <f>MAX((F5+F6),0)</f>
        <v>2904.9030555185691</v>
      </c>
      <c r="G8" s="21"/>
      <c r="H8" s="21"/>
      <c r="I8" s="21"/>
      <c r="J8" s="21">
        <f>MAX((J5+J6),0)</f>
        <v>226.45609818666378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0.19955460112711051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164.02620266676965</v>
      </c>
      <c r="C12" s="23">
        <f ca="1">C8*C10</f>
        <v>0</v>
      </c>
      <c r="D12" s="23">
        <f>D8*D10</f>
        <v>202.45633317747203</v>
      </c>
      <c r="E12" s="23">
        <f>E8*E10</f>
        <v>5.8232645724148124</v>
      </c>
      <c r="F12" s="23">
        <f>F8*F10</f>
        <v>775.60911582345796</v>
      </c>
      <c r="G12" s="23"/>
      <c r="H12" s="23"/>
      <c r="I12" s="23"/>
      <c r="J12" s="23">
        <f>J8*J10</f>
        <v>80.165458758078969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0.12219047188034277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134.45648055314589</v>
      </c>
      <c r="C26" s="245">
        <f>B26*'GWP N2O_CH4'!B5</f>
        <v>2823.5860916160636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82.876863453741208</v>
      </c>
      <c r="C27" s="245">
        <f>B27*'GWP N2O_CH4'!B5</f>
        <v>1740.4141325285655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1.9624501950051774</v>
      </c>
      <c r="C28" s="245">
        <f>B28*'GWP N2O_CH4'!B4</f>
        <v>608.35956045160503</v>
      </c>
      <c r="D28" s="50"/>
    </row>
    <row r="29" spans="1:4">
      <c r="A29" s="41" t="s">
        <v>265</v>
      </c>
      <c r="B29" s="245">
        <f>B34*'ha_N2O bodem landbouw'!B4</f>
        <v>3.1663516232534068</v>
      </c>
      <c r="C29" s="245">
        <f>B29*'GWP N2O_CH4'!B4</f>
        <v>981.56900320855607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6.943239021003296E-4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2.3016546820120859E-5</v>
      </c>
      <c r="C5" s="431" t="s">
        <v>204</v>
      </c>
      <c r="D5" s="416">
        <f>SUM(D6:D11)</f>
        <v>4.2147893097010789E-5</v>
      </c>
      <c r="E5" s="416">
        <f>SUM(E6:E11)</f>
        <v>3.6316592796612744E-5</v>
      </c>
      <c r="F5" s="429" t="s">
        <v>204</v>
      </c>
      <c r="G5" s="416">
        <f>SUM(G6:G11)</f>
        <v>1.8625458736221432E-2</v>
      </c>
      <c r="H5" s="416">
        <f>SUM(H6:H11)</f>
        <v>3.7380794486357475E-3</v>
      </c>
      <c r="I5" s="431" t="s">
        <v>204</v>
      </c>
      <c r="J5" s="431" t="s">
        <v>204</v>
      </c>
      <c r="K5" s="431" t="s">
        <v>204</v>
      </c>
      <c r="L5" s="431" t="s">
        <v>204</v>
      </c>
      <c r="M5" s="416">
        <f>SUM(M6:M11)</f>
        <v>1.3211034068928568E-3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1.5060868398874436E-5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2.5424210309210225E-5</v>
      </c>
      <c r="E6" s="882">
        <f>vkm_GW_PW*SUMIFS(TableVerdeelsleutelVkm[LPG],TableVerdeelsleutelVkm[Voertuigtype],"Lichte voertuigen")*SUMIFS(TableECFTransport[EnergieConsumptieFactor (PJ per km)],TableECFTransport[Index],CONCATENATE($A6,"_LPG_LPG"))</f>
        <v>2.2278534558479939E-5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6.9593815087077258E-3</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2.2678438674247231E-3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5.5130681809699628E-4</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1.8834194142759248E-7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7.1884852187795731E-3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9.9922248978076527E-8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4.1436139595658693E-4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7.7586536659495687E-6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1.6723682787800565E-5</v>
      </c>
      <c r="E8" s="419">
        <f>vkm_NGW_PW*SUMIFS(TableVerdeelsleutelVkm[LPG],TableVerdeelsleutelVkm[Voertuigtype],"Lichte voertuigen")*SUMIFS(TableECFTransport[EnergieConsumptieFactor (PJ per km)],TableECFTransport[Index],CONCATENATE($A8,"_LPG_LPG"))</f>
        <v>1.4038058238132804E-5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4.051553332033277E-3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1.4701300987405175E-3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3.3087733353952855E-4</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8.6828138692577326E-9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4.2603867670085665E-4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5.5602215289205091E-9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2.4557859299744901E-5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6.3934852278113494</v>
      </c>
      <c r="C14" s="21"/>
      <c r="D14" s="21">
        <f t="shared" ref="D14:M14" si="0">((D5)*10^9/3600)+D12</f>
        <v>11.707748082502997</v>
      </c>
      <c r="E14" s="21">
        <f t="shared" si="0"/>
        <v>10.08794244350354</v>
      </c>
      <c r="F14" s="21"/>
      <c r="G14" s="21">
        <f t="shared" si="0"/>
        <v>5173.7385378392864</v>
      </c>
      <c r="H14" s="21">
        <f t="shared" si="0"/>
        <v>1038.3554023988188</v>
      </c>
      <c r="I14" s="21"/>
      <c r="J14" s="21"/>
      <c r="K14" s="21"/>
      <c r="L14" s="21"/>
      <c r="M14" s="21">
        <f t="shared" si="0"/>
        <v>366.97316858134911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0.19955460112711051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1.2758493944479672</v>
      </c>
      <c r="C18" s="23"/>
      <c r="D18" s="23">
        <f t="shared" ref="D18:M18" si="1">D14*D16</f>
        <v>2.3649651126656055</v>
      </c>
      <c r="E18" s="23">
        <f t="shared" si="1"/>
        <v>2.2899629346753034</v>
      </c>
      <c r="F18" s="23"/>
      <c r="G18" s="23">
        <f t="shared" si="1"/>
        <v>1381.3881896030896</v>
      </c>
      <c r="H18" s="23">
        <f t="shared" si="1"/>
        <v>258.55049519730591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4.0778798809597089E-6</v>
      </c>
      <c r="C50" s="315">
        <f t="shared" ref="C50:P50" si="2">SUM(C51:C52)</f>
        <v>0</v>
      </c>
      <c r="D50" s="315">
        <f t="shared" si="2"/>
        <v>0</v>
      </c>
      <c r="E50" s="315">
        <f t="shared" si="2"/>
        <v>0</v>
      </c>
      <c r="F50" s="315">
        <f t="shared" si="2"/>
        <v>0</v>
      </c>
      <c r="G50" s="315">
        <f t="shared" si="2"/>
        <v>2.9544853918160477E-4</v>
      </c>
      <c r="H50" s="315">
        <f t="shared" si="2"/>
        <v>0</v>
      </c>
      <c r="I50" s="315">
        <f t="shared" si="2"/>
        <v>0</v>
      </c>
      <c r="J50" s="315">
        <f t="shared" si="2"/>
        <v>0</v>
      </c>
      <c r="K50" s="315">
        <f t="shared" si="2"/>
        <v>0</v>
      </c>
      <c r="L50" s="315">
        <f t="shared" si="2"/>
        <v>0</v>
      </c>
      <c r="M50" s="315">
        <f t="shared" si="2"/>
        <v>1.6711449222170668E-5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4.0778798809597089E-6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2.9544853918160477E-4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1.6711449222170668E-5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1.132744411377697</v>
      </c>
      <c r="C54" s="21">
        <f t="shared" ref="C54:P54" si="3">(C50)*10^9/3600</f>
        <v>0</v>
      </c>
      <c r="D54" s="21">
        <f t="shared" si="3"/>
        <v>0</v>
      </c>
      <c r="E54" s="21">
        <f t="shared" si="3"/>
        <v>0</v>
      </c>
      <c r="F54" s="21">
        <f t="shared" si="3"/>
        <v>0</v>
      </c>
      <c r="G54" s="21">
        <f t="shared" si="3"/>
        <v>82.069038661556874</v>
      </c>
      <c r="H54" s="21">
        <f t="shared" si="3"/>
        <v>0</v>
      </c>
      <c r="I54" s="21">
        <f t="shared" si="3"/>
        <v>0</v>
      </c>
      <c r="J54" s="21">
        <f t="shared" si="3"/>
        <v>0</v>
      </c>
      <c r="K54" s="21">
        <f t="shared" si="3"/>
        <v>0</v>
      </c>
      <c r="L54" s="21">
        <f t="shared" si="3"/>
        <v>0</v>
      </c>
      <c r="M54" s="21">
        <f t="shared" si="3"/>
        <v>4.6420692283807412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0.19955460112711051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0.22604435919143992</v>
      </c>
      <c r="C58" s="23">
        <f t="shared" ref="C58:P58" ca="1" si="4">C54*C56</f>
        <v>0</v>
      </c>
      <c r="D58" s="23">
        <f t="shared" si="4"/>
        <v>0</v>
      </c>
      <c r="E58" s="23">
        <f t="shared" si="4"/>
        <v>0</v>
      </c>
      <c r="F58" s="23">
        <f t="shared" si="4"/>
        <v>0</v>
      </c>
      <c r="G58" s="23">
        <f t="shared" si="4"/>
        <v>21.912433322635685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812.82570718383545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812.82570718383545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2021-11-11T12:35:52Z</dcterms:modified>
</cp:coreProperties>
</file>