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8C5F2E52-1384-43F7-B876-D6667572338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8" i="22" l="1"/>
  <c r="A3" i="23"/>
  <c r="A4" i="23"/>
  <c r="D10" i="22" s="1"/>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<sst xmlns="http://schemas.openxmlformats.org/spreadsheetml/2006/main" count="2492" uniqueCount="906">
  <si>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</si>
  <si>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</si>
  <si>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</si>
  <si>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</si>
  <si>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</si>
  <si>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</si>
  <si>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</si>
  <si>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</si>
  <si>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</si>
  <si>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</si>
  <si>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</si>
  <si>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</si>
  <si>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</si>
  <si>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</si>
  <si>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</si>
  <si>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</si>
  <si>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</si>
  <si>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</si>
  <si>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</si>
  <si>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</si>
  <si>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</si>
  <si>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</si>
  <si>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</si>
  <si>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</si>
  <si>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</si>
  <si>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</si>
  <si>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</si>
  <si>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</si>
  <si>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</si>
  <si>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</si>
  <si>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</si>
  <si>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</si>
  <si>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</si>
  <si>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</si>
  <si>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</si>
  <si>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</si>
  <si>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</si>
  <si>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</si>
  <si>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</si>
  <si>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</si>
  <si>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</si>
  <si>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</si>
  <si>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</si>
  <si>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</si>
  <si>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</si>
  <si>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</si>
  <si>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</si>
  <si>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</si>
  <si>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</si>
  <si>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</si>
  <si>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</si>
  <si>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</si>
  <si>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</si>
  <si>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</si>
  <si>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</si>
  <si>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</si>
  <si>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</si>
  <si>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</si>
  <si>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</si>
  <si>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</si>
  <si>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</si>
  <si>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</si>
  <si>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</si>
  <si>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</si>
  <si>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</si>
  <si>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</si>
  <si>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</si>
  <si>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</si>
  <si>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</si>
  <si>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</si>
  <si>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</si>
  <si>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</si>
  <si>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</si>
  <si>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</si>
  <si>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</si>
  <si>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</si>
  <si>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</si>
  <si>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</si>
  <si>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</si>
  <si>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</si>
  <si>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</si>
  <si>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</si>
  <si>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</si>
  <si>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</si>
  <si>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</si>
  <si>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</si>
  <si>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</si>
  <si>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</si>
  <si>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</si>
  <si>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</si>
  <si>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</si>
  <si>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</si>
  <si>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</si>
  <si>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</si>
  <si>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</si>
  <si>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</si>
  <si>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</si>
  <si>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</si>
  <si>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</si>
  <si>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</si>
  <si>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</si>
  <si>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</si>
  <si>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</si>
  <si>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</si>
  <si>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</si>
  <si>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</si>
  <si>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</si>
  <si>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</si>
  <si>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</si>
  <si>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</si>
  <si>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</si>
  <si>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</si>
  <si>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</si>
  <si>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</si>
  <si>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</si>
  <si>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</si>
  <si>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</si>
  <si>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</si>
  <si>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</si>
  <si>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</si>
  <si>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</si>
  <si>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</si>
  <si>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</si>
  <si>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</si>
  <si>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</si>
  <si>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</si>
  <si>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</si>
  <si>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</si>
  <si>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</si>
  <si>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</si>
  <si>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</si>
  <si>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</si>
  <si>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</si>
  <si>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</si>
  <si>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</si>
  <si>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</si>
  <si>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</si>
  <si>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</si>
  <si>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</si>
  <si>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</si>
  <si>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</si>
  <si>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</si>
  <si>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</si>
  <si>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</si>
  <si>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</si>
  <si>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</si>
  <si>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</si>
  <si>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</si>
  <si>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</si>
  <si>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</si>
  <si>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</si>
  <si>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</si>
  <si>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</si>
  <si>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</si>
  <si>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</si>
  <si>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</si>
  <si>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</si>
  <si>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</si>
  <si>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</si>
  <si>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</si>
  <si>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</si>
  <si>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</si>
  <si>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</si>
  <si>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</si>
  <si>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</si>
  <si>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</si>
  <si>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</si>
  <si>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</si>
  <si>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</si>
  <si>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</si>
  <si>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</si>
  <si>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</si>
  <si>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</si>
  <si>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</si>
  <si>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</si>
  <si>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</si>
  <si>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</si>
  <si>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</si>
  <si>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</si>
  <si>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</si>
  <si>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</si>
  <si>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</si>
  <si>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</si>
  <si>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</si>
  <si>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</si>
  <si>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</si>
  <si>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</si>
  <si>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</si>
  <si>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</si>
  <si>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</si>
  <si>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</si>
  <si>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</si>
  <si>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</si>
  <si>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</si>
  <si>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</si>
  <si>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</si>
  <si>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</si>
  <si>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</si>
  <si>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</si>
  <si>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</si>
  <si>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</si>
  <si>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</si>
  <si>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</si>
  <si>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</si>
  <si>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</si>
  <si>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</si>
  <si>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</si>
  <si>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</si>
  <si>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</si>
  <si>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</si>
  <si>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</si>
  <si>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</si>
  <si>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</si>
  <si>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</si>
  <si>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</si>
  <si>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</si>
  <si>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</si>
  <si>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</si>
  <si>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</si>
  <si>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</si>
  <si>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</si>
  <si>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</si>
  <si>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</si>
  <si>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</si>
  <si>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</si>
  <si>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</si>
  <si>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</si>
  <si>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</si>
  <si>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</si>
  <si>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</si>
  <si>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</si>
  <si>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</si>
  <si>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</si>
  <si>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</si>
  <si>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</si>
  <si>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</si>
  <si>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</si>
  <si>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</si>
  <si>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</si>
  <si>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</si>
  <si>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</si>
  <si>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</si>
  <si>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</si>
  <si>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</si>
  <si>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</si>
  <si>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</si>
  <si>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</si>
  <si>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</si>
  <si>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</si>
  <si>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</si>
  <si>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</si>
  <si>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</si>
  <si>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</si>
  <si>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</si>
  <si>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</si>
  <si>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</si>
  <si>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</si>
  <si>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</si>
  <si>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</si>
  <si>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</si>
  <si>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</si>
  <si>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</si>
  <si>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</si>
  <si>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</si>
  <si>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</si>
  <si>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</si>
  <si>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</si>
  <si>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</si>
  <si>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</si>
  <si>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</si>
  <si>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</si>
  <si>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</si>
  <si>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</si>
  <si>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</si>
  <si>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</si>
  <si>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</si>
  <si>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</si>
  <si>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</si>
  <si>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</si>
  <si>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</si>
  <si>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</si>
  <si>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</si>
  <si>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</si>
  <si>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</si>
  <si>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</si>
  <si>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</si>
  <si>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</si>
  <si>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</si>
  <si>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</si>
  <si>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</si>
  <si>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</si>
  <si>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</si>
  <si>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</si>
  <si>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</si>
  <si>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</si>
  <si>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</si>
  <si>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</si>
  <si>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</si>
  <si>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</si>
  <si>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</si>
  <si>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</si>
  <si>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</si>
  <si>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</si>
  <si>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</si>
  <si>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</si>
  <si>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</si>
  <si>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</si>
  <si>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</si>
  <si>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</si>
  <si>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</si>
  <si>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</si>
  <si>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</si>
  <si>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</si>
  <si>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</si>
  <si>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</si>
  <si>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</si>
  <si>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</si>
  <si>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</si>
  <si>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</si>
  <si>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</si>
  <si>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</si>
  <si>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</si>
  <si>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</si>
  <si>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</si>
  <si>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</si>
  <si>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</si>
  <si>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</si>
  <si>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</si>
  <si>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</si>
  <si>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</si>
  <si>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</si>
  <si>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</si>
  <si>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</si>
  <si>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</si>
  <si>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</si>
  <si>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</si>
  <si>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</si>
  <si>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</si>
  <si>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</si>
  <si>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</si>
  <si>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</si>
  <si>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</si>
  <si>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</si>
  <si>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</si>
  <si>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</si>
  <si>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</si>
  <si>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</si>
  <si>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</si>
  <si>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</si>
  <si>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</si>
  <si>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</si>
  <si>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</si>
  <si>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</si>
  <si>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</si>
  <si>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</si>
  <si>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</si>
  <si>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</si>
  <si>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</si>
  <si>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</si>
  <si>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</si>
  <si>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</si>
  <si>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</si>
  <si>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</si>
  <si>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</si>
  <si>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</si>
  <si>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</si>
  <si>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</si>
  <si>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</si>
  <si>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</si>
  <si>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</si>
  <si>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</si>
  <si>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</si>
  <si>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</si>
  <si>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</si>
  <si>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</si>
  <si>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</si>
  <si>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</si>
  <si>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</si>
  <si>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</si>
  <si>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</si>
  <si>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</si>
  <si>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</si>
  <si>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</si>
  <si>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</si>
  <si>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</si>
  <si>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</si>
  <si>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</si>
  <si>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</si>
  <si>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</si>
  <si>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</si>
  <si>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</si>
  <si>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</si>
  <si>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</si>
  <si>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</si>
  <si>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</si>
  <si>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</si>
  <si>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</si>
  <si>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</si>
  <si>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</si>
  <si>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</si>
  <si>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</si>
  <si>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</si>
  <si>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</si>
  <si>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</si>
  <si>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</si>
  <si>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</si>
  <si>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</si>
  <si>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</si>
  <si>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</si>
  <si>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</si>
  <si>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</si>
  <si>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</si>
  <si>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</si>
  <si>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</si>
  <si>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</si>
  <si>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</si>
  <si>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</si>
  <si>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</si>
  <si>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</si>
  <si>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</si>
  <si>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</si>
  <si>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</si>
  <si>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</si>
  <si>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</si>
  <si>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</si>
  <si>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</si>
  <si>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</si>
  <si>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</si>
  <si>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</si>
  <si>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</si>
  <si>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</si>
  <si>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</si>
  <si>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</si>
  <si>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</si>
  <si>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</si>
  <si>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</si>
  <si>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</si>
  <si>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</si>
  <si>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</si>
  <si>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</si>
  <si>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</si>
  <si>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</si>
  <si>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</si>
  <si>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</si>
  <si>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</si>
  <si>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</si>
  <si>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</si>
  <si>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</si>
  <si>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</si>
  <si>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</si>
  <si>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</si>
  <si>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</si>
  <si>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</si>
  <si>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</si>
  <si>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</si>
  <si>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</si>
  <si>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</si>
  <si>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</si>
  <si>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</si>
  <si>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</si>
  <si>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</si>
  <si>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</si>
  <si>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</si>
  <si>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</si>
  <si>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</si>
  <si>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</si>
  <si>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</si>
  <si>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</si>
  <si>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</si>
  <si>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</si>
  <si>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</si>
  <si>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</si>
  <si>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</si>
  <si>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</si>
  <si>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</si>
  <si>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</si>
  <si>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</si>
  <si>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</si>
  <si>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</si>
  <si>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</si>
  <si>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</si>
  <si>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</si>
  <si>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</si>
  <si>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</si>
  <si>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</si>
  <si>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</si>
  <si>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</si>
  <si>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</si>
  <si>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</si>
  <si>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</si>
  <si>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</si>
  <si>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</si>
  <si>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</si>
  <si>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</si>
  <si>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</si>
  <si>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</si>
  <si>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</si>
  <si>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</si>
  <si>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</si>
  <si>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</si>
  <si>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</si>
  <si>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</si>
  <si>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</si>
  <si>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</si>
  <si>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</si>
  <si>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</si>
  <si>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</si>
  <si>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</si>
  <si>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</si>
  <si>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</si>
  <si>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</si>
  <si>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</si>
  <si>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</si>
  <si>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</si>
  <si>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</si>
  <si>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</si>
  <si>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</si>
  <si>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</si>
  <si>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</si>
  <si>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</si>
  <si>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</si>
  <si>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</si>
  <si>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</si>
  <si>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</si>
  <si>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</si>
  <si>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</si>
  <si>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</si>
  <si>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</si>
  <si>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</si>
  <si>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</si>
  <si>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</si>
  <si>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</si>
  <si>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</si>
  <si>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</si>
  <si>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</si>
  <si>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</si>
  <si>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</si>
  <si>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</si>
  <si>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</si>
  <si>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</si>
  <si>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</si>
  <si>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</si>
  <si>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</si>
  <si>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</si>
  <si>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</si>
  <si>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</si>
  <si>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</si>
  <si>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</si>
  <si>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</si>
  <si>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</si>
  <si>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</si>
  <si>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</si>
  <si>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</si>
  <si>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</si>
  <si>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</si>
  <si>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</si>
  <si>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</si>
  <si>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</si>
  <si>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</si>
  <si>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</si>
  <si>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</si>
  <si>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</si>
  <si>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</si>
  <si>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</si>
  <si>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</si>
  <si>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</si>
  <si>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</si>
  <si>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</si>
  <si>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</si>
  <si>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</si>
  <si>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</si>
  <si>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</si>
  <si>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</si>
  <si>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</si>
  <si>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</si>
  <si>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</si>
  <si>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</si>
  <si>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</si>
  <si>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</si>
  <si>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</si>
  <si>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</si>
  <si>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</si>
  <si>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</si>
  <si>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</si>
  <si>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</si>
  <si>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</si>
  <si>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</si>
  <si>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</si>
  <si>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</si>
  <si>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</si>
  <si>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</si>
  <si>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</si>
  <si>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</si>
  <si>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</si>
  <si>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</si>
  <si>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</si>
  <si>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</si>
  <si>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</si>
  <si>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</si>
  <si>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</si>
  <si>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</si>
  <si>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</si>
  <si>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</si>
  <si>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</si>
  <si>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</si>
  <si>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</si>
  <si>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</si>
  <si>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</si>
  <si>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</si>
  <si>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</si>
  <si>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</si>
  <si>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</si>
  <si>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</si>
  <si>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</si>
  <si>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</si>
  <si>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</si>
  <si>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</si>
  <si>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</si>
  <si>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</si>
  <si>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</si>
  <si>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</si>
  <si>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</si>
  <si>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</si>
  <si>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</si>
  <si>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</si>
  <si>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</si>
  <si>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</si>
  <si>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</si>
  <si>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</si>
  <si>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</si>
  <si>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</si>
  <si>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</si>
  <si>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</si>
  <si>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</si>
  <si>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</si>
  <si>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</si>
  <si>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</si>
  <si>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</si>
  <si>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</si>
  <si>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</si>
  <si>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</si>
  <si>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</si>
  <si>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</si>
  <si>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</si>
  <si>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</si>
  <si>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</si>
  <si>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</si>
  <si>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</si>
  <si>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</si>
  <si>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</si>
  <si>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</si>
  <si>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</si>
  <si>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</si>
  <si>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</si>
  <si>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</si>
  <si>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</si>
  <si>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</si>
  <si>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</si>
  <si>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</si>
  <si>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</si>
  <si>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</si>
  <si>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</si>
  <si>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</si>
  <si>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</si>
  <si>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</si>
  <si>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</si>
  <si>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</si>
  <si>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</si>
  <si>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</si>
  <si>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</si>
  <si>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</si>
  <si>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</si>
  <si>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</si>
  <si>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</si>
  <si>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</si>
  <si>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</si>
  <si>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</si>
  <si>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</si>
  <si>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</si>
  <si>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</si>
  <si>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</si>
  <si>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</si>
  <si>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</si>
  <si>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</si>
  <si>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</si>
  <si>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</si>
  <si>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</si>
  <si>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</si>
  <si>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</si>
  <si>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</si>
  <si>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</si>
  <si>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</si>
  <si>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</si>
  <si>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</si>
  <si>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</si>
  <si>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</si>
  <si>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</si>
  <si>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</si>
  <si>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</si>
  <si>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</si>
  <si>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</si>
  <si>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</si>
  <si>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</si>
  <si>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</si>
  <si>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</si>
  <si>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</si>
  <si>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</si>
  <si>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</si>
  <si>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</si>
  <si>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</si>
  <si>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</si>
  <si>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</si>
  <si>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</si>
  <si>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</si>
  <si>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</si>
  <si>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</si>
  <si>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</si>
  <si>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</si>
  <si>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</si>
  <si>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</si>
  <si>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</si>
  <si>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</si>
  <si>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</si>
  <si>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</si>
  <si>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</si>
  <si>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</si>
  <si>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</si>
  <si>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</si>
  <si>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</si>
  <si>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</si>
  <si>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</si>
  <si>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</si>
  <si>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</si>
  <si>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</si>
  <si>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</si>
  <si>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</si>
  <si>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</si>
  <si>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</si>
  <si>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</si>
  <si>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</si>
  <si>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</si>
  <si>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</si>
  <si>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</si>
  <si>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</si>
  <si>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</si>
  <si>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</si>
  <si>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</si>
  <si>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</si>
  <si>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</si>
  <si>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</si>
  <si>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</si>
  <si>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</si>
  <si>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</si>
  <si>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</si>
  <si>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</si>
  <si>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</si>
  <si>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</si>
  <si>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</si>
  <si>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</si>
  <si>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</si>
  <si>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</si>
  <si>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</si>
  <si>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</si>
  <si>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</si>
  <si>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</si>
  <si>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</si>
  <si>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</si>
  <si>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</si>
  <si>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</si>
  <si>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</si>
  <si>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</si>
  <si>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</si>
  <si>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</si>
  <si>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</si>
  <si>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</si>
  <si>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</si>
  <si>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</si>
  <si>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</si>
  <si>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</si>
  <si>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</si>
  <si>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</si>
  <si>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</si>
  <si>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</si>
  <si>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</si>
  <si>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</si>
  <si>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</si>
  <si>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</si>
  <si>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</si>
  <si>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</si>
  <si>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</si>
  <si>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</si>
  <si>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</si>
  <si>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</si>
  <si>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</si>
  <si>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</si>
  <si>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</si>
  <si>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</si>
  <si>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</si>
  <si>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</si>
  <si>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</si>
  <si>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</si>
  <si>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</si>
  <si>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</si>
  <si>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</si>
  <si>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</si>
  <si>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</si>
  <si>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</si>
  <si>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</si>
  <si>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</si>
  <si>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</si>
  <si>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</si>
  <si>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</si>
  <si>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</si>
  <si>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</si>
  <si>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</si>
  <si>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</si>
  <si>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</si>
  <si>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</si>
  <si>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</si>
  <si>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</si>
  <si>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</si>
  <si>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</si>
  <si>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</si>
  <si>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</si>
  <si>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</si>
  <si>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</si>
  <si>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</si>
  <si>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</si>
  <si>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</si>
  <si>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</si>
  <si>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</si>
  <si>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</si>
  <si>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</si>
  <si>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</si>
  <si>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</si>
  <si>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</si>
  <si>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</si>
  <si>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</si>
  <si>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</si>
  <si>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</si>
  <si>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</si>
  <si>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</si>
  <si>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</si>
  <si>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</si>
  <si>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</si>
  <si>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</si>
  <si>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</si>
  <si>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</si>
  <si>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</si>
  <si>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</si>
  <si>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</si>
  <si>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</si>
  <si>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</si>
  <si>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</si>
  <si>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</si>
  <si>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</si>
  <si>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</si>
  <si>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</si>
  <si>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</si>
  <si>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</si>
  <si>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</si>
  <si>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</si>
  <si>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</si>
  <si>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</si>
  <si>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</si>
  <si>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</si>
  <si>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</si>
  <si>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</si>
  <si>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</si>
  <si>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</si>
  <si>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</si>
  <si>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</si>
  <si>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</si>
  <si>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</si>
  <si>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</si>
  <si>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</si>
  <si>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</si>
  <si>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</si>
  <si>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</si>
  <si>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</si>
  <si>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</si>
  <si>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</si>
  <si>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</si>
  <si>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</si>
  <si>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</si>
  <si>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</si>
  <si>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</si>
  <si>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</si>
  <si>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</si>
  <si>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</si>
  <si>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</si>
  <si>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</si>
  <si>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</si>
  <si>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</si>
  <si>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</si>
  <si>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</si>
  <si>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</si>
  <si>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13001</t>
  </si>
  <si>
    <t>ARENDONK</t>
  </si>
  <si>
    <t>referentietaak LNE (2017); Jaarverslag De Lijn</t>
  </si>
  <si>
    <t>interne verbrandingsmotor</t>
  </si>
  <si>
    <t>WKK interne verbrandinsgmotor (gas)</t>
  </si>
  <si>
    <t>IVEKA</t>
  </si>
  <si>
    <t>Brandstofcel</t>
  </si>
  <si>
    <t>brandstofcel</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</si>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</sst>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9F1CFE7-0920-448B-89AD-73472FEFD31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111536.34930113843</c:v>
                </c:pt>
                <c:pt idx="1">
                  <c:v>89693.957892341932</c:v>
                </c:pt>
                <c:pt idx="2">
                  <c:v>841.68100000000004</c:v>
                </c:pt>
                <c:pt idx="3">
                  <c:v>72048.027189465836</c:v>
                </c:pt>
                <c:pt idx="4">
                  <c:v>29357.68603496626</c:v>
                </c:pt>
                <c:pt idx="5">
                  <c:v>96933.762661124099</c:v>
                </c:pt>
                <c:pt idx="6">
                  <c:v>736.84683070960386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111536.34930113843</c:v>
                </c:pt>
                <c:pt idx="1">
                  <c:v>89693.957892341932</c:v>
                </c:pt>
                <c:pt idx="2">
                  <c:v>841.68100000000004</c:v>
                </c:pt>
                <c:pt idx="3">
                  <c:v>72048.027189465836</c:v>
                </c:pt>
                <c:pt idx="4">
                  <c:v>29357.68603496626</c:v>
                </c:pt>
                <c:pt idx="5">
                  <c:v>96933.762661124099</c:v>
                </c:pt>
                <c:pt idx="6">
                  <c:v>736.84683070960386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19215.784103224829</c:v>
                </c:pt>
                <c:pt idx="1">
                  <c:v>6967.2494350013276</c:v>
                </c:pt>
                <c:pt idx="2">
                  <c:v>45.702931816500723</c:v>
                </c:pt>
                <c:pt idx="3">
                  <c:v>6362.5642422267538</c:v>
                </c:pt>
                <c:pt idx="4">
                  <c:v>3691.7298893967609</c:v>
                </c:pt>
                <c:pt idx="5">
                  <c:v>24196.571769469323</c:v>
                </c:pt>
                <c:pt idx="6">
                  <c:v>184.32056734626644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19215.784103224829</c:v>
                </c:pt>
                <c:pt idx="1">
                  <c:v>6967.2494350013276</c:v>
                </c:pt>
                <c:pt idx="2">
                  <c:v>45.702931816500723</c:v>
                </c:pt>
                <c:pt idx="3">
                  <c:v>6362.5642422267538</c:v>
                </c:pt>
                <c:pt idx="4">
                  <c:v>3691.7298893967609</c:v>
                </c:pt>
                <c:pt idx="5">
                  <c:v>24196.571769469323</c:v>
                </c:pt>
                <c:pt idx="6">
                  <c:v>184.32056734626644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13001</v>
      </c>
      <c r="B6" s="384"/>
      <c r="C6" s="385"/>
    </row>
    <row r="7" spans="1:7" s="382" customFormat="1" ht="15.75" customHeight="1">
      <c r="A7" s="386" t="str">
        <f>txtMunicipality</f>
        <v>ARENDONK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46310.470100333332</v>
      </c>
      <c r="D10" s="679">
        <f ca="1">tertiair!C16</f>
        <v>19.278153153153152</v>
      </c>
      <c r="E10" s="679">
        <f ca="1">tertiair!D16</f>
        <v>13294.517321088128</v>
      </c>
      <c r="F10" s="679">
        <f>tertiair!E16</f>
        <v>215.35887461725602</v>
      </c>
      <c r="G10" s="679">
        <f ca="1">tertiair!F16</f>
        <v>6605.6793125546646</v>
      </c>
      <c r="H10" s="679">
        <f>tertiair!G16</f>
        <v>0</v>
      </c>
      <c r="I10" s="679">
        <f>tertiair!H16</f>
        <v>0</v>
      </c>
      <c r="J10" s="679">
        <f>tertiair!I16</f>
        <v>0</v>
      </c>
      <c r="K10" s="679">
        <f>tertiair!J16</f>
        <v>0.60924169990660182</v>
      </c>
      <c r="L10" s="679">
        <f>tertiair!K16</f>
        <v>0</v>
      </c>
      <c r="M10" s="679">
        <f ca="1">tertiair!L16</f>
        <v>0</v>
      </c>
      <c r="N10" s="679">
        <f>tertiair!M16</f>
        <v>0</v>
      </c>
      <c r="O10" s="679">
        <f ca="1">tertiair!N16</f>
        <v>23750.004755227314</v>
      </c>
      <c r="P10" s="679">
        <f>tertiair!O16</f>
        <v>24.486303829205774</v>
      </c>
      <c r="Q10" s="680">
        <f>tertiair!P16</f>
        <v>315.23482983897009</v>
      </c>
      <c r="R10" s="682">
        <f ca="1">SUM(C10:Q10)</f>
        <v>90535.638892341929</v>
      </c>
      <c r="S10" s="67"/>
    </row>
    <row r="11" spans="1:19" s="442" customFormat="1">
      <c r="A11" s="800" t="s">
        <v>213</v>
      </c>
      <c r="B11" s="805"/>
      <c r="C11" s="679">
        <f>huishoudens!B8</f>
        <v>21371.833116493901</v>
      </c>
      <c r="D11" s="679">
        <f>huishoudens!C8</f>
        <v>0</v>
      </c>
      <c r="E11" s="679">
        <f>huishoudens!D8</f>
        <v>58208.535566060003</v>
      </c>
      <c r="F11" s="679">
        <f>huishoudens!E8</f>
        <v>1382.7204026599302</v>
      </c>
      <c r="G11" s="679">
        <f>huishoudens!F8</f>
        <v>22291.295789389864</v>
      </c>
      <c r="H11" s="679">
        <f>huishoudens!G8</f>
        <v>0</v>
      </c>
      <c r="I11" s="679">
        <f>huishoudens!H8</f>
        <v>0</v>
      </c>
      <c r="J11" s="679">
        <f>huishoudens!I8</f>
        <v>0</v>
      </c>
      <c r="K11" s="679">
        <f>huishoudens!J8</f>
        <v>89.05274389646226</v>
      </c>
      <c r="L11" s="679">
        <f>huishoudens!K8</f>
        <v>0</v>
      </c>
      <c r="M11" s="679">
        <f>huishoudens!L8</f>
        <v>0</v>
      </c>
      <c r="N11" s="679">
        <f>huishoudens!M8</f>
        <v>0</v>
      </c>
      <c r="O11" s="679">
        <f>huishoudens!N8</f>
        <v>7095.5410180062172</v>
      </c>
      <c r="P11" s="679">
        <f>huishoudens!O8</f>
        <v>412.6633096325026</v>
      </c>
      <c r="Q11" s="680">
        <f>huishoudens!P8</f>
        <v>684.70735499952639</v>
      </c>
      <c r="R11" s="682">
        <f>SUM(C11:Q11)</f>
        <v>111536.34930113843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16394.37703</v>
      </c>
      <c r="D13" s="679">
        <f>industrie!C18</f>
        <v>0</v>
      </c>
      <c r="E13" s="679">
        <f>industrie!D18</f>
        <v>8131.8085646599993</v>
      </c>
      <c r="F13" s="679">
        <f>industrie!E18</f>
        <v>856.62908805012307</v>
      </c>
      <c r="G13" s="679">
        <f>industrie!F18</f>
        <v>3335.2077963464662</v>
      </c>
      <c r="H13" s="679">
        <f>industrie!G18</f>
        <v>0</v>
      </c>
      <c r="I13" s="679">
        <f>industrie!H18</f>
        <v>0</v>
      </c>
      <c r="J13" s="679">
        <f>industrie!I18</f>
        <v>0</v>
      </c>
      <c r="K13" s="679">
        <f>industrie!J18</f>
        <v>208.87387244998558</v>
      </c>
      <c r="L13" s="679">
        <f>industrie!K18</f>
        <v>0</v>
      </c>
      <c r="M13" s="679">
        <f>industrie!L18</f>
        <v>0</v>
      </c>
      <c r="N13" s="679">
        <f>industrie!M18</f>
        <v>0</v>
      </c>
      <c r="O13" s="679">
        <f>industrie!N18</f>
        <v>430.78968345968889</v>
      </c>
      <c r="P13" s="679">
        <f>industrie!O18</f>
        <v>0</v>
      </c>
      <c r="Q13" s="680">
        <f>industrie!P18</f>
        <v>0</v>
      </c>
      <c r="R13" s="682">
        <f>SUM(C13:Q13)</f>
        <v>29357.68603496626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84076.680246827236</v>
      </c>
      <c r="D16" s="715">
        <f t="shared" ref="D16:R16" ca="1" si="0">SUM(D9:D15)</f>
        <v>19.278153153153152</v>
      </c>
      <c r="E16" s="715">
        <f t="shared" ca="1" si="0"/>
        <v>79634.86145180813</v>
      </c>
      <c r="F16" s="715">
        <f t="shared" si="0"/>
        <v>2454.7083653273094</v>
      </c>
      <c r="G16" s="715">
        <f t="shared" ca="1" si="0"/>
        <v>32232.182898290994</v>
      </c>
      <c r="H16" s="715">
        <f t="shared" si="0"/>
        <v>0</v>
      </c>
      <c r="I16" s="715">
        <f t="shared" si="0"/>
        <v>0</v>
      </c>
      <c r="J16" s="715">
        <f t="shared" si="0"/>
        <v>0</v>
      </c>
      <c r="K16" s="715">
        <f t="shared" si="0"/>
        <v>298.53585804635446</v>
      </c>
      <c r="L16" s="715">
        <f t="shared" si="0"/>
        <v>0</v>
      </c>
      <c r="M16" s="715">
        <f t="shared" ca="1" si="0"/>
        <v>0</v>
      </c>
      <c r="N16" s="715">
        <f t="shared" si="0"/>
        <v>0</v>
      </c>
      <c r="O16" s="715">
        <f t="shared" ca="1" si="0"/>
        <v>31276.335456693221</v>
      </c>
      <c r="P16" s="715">
        <f t="shared" si="0"/>
        <v>437.14961346170838</v>
      </c>
      <c r="Q16" s="715">
        <f t="shared" si="0"/>
        <v>999.94218483849647</v>
      </c>
      <c r="R16" s="715">
        <f t="shared" ca="1" si="0"/>
        <v>231429.67422844662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9.501622568471694</v>
      </c>
      <c r="D19" s="679">
        <f>transport!C54</f>
        <v>0</v>
      </c>
      <c r="E19" s="679">
        <f>transport!D54</f>
        <v>0</v>
      </c>
      <c r="F19" s="679">
        <f>transport!E54</f>
        <v>0</v>
      </c>
      <c r="G19" s="679">
        <f>transport!F54</f>
        <v>0</v>
      </c>
      <c r="H19" s="679">
        <f>transport!G54</f>
        <v>688.40686573859034</v>
      </c>
      <c r="I19" s="679">
        <f>transport!H54</f>
        <v>0</v>
      </c>
      <c r="J19" s="679">
        <f>transport!I54</f>
        <v>0</v>
      </c>
      <c r="K19" s="679">
        <f>transport!J54</f>
        <v>0</v>
      </c>
      <c r="L19" s="679">
        <f>transport!K54</f>
        <v>0</v>
      </c>
      <c r="M19" s="679">
        <f>transport!L54</f>
        <v>0</v>
      </c>
      <c r="N19" s="679">
        <f>transport!M54</f>
        <v>38.938342402541814</v>
      </c>
      <c r="O19" s="679">
        <f>transport!N54</f>
        <v>0</v>
      </c>
      <c r="P19" s="679">
        <f>transport!O54</f>
        <v>0</v>
      </c>
      <c r="Q19" s="680">
        <f>transport!P54</f>
        <v>0</v>
      </c>
      <c r="R19" s="682">
        <f>SUM(C19:Q19)</f>
        <v>736.84683070960386</v>
      </c>
      <c r="S19" s="67"/>
    </row>
    <row r="20" spans="1:19" s="442" customFormat="1">
      <c r="A20" s="800" t="s">
        <v>295</v>
      </c>
      <c r="B20" s="805"/>
      <c r="C20" s="679">
        <f>transport!B14</f>
        <v>85.010219159652607</v>
      </c>
      <c r="D20" s="679">
        <f>transport!C14</f>
        <v>0</v>
      </c>
      <c r="E20" s="679">
        <f>transport!D14</f>
        <v>135.43796538973606</v>
      </c>
      <c r="F20" s="679">
        <f>transport!E14</f>
        <v>127.9451910395647</v>
      </c>
      <c r="G20" s="679">
        <f>transport!F14</f>
        <v>0</v>
      </c>
      <c r="H20" s="679">
        <f>transport!G14</f>
        <v>78958.48815686944</v>
      </c>
      <c r="I20" s="679">
        <f>transport!H14</f>
        <v>12263.603953032602</v>
      </c>
      <c r="J20" s="679">
        <f>transport!I14</f>
        <v>0</v>
      </c>
      <c r="K20" s="679">
        <f>transport!J14</f>
        <v>0</v>
      </c>
      <c r="L20" s="679">
        <f>transport!K14</f>
        <v>0</v>
      </c>
      <c r="M20" s="679">
        <f>transport!L14</f>
        <v>0</v>
      </c>
      <c r="N20" s="679">
        <f>transport!M14</f>
        <v>5363.2771756330994</v>
      </c>
      <c r="O20" s="679">
        <f>transport!N14</f>
        <v>0</v>
      </c>
      <c r="P20" s="679">
        <f>transport!O14</f>
        <v>0</v>
      </c>
      <c r="Q20" s="680">
        <f>transport!P14</f>
        <v>0</v>
      </c>
      <c r="R20" s="682">
        <f>SUM(C20:Q20)</f>
        <v>96933.762661124099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94.511841728124296</v>
      </c>
      <c r="D22" s="803">
        <f t="shared" ref="D22:R22" si="1">SUM(D18:D21)</f>
        <v>0</v>
      </c>
      <c r="E22" s="803">
        <f t="shared" si="1"/>
        <v>135.43796538973606</v>
      </c>
      <c r="F22" s="803">
        <f t="shared" si="1"/>
        <v>127.9451910395647</v>
      </c>
      <c r="G22" s="803">
        <f t="shared" si="1"/>
        <v>0</v>
      </c>
      <c r="H22" s="803">
        <f t="shared" si="1"/>
        <v>79646.895022608034</v>
      </c>
      <c r="I22" s="803">
        <f t="shared" si="1"/>
        <v>12263.603953032602</v>
      </c>
      <c r="J22" s="803">
        <f t="shared" si="1"/>
        <v>0</v>
      </c>
      <c r="K22" s="803">
        <f t="shared" si="1"/>
        <v>0</v>
      </c>
      <c r="L22" s="803">
        <f t="shared" si="1"/>
        <v>0</v>
      </c>
      <c r="M22" s="803">
        <f t="shared" si="1"/>
        <v>0</v>
      </c>
      <c r="N22" s="803">
        <f t="shared" si="1"/>
        <v>5402.2155180356413</v>
      </c>
      <c r="O22" s="803">
        <f t="shared" si="1"/>
        <v>0</v>
      </c>
      <c r="P22" s="803">
        <f t="shared" si="1"/>
        <v>0</v>
      </c>
      <c r="Q22" s="803">
        <f t="shared" si="1"/>
        <v>0</v>
      </c>
      <c r="R22" s="803">
        <f t="shared" si="1"/>
        <v>97670.609491833704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5550.1945530000003</v>
      </c>
      <c r="D24" s="679">
        <f>+landbouw!C8</f>
        <v>43997.142857142855</v>
      </c>
      <c r="E24" s="679">
        <f>+landbouw!D8</f>
        <v>1183.3505636699999</v>
      </c>
      <c r="F24" s="679">
        <f>+landbouw!E8</f>
        <v>173.21974177075788</v>
      </c>
      <c r="G24" s="679">
        <f>+landbouw!F8</f>
        <v>19615.002384268824</v>
      </c>
      <c r="H24" s="679">
        <f>+landbouw!G8</f>
        <v>0</v>
      </c>
      <c r="I24" s="679">
        <f>+landbouw!H8</f>
        <v>0</v>
      </c>
      <c r="J24" s="679">
        <f>+landbouw!I8</f>
        <v>0</v>
      </c>
      <c r="K24" s="679">
        <f>+landbouw!J8</f>
        <v>1529.117089613399</v>
      </c>
      <c r="L24" s="679">
        <f>+landbouw!K8</f>
        <v>0</v>
      </c>
      <c r="M24" s="679">
        <f>+landbouw!L8</f>
        <v>0</v>
      </c>
      <c r="N24" s="679">
        <f>+landbouw!M8</f>
        <v>0</v>
      </c>
      <c r="O24" s="679">
        <f>+landbouw!N8</f>
        <v>0</v>
      </c>
      <c r="P24" s="679">
        <f>+landbouw!O8</f>
        <v>0</v>
      </c>
      <c r="Q24" s="680">
        <f>+landbouw!P8</f>
        <v>0</v>
      </c>
      <c r="R24" s="682">
        <f>SUM(C24:Q24)</f>
        <v>72048.027189465836</v>
      </c>
      <c r="S24" s="67"/>
    </row>
    <row r="25" spans="1:19" s="442" customFormat="1" ht="15" thickBot="1">
      <c r="A25" s="822" t="s">
        <v>708</v>
      </c>
      <c r="B25" s="941"/>
      <c r="C25" s="942">
        <f>IF(Onbekend_ele_kWh="---",0,Onbekend_ele_kWh)/1000+IF(REST_rest_ele_kWh="---",0,REST_rest_ele_kWh)/1000</f>
        <v>487.039176</v>
      </c>
      <c r="D25" s="942"/>
      <c r="E25" s="942">
        <f>IF(onbekend_gas_kWh="---",0,onbekend_gas_kWh)/1000+IF(REST_rest_gas_kWh="---",0,REST_rest_gas_kWh)/1000</f>
        <v>1214.170001</v>
      </c>
      <c r="F25" s="942"/>
      <c r="G25" s="942"/>
      <c r="H25" s="942"/>
      <c r="I25" s="942"/>
      <c r="J25" s="942"/>
      <c r="K25" s="942"/>
      <c r="L25" s="942"/>
      <c r="M25" s="942"/>
      <c r="N25" s="942"/>
      <c r="O25" s="942"/>
      <c r="P25" s="942"/>
      <c r="Q25" s="943"/>
      <c r="R25" s="682">
        <f>SUM(C25:Q25)</f>
        <v>1701.209177</v>
      </c>
      <c r="S25" s="67"/>
    </row>
    <row r="26" spans="1:19" s="442" customFormat="1" ht="15.75" thickBot="1">
      <c r="A26" s="687" t="s">
        <v>709</v>
      </c>
      <c r="B26" s="808"/>
      <c r="C26" s="803">
        <f>SUM(C24:C25)</f>
        <v>6037.2337290000005</v>
      </c>
      <c r="D26" s="803">
        <f t="shared" ref="D26:R26" si="2">SUM(D24:D25)</f>
        <v>43997.142857142855</v>
      </c>
      <c r="E26" s="803">
        <f t="shared" si="2"/>
        <v>2397.5205646699997</v>
      </c>
      <c r="F26" s="803">
        <f t="shared" si="2"/>
        <v>173.21974177075788</v>
      </c>
      <c r="G26" s="803">
        <f t="shared" si="2"/>
        <v>19615.002384268824</v>
      </c>
      <c r="H26" s="803">
        <f t="shared" si="2"/>
        <v>0</v>
      </c>
      <c r="I26" s="803">
        <f t="shared" si="2"/>
        <v>0</v>
      </c>
      <c r="J26" s="803">
        <f t="shared" si="2"/>
        <v>0</v>
      </c>
      <c r="K26" s="803">
        <f t="shared" si="2"/>
        <v>1529.117089613399</v>
      </c>
      <c r="L26" s="803">
        <f t="shared" si="2"/>
        <v>0</v>
      </c>
      <c r="M26" s="803">
        <f t="shared" si="2"/>
        <v>0</v>
      </c>
      <c r="N26" s="803">
        <f t="shared" si="2"/>
        <v>0</v>
      </c>
      <c r="O26" s="803">
        <f t="shared" si="2"/>
        <v>0</v>
      </c>
      <c r="P26" s="803">
        <f t="shared" si="2"/>
        <v>0</v>
      </c>
      <c r="Q26" s="803">
        <f t="shared" si="2"/>
        <v>0</v>
      </c>
      <c r="R26" s="803">
        <f t="shared" si="2"/>
        <v>73749.236366465833</v>
      </c>
      <c r="S26" s="67"/>
    </row>
    <row r="27" spans="1:19" s="442" customFormat="1" ht="17.25" thickTop="1" thickBot="1">
      <c r="A27" s="688" t="s">
        <v>109</v>
      </c>
      <c r="B27" s="795"/>
      <c r="C27" s="689">
        <f ca="1">C22+C16+C26</f>
        <v>90208.425817555355</v>
      </c>
      <c r="D27" s="689">
        <f t="shared" ref="D27:R27" ca="1" si="3">D22+D16+D26</f>
        <v>44016.421010296006</v>
      </c>
      <c r="E27" s="689">
        <f t="shared" ca="1" si="3"/>
        <v>82167.81998186787</v>
      </c>
      <c r="F27" s="689">
        <f t="shared" si="3"/>
        <v>2755.873298137632</v>
      </c>
      <c r="G27" s="689">
        <f t="shared" ca="1" si="3"/>
        <v>51847.185282559818</v>
      </c>
      <c r="H27" s="689">
        <f t="shared" si="3"/>
        <v>79646.895022608034</v>
      </c>
      <c r="I27" s="689">
        <f t="shared" si="3"/>
        <v>12263.603953032602</v>
      </c>
      <c r="J27" s="689">
        <f t="shared" si="3"/>
        <v>0</v>
      </c>
      <c r="K27" s="689">
        <f t="shared" si="3"/>
        <v>1827.6529476597534</v>
      </c>
      <c r="L27" s="689">
        <f t="shared" si="3"/>
        <v>0</v>
      </c>
      <c r="M27" s="689">
        <f t="shared" ca="1" si="3"/>
        <v>0</v>
      </c>
      <c r="N27" s="689">
        <f t="shared" si="3"/>
        <v>5402.2155180356413</v>
      </c>
      <c r="O27" s="689">
        <f t="shared" ca="1" si="3"/>
        <v>31276.335456693221</v>
      </c>
      <c r="P27" s="689">
        <f t="shared" si="3"/>
        <v>437.14961346170838</v>
      </c>
      <c r="Q27" s="689">
        <f t="shared" si="3"/>
        <v>999.94218483849647</v>
      </c>
      <c r="R27" s="689">
        <f t="shared" ca="1" si="3"/>
        <v>402849.5200867462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2514.6394624396062</v>
      </c>
      <c r="D40" s="679">
        <f ca="1">tertiair!C20</f>
        <v>1.8929664414910456E-3</v>
      </c>
      <c r="E40" s="679">
        <f ca="1">tertiair!D20</f>
        <v>2685.4924988598018</v>
      </c>
      <c r="F40" s="679">
        <f>tertiair!E20</f>
        <v>48.886464538117117</v>
      </c>
      <c r="G40" s="679">
        <f ca="1">tertiair!F20</f>
        <v>1763.7163764520956</v>
      </c>
      <c r="H40" s="679">
        <f>tertiair!G20</f>
        <v>0</v>
      </c>
      <c r="I40" s="679">
        <f>tertiair!H20</f>
        <v>0</v>
      </c>
      <c r="J40" s="679">
        <f>tertiair!I20</f>
        <v>0</v>
      </c>
      <c r="K40" s="679">
        <f>tertiair!J20</f>
        <v>0.21567156176693703</v>
      </c>
      <c r="L40" s="679">
        <f>tertiair!K20</f>
        <v>0</v>
      </c>
      <c r="M40" s="679">
        <f ca="1">tertiair!L20</f>
        <v>0</v>
      </c>
      <c r="N40" s="679">
        <f>tertiair!M20</f>
        <v>0</v>
      </c>
      <c r="O40" s="679">
        <f ca="1">tertiair!N20</f>
        <v>0</v>
      </c>
      <c r="P40" s="679">
        <f>tertiair!O20</f>
        <v>0</v>
      </c>
      <c r="Q40" s="762">
        <f>tertiair!P20</f>
        <v>0</v>
      </c>
      <c r="R40" s="841">
        <f t="shared" ca="1" si="4"/>
        <v>7012.952366817829</v>
      </c>
    </row>
    <row r="41" spans="1:18">
      <c r="A41" s="813" t="s">
        <v>213</v>
      </c>
      <c r="B41" s="820"/>
      <c r="C41" s="679">
        <f ca="1">huishoudens!B12</f>
        <v>1160.4817403704644</v>
      </c>
      <c r="D41" s="679">
        <f ca="1">huishoudens!C12</f>
        <v>0</v>
      </c>
      <c r="E41" s="679">
        <f>huishoudens!D12</f>
        <v>11758.124184344122</v>
      </c>
      <c r="F41" s="679">
        <f>huishoudens!E12</f>
        <v>313.87753140380414</v>
      </c>
      <c r="G41" s="679">
        <f>huishoudens!F12</f>
        <v>5951.7759757670938</v>
      </c>
      <c r="H41" s="679">
        <f>huishoudens!G12</f>
        <v>0</v>
      </c>
      <c r="I41" s="679">
        <f>huishoudens!H12</f>
        <v>0</v>
      </c>
      <c r="J41" s="679">
        <f>huishoudens!I12</f>
        <v>0</v>
      </c>
      <c r="K41" s="679">
        <f>huishoudens!J12</f>
        <v>31.524671339347638</v>
      </c>
      <c r="L41" s="679">
        <f>huishoudens!K12</f>
        <v>0</v>
      </c>
      <c r="M41" s="679">
        <f>huishoudens!L12</f>
        <v>0</v>
      </c>
      <c r="N41" s="679">
        <f>huishoudens!M12</f>
        <v>0</v>
      </c>
      <c r="O41" s="679">
        <f>huishoudens!N12</f>
        <v>0</v>
      </c>
      <c r="P41" s="679">
        <f>huishoudens!O12</f>
        <v>0</v>
      </c>
      <c r="Q41" s="762">
        <f>huishoudens!P12</f>
        <v>0</v>
      </c>
      <c r="R41" s="841">
        <f t="shared" ca="1" si="4"/>
        <v>19215.784103224829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890.20792387626148</v>
      </c>
      <c r="D43" s="679">
        <f ca="1">industrie!C22</f>
        <v>0</v>
      </c>
      <c r="E43" s="679">
        <f>industrie!D22</f>
        <v>1642.62533006132</v>
      </c>
      <c r="F43" s="679">
        <f>industrie!E22</f>
        <v>194.45480298737795</v>
      </c>
      <c r="G43" s="679">
        <f>industrie!F22</f>
        <v>890.50048162450651</v>
      </c>
      <c r="H43" s="679">
        <f>industrie!G22</f>
        <v>0</v>
      </c>
      <c r="I43" s="679">
        <f>industrie!H22</f>
        <v>0</v>
      </c>
      <c r="J43" s="679">
        <f>industrie!I22</f>
        <v>0</v>
      </c>
      <c r="K43" s="679">
        <f>industrie!J22</f>
        <v>73.941350847294899</v>
      </c>
      <c r="L43" s="679">
        <f>industrie!K22</f>
        <v>0</v>
      </c>
      <c r="M43" s="679">
        <f>industrie!L22</f>
        <v>0</v>
      </c>
      <c r="N43" s="679">
        <f>industrie!M22</f>
        <v>0</v>
      </c>
      <c r="O43" s="679">
        <f>industrie!N22</f>
        <v>0</v>
      </c>
      <c r="P43" s="679">
        <f>industrie!O22</f>
        <v>0</v>
      </c>
      <c r="Q43" s="762">
        <f>industrie!P22</f>
        <v>0</v>
      </c>
      <c r="R43" s="840">
        <f t="shared" ca="1" si="4"/>
        <v>3691.7298893967609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4565.3291266863325</v>
      </c>
      <c r="D46" s="715">
        <f t="shared" ref="D46:Q46" ca="1" si="5">SUM(D39:D45)</f>
        <v>1.8929664414910456E-3</v>
      </c>
      <c r="E46" s="715">
        <f t="shared" ca="1" si="5"/>
        <v>16086.242013265244</v>
      </c>
      <c r="F46" s="715">
        <f t="shared" si="5"/>
        <v>557.21879892929928</v>
      </c>
      <c r="G46" s="715">
        <f t="shared" ca="1" si="5"/>
        <v>8605.9928338436966</v>
      </c>
      <c r="H46" s="715">
        <f t="shared" si="5"/>
        <v>0</v>
      </c>
      <c r="I46" s="715">
        <f t="shared" si="5"/>
        <v>0</v>
      </c>
      <c r="J46" s="715">
        <f t="shared" si="5"/>
        <v>0</v>
      </c>
      <c r="K46" s="715">
        <f t="shared" si="5"/>
        <v>105.68169374840947</v>
      </c>
      <c r="L46" s="715">
        <f t="shared" si="5"/>
        <v>0</v>
      </c>
      <c r="M46" s="715">
        <f t="shared" ca="1" si="5"/>
        <v>0</v>
      </c>
      <c r="N46" s="715">
        <f t="shared" si="5"/>
        <v>0</v>
      </c>
      <c r="O46" s="715">
        <f t="shared" ca="1" si="5"/>
        <v>0</v>
      </c>
      <c r="P46" s="715">
        <f t="shared" si="5"/>
        <v>0</v>
      </c>
      <c r="Q46" s="715">
        <f t="shared" si="5"/>
        <v>0</v>
      </c>
      <c r="R46" s="715">
        <f ca="1">SUM(R39:R45)</f>
        <v>29920.466359439419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0.51593419406281749</v>
      </c>
      <c r="D49" s="679">
        <f ca="1">transport!C58</f>
        <v>0</v>
      </c>
      <c r="E49" s="679">
        <f>transport!D58</f>
        <v>0</v>
      </c>
      <c r="F49" s="679">
        <f>transport!E58</f>
        <v>0</v>
      </c>
      <c r="G49" s="679">
        <f>transport!F58</f>
        <v>0</v>
      </c>
      <c r="H49" s="679">
        <f>transport!G58</f>
        <v>183.80463315220362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184.32056734626644</v>
      </c>
    </row>
    <row r="50" spans="1:18">
      <c r="A50" s="816" t="s">
        <v>295</v>
      </c>
      <c r="B50" s="826"/>
      <c r="C50" s="685">
        <f ca="1">transport!B18</f>
        <v>4.6160199053553379</v>
      </c>
      <c r="D50" s="685">
        <f>transport!C18</f>
        <v>0</v>
      </c>
      <c r="E50" s="685">
        <f>transport!D18</f>
        <v>27.358469008726686</v>
      </c>
      <c r="F50" s="685">
        <f>transport!E18</f>
        <v>29.043558365981188</v>
      </c>
      <c r="G50" s="685">
        <f>transport!F18</f>
        <v>0</v>
      </c>
      <c r="H50" s="685">
        <f>transport!G18</f>
        <v>21081.91633788414</v>
      </c>
      <c r="I50" s="685">
        <f>transport!H18</f>
        <v>3053.6373843051178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24196.571769469323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5.1319540994181558</v>
      </c>
      <c r="D52" s="715">
        <f t="shared" ref="D52:Q52" ca="1" si="6">SUM(D48:D51)</f>
        <v>0</v>
      </c>
      <c r="E52" s="715">
        <f t="shared" si="6"/>
        <v>27.358469008726686</v>
      </c>
      <c r="F52" s="715">
        <f t="shared" si="6"/>
        <v>29.043558365981188</v>
      </c>
      <c r="G52" s="715">
        <f t="shared" si="6"/>
        <v>0</v>
      </c>
      <c r="H52" s="715">
        <f t="shared" si="6"/>
        <v>21265.720971036342</v>
      </c>
      <c r="I52" s="715">
        <f t="shared" si="6"/>
        <v>3053.6373843051178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24380.892336815588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301.37327945394122</v>
      </c>
      <c r="D54" s="685">
        <f ca="1">+landbouw!C12</f>
        <v>4.3201812065922249</v>
      </c>
      <c r="E54" s="685">
        <f>+landbouw!D12</f>
        <v>239.03681386133999</v>
      </c>
      <c r="F54" s="685">
        <f>+landbouw!E12</f>
        <v>39.320881381962039</v>
      </c>
      <c r="G54" s="685">
        <f>+landbouw!F12</f>
        <v>5237.205636599776</v>
      </c>
      <c r="H54" s="685">
        <f>+landbouw!G12</f>
        <v>0</v>
      </c>
      <c r="I54" s="685">
        <f>+landbouw!H12</f>
        <v>0</v>
      </c>
      <c r="J54" s="685">
        <f>+landbouw!I12</f>
        <v>0</v>
      </c>
      <c r="K54" s="685">
        <f>+landbouw!J12</f>
        <v>541.30744972314324</v>
      </c>
      <c r="L54" s="685">
        <f>+landbouw!K12</f>
        <v>0</v>
      </c>
      <c r="M54" s="685">
        <f>+landbouw!L12</f>
        <v>0</v>
      </c>
      <c r="N54" s="685">
        <f>+landbouw!M12</f>
        <v>0</v>
      </c>
      <c r="O54" s="685">
        <f>+landbouw!N12</f>
        <v>0</v>
      </c>
      <c r="P54" s="685">
        <f>+landbouw!O12</f>
        <v>0</v>
      </c>
      <c r="Q54" s="686">
        <f>+landbouw!P12</f>
        <v>0</v>
      </c>
      <c r="R54" s="714">
        <f ca="1">SUM(C54:Q54)</f>
        <v>6362.5642422267538</v>
      </c>
    </row>
    <row r="55" spans="1:18" ht="15" thickBot="1">
      <c r="A55" s="816" t="s">
        <v>708</v>
      </c>
      <c r="B55" s="826"/>
      <c r="C55" s="685">
        <f ca="1">C25*'EF ele_warmte'!B12</f>
        <v>26.446026763931577</v>
      </c>
      <c r="D55" s="685"/>
      <c r="E55" s="685">
        <f>E25*EF_CO2_aardgas</f>
        <v>245.26234020200002</v>
      </c>
      <c r="F55" s="685"/>
      <c r="G55" s="685"/>
      <c r="H55" s="685"/>
      <c r="I55" s="685"/>
      <c r="J55" s="685"/>
      <c r="K55" s="685"/>
      <c r="L55" s="685"/>
      <c r="M55" s="685"/>
      <c r="N55" s="685"/>
      <c r="O55" s="685"/>
      <c r="P55" s="685"/>
      <c r="Q55" s="686"/>
      <c r="R55" s="714">
        <f ca="1">SUM(C55:Q55)</f>
        <v>271.70836696593159</v>
      </c>
    </row>
    <row r="56" spans="1:18" ht="15.75" thickBot="1">
      <c r="A56" s="814" t="s">
        <v>709</v>
      </c>
      <c r="B56" s="827"/>
      <c r="C56" s="715">
        <f ca="1">SUM(C54:C55)</f>
        <v>327.81930621787279</v>
      </c>
      <c r="D56" s="715">
        <f t="shared" ref="D56:Q56" ca="1" si="7">SUM(D54:D55)</f>
        <v>4.3201812065922249</v>
      </c>
      <c r="E56" s="715">
        <f t="shared" si="7"/>
        <v>484.29915406333998</v>
      </c>
      <c r="F56" s="715">
        <f t="shared" si="7"/>
        <v>39.320881381962039</v>
      </c>
      <c r="G56" s="715">
        <f t="shared" si="7"/>
        <v>5237.205636599776</v>
      </c>
      <c r="H56" s="715">
        <f t="shared" si="7"/>
        <v>0</v>
      </c>
      <c r="I56" s="715">
        <f t="shared" si="7"/>
        <v>0</v>
      </c>
      <c r="J56" s="715">
        <f t="shared" si="7"/>
        <v>0</v>
      </c>
      <c r="K56" s="715">
        <f t="shared" si="7"/>
        <v>541.30744972314324</v>
      </c>
      <c r="L56" s="715">
        <f t="shared" si="7"/>
        <v>0</v>
      </c>
      <c r="M56" s="715">
        <f t="shared" si="7"/>
        <v>0</v>
      </c>
      <c r="N56" s="715">
        <f t="shared" si="7"/>
        <v>0</v>
      </c>
      <c r="O56" s="715">
        <f t="shared" si="7"/>
        <v>0</v>
      </c>
      <c r="P56" s="715">
        <f t="shared" si="7"/>
        <v>0</v>
      </c>
      <c r="Q56" s="716">
        <f t="shared" si="7"/>
        <v>0</v>
      </c>
      <c r="R56" s="717">
        <f ca="1">SUM(R54:R55)</f>
        <v>6634.2726091926852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4898.2803870036232</v>
      </c>
      <c r="D61" s="723">
        <f t="shared" ref="D61:Q61" ca="1" si="8">D46+D52+D56</f>
        <v>4.322074173033716</v>
      </c>
      <c r="E61" s="723">
        <f t="shared" ca="1" si="8"/>
        <v>16597.899636337312</v>
      </c>
      <c r="F61" s="723">
        <f t="shared" si="8"/>
        <v>625.58323867724255</v>
      </c>
      <c r="G61" s="723">
        <f t="shared" ca="1" si="8"/>
        <v>13843.198470443473</v>
      </c>
      <c r="H61" s="723">
        <f t="shared" si="8"/>
        <v>21265.720971036342</v>
      </c>
      <c r="I61" s="723">
        <f t="shared" si="8"/>
        <v>3053.6373843051178</v>
      </c>
      <c r="J61" s="723">
        <f t="shared" si="8"/>
        <v>0</v>
      </c>
      <c r="K61" s="723">
        <f t="shared" si="8"/>
        <v>646.98914347155267</v>
      </c>
      <c r="L61" s="723">
        <f t="shared" si="8"/>
        <v>0</v>
      </c>
      <c r="M61" s="723">
        <f t="shared" ca="1" si="8"/>
        <v>0</v>
      </c>
      <c r="N61" s="723">
        <f t="shared" si="8"/>
        <v>0</v>
      </c>
      <c r="O61" s="723">
        <f t="shared" ca="1" si="8"/>
        <v>0</v>
      </c>
      <c r="P61" s="723">
        <f t="shared" si="8"/>
        <v>0</v>
      </c>
      <c r="Q61" s="723">
        <f t="shared" si="8"/>
        <v>0</v>
      </c>
      <c r="R61" s="723">
        <f ca="1">R46+R52+R56</f>
        <v>60935.631305447692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5.4299588343446899E-2</v>
      </c>
      <c r="D63" s="769">
        <f t="shared" ca="1" si="9"/>
        <v>9.8192312637656917E-5</v>
      </c>
      <c r="E63" s="967">
        <f t="shared" ca="1" si="9"/>
        <v>0.20200000000000001</v>
      </c>
      <c r="F63" s="769">
        <f t="shared" si="9"/>
        <v>0.22700000000000004</v>
      </c>
      <c r="G63" s="769">
        <f t="shared" ca="1" si="9"/>
        <v>0.26700000000000002</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28478.989263468677</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8767.5033852142788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30798.727176887045</v>
      </c>
      <c r="C76" s="736">
        <f>'lokale energieproductie'!B8*IFERROR(SUM(D76:H76)/SUM(D76:O76),0)</f>
        <v>12.731156446288047</v>
      </c>
      <c r="D76" s="950">
        <f>'lokale energieproductie'!C8</f>
        <v>14.977467076677256</v>
      </c>
      <c r="E76" s="951">
        <f>'lokale energieproductie'!D8</f>
        <v>0</v>
      </c>
      <c r="F76" s="951">
        <f>'lokale energieproductie'!E8</f>
        <v>0</v>
      </c>
      <c r="G76" s="951">
        <f>'lokale energieproductie'!F8</f>
        <v>0</v>
      </c>
      <c r="H76" s="951">
        <f>'lokale energieproductie'!G8</f>
        <v>0</v>
      </c>
      <c r="I76" s="951">
        <f>'lokale energieproductie'!I8</f>
        <v>0</v>
      </c>
      <c r="J76" s="951">
        <f>'lokale energieproductie'!J8</f>
        <v>36232.916015252144</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3.0254483494888058</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68045.219825570006</v>
      </c>
      <c r="C78" s="741">
        <f>SUM(C72:C77)</f>
        <v>12.731156446288047</v>
      </c>
      <c r="D78" s="742">
        <f t="shared" ref="D78:H78" si="10">SUM(D76:D77)</f>
        <v>14.977467076677256</v>
      </c>
      <c r="E78" s="742">
        <f t="shared" si="10"/>
        <v>0</v>
      </c>
      <c r="F78" s="742">
        <f t="shared" si="10"/>
        <v>0</v>
      </c>
      <c r="G78" s="742">
        <f t="shared" si="10"/>
        <v>0</v>
      </c>
      <c r="H78" s="742">
        <f t="shared" si="10"/>
        <v>0</v>
      </c>
      <c r="I78" s="742">
        <f>SUM(I76:I77)</f>
        <v>0</v>
      </c>
      <c r="J78" s="742">
        <f>SUM(J76:J77)</f>
        <v>36232.916015252144</v>
      </c>
      <c r="K78" s="742">
        <f t="shared" ref="K78:L78" si="11">SUM(K76:K77)</f>
        <v>0</v>
      </c>
      <c r="L78" s="742">
        <f t="shared" si="11"/>
        <v>0</v>
      </c>
      <c r="M78" s="742">
        <f>SUM(M76:M77)</f>
        <v>0</v>
      </c>
      <c r="N78" s="742">
        <f>SUM(N76:N77)</f>
        <v>0</v>
      </c>
      <c r="O78" s="851">
        <f>SUM(O76:O77)</f>
        <v>0</v>
      </c>
      <c r="P78" s="743">
        <v>0</v>
      </c>
      <c r="Q78" s="743">
        <f>SUM(Q76:Q77)</f>
        <v>3.0254483494888058</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43998.233622473417</v>
      </c>
      <c r="C87" s="754">
        <f>'lokale energieproductie'!B17*IFERROR(SUM(D87:H87)/SUM(D87:O87),0)</f>
        <v>18.187387822585222</v>
      </c>
      <c r="D87" s="765">
        <f>'lokale energieproductie'!C17</f>
        <v>21.396406797196608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51761.369699033559</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4.3220741730337151</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43998.233622473417</v>
      </c>
      <c r="C90" s="741">
        <f>SUM(C87:C89)</f>
        <v>18.187387822585222</v>
      </c>
      <c r="D90" s="741">
        <f t="shared" ref="D90:H90" si="12">SUM(D87:D89)</f>
        <v>21.396406797196608</v>
      </c>
      <c r="E90" s="741">
        <f t="shared" si="12"/>
        <v>0</v>
      </c>
      <c r="F90" s="741">
        <f t="shared" si="12"/>
        <v>0</v>
      </c>
      <c r="G90" s="741">
        <f t="shared" si="12"/>
        <v>0</v>
      </c>
      <c r="H90" s="741">
        <f t="shared" si="12"/>
        <v>0</v>
      </c>
      <c r="I90" s="741">
        <f>SUM(I87:I89)</f>
        <v>0</v>
      </c>
      <c r="J90" s="741">
        <f>SUM(J87:J89)</f>
        <v>51761.369699033559</v>
      </c>
      <c r="K90" s="741">
        <f t="shared" ref="K90:L90" si="13">SUM(K87:K89)</f>
        <v>0</v>
      </c>
      <c r="L90" s="741">
        <f t="shared" si="13"/>
        <v>0</v>
      </c>
      <c r="M90" s="741">
        <f>SUM(M87:M89)</f>
        <v>0</v>
      </c>
      <c r="N90" s="741">
        <f>SUM(N87:N89)</f>
        <v>0</v>
      </c>
      <c r="O90" s="741">
        <f>SUM(O87:O89)</f>
        <v>0</v>
      </c>
      <c r="P90" s="741">
        <v>0</v>
      </c>
      <c r="Q90" s="741">
        <f>SUM(Q87:Q89)</f>
        <v>4.3220741730337151</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21371.833116493901</v>
      </c>
      <c r="C4" s="446">
        <f>huishoudens!C8</f>
        <v>0</v>
      </c>
      <c r="D4" s="446">
        <f>huishoudens!D8</f>
        <v>58208.535566060003</v>
      </c>
      <c r="E4" s="446">
        <f>huishoudens!E8</f>
        <v>1382.7204026599302</v>
      </c>
      <c r="F4" s="446">
        <f>huishoudens!F8</f>
        <v>22291.295789389864</v>
      </c>
      <c r="G4" s="446">
        <f>huishoudens!G8</f>
        <v>0</v>
      </c>
      <c r="H4" s="446">
        <f>huishoudens!H8</f>
        <v>0</v>
      </c>
      <c r="I4" s="446">
        <f>huishoudens!I8</f>
        <v>0</v>
      </c>
      <c r="J4" s="446">
        <f>huishoudens!J8</f>
        <v>89.05274389646226</v>
      </c>
      <c r="K4" s="446">
        <f>huishoudens!K8</f>
        <v>0</v>
      </c>
      <c r="L4" s="446">
        <f>huishoudens!L8</f>
        <v>0</v>
      </c>
      <c r="M4" s="446">
        <f>huishoudens!M8</f>
        <v>0</v>
      </c>
      <c r="N4" s="446">
        <f>huishoudens!N8</f>
        <v>7095.5410180062172</v>
      </c>
      <c r="O4" s="446">
        <f>huishoudens!O8</f>
        <v>412.6633096325026</v>
      </c>
      <c r="P4" s="447">
        <f>huishoudens!P8</f>
        <v>684.70735499952639</v>
      </c>
      <c r="Q4" s="448">
        <f>SUM(B4:P4)</f>
        <v>111536.34930113843</v>
      </c>
    </row>
    <row r="5" spans="1:17">
      <c r="A5" s="445" t="s">
        <v>149</v>
      </c>
      <c r="B5" s="446">
        <f ca="1">tertiair!B16</f>
        <v>45468.789100333335</v>
      </c>
      <c r="C5" s="446">
        <f ca="1">tertiair!C16</f>
        <v>19.278153153153152</v>
      </c>
      <c r="D5" s="446">
        <f ca="1">tertiair!D16</f>
        <v>13294.517321088128</v>
      </c>
      <c r="E5" s="446">
        <f>tertiair!E16</f>
        <v>215.35887461725602</v>
      </c>
      <c r="F5" s="446">
        <f ca="1">tertiair!F16</f>
        <v>6605.6793125546646</v>
      </c>
      <c r="G5" s="446">
        <f>tertiair!G16</f>
        <v>0</v>
      </c>
      <c r="H5" s="446">
        <f>tertiair!H16</f>
        <v>0</v>
      </c>
      <c r="I5" s="446">
        <f>tertiair!I16</f>
        <v>0</v>
      </c>
      <c r="J5" s="446">
        <f>tertiair!J16</f>
        <v>0.60924169990660182</v>
      </c>
      <c r="K5" s="446">
        <f>tertiair!K16</f>
        <v>0</v>
      </c>
      <c r="L5" s="446">
        <f ca="1">tertiair!L16</f>
        <v>0</v>
      </c>
      <c r="M5" s="446">
        <f>tertiair!M16</f>
        <v>0</v>
      </c>
      <c r="N5" s="446">
        <f ca="1">tertiair!N16</f>
        <v>23750.004755227314</v>
      </c>
      <c r="O5" s="446">
        <f>tertiair!O16</f>
        <v>24.486303829205774</v>
      </c>
      <c r="P5" s="447">
        <f>tertiair!P16</f>
        <v>315.23482983897009</v>
      </c>
      <c r="Q5" s="445">
        <f t="shared" ref="Q5:Q14" ca="1" si="0">SUM(B5:P5)</f>
        <v>89693.957892341932</v>
      </c>
    </row>
    <row r="6" spans="1:17">
      <c r="A6" s="445" t="s">
        <v>187</v>
      </c>
      <c r="B6" s="446">
        <f>'openbare verlichting'!B8</f>
        <v>841.68100000000004</v>
      </c>
      <c r="C6" s="446"/>
      <c r="D6" s="446"/>
      <c r="E6" s="446"/>
      <c r="F6" s="446"/>
      <c r="G6" s="446"/>
      <c r="H6" s="446"/>
      <c r="I6" s="446"/>
      <c r="J6" s="446"/>
      <c r="K6" s="446"/>
      <c r="L6" s="446"/>
      <c r="M6" s="446"/>
      <c r="N6" s="446"/>
      <c r="O6" s="446"/>
      <c r="P6" s="447"/>
      <c r="Q6" s="445">
        <f t="shared" si="0"/>
        <v>841.68100000000004</v>
      </c>
    </row>
    <row r="7" spans="1:17">
      <c r="A7" s="445" t="s">
        <v>105</v>
      </c>
      <c r="B7" s="446">
        <f>landbouw!B8</f>
        <v>5550.1945530000003</v>
      </c>
      <c r="C7" s="446">
        <f>landbouw!C8</f>
        <v>43997.142857142855</v>
      </c>
      <c r="D7" s="446">
        <f>landbouw!D8</f>
        <v>1183.3505636699999</v>
      </c>
      <c r="E7" s="446">
        <f>landbouw!E8</f>
        <v>173.21974177075788</v>
      </c>
      <c r="F7" s="446">
        <f>landbouw!F8</f>
        <v>19615.002384268824</v>
      </c>
      <c r="G7" s="446">
        <f>landbouw!G8</f>
        <v>0</v>
      </c>
      <c r="H7" s="446">
        <f>landbouw!H8</f>
        <v>0</v>
      </c>
      <c r="I7" s="446">
        <f>landbouw!I8</f>
        <v>0</v>
      </c>
      <c r="J7" s="446">
        <f>landbouw!J8</f>
        <v>1529.117089613399</v>
      </c>
      <c r="K7" s="446">
        <f>landbouw!K8</f>
        <v>0</v>
      </c>
      <c r="L7" s="446">
        <f>landbouw!L8</f>
        <v>0</v>
      </c>
      <c r="M7" s="446">
        <f>landbouw!M8</f>
        <v>0</v>
      </c>
      <c r="N7" s="446">
        <f>landbouw!N8</f>
        <v>0</v>
      </c>
      <c r="O7" s="446">
        <f>landbouw!O8</f>
        <v>0</v>
      </c>
      <c r="P7" s="447">
        <f>landbouw!P8</f>
        <v>0</v>
      </c>
      <c r="Q7" s="445">
        <f t="shared" si="0"/>
        <v>72048.027189465836</v>
      </c>
    </row>
    <row r="8" spans="1:17">
      <c r="A8" s="445" t="s">
        <v>612</v>
      </c>
      <c r="B8" s="446">
        <f>industrie!B18</f>
        <v>16394.37703</v>
      </c>
      <c r="C8" s="446">
        <f>industrie!C18</f>
        <v>0</v>
      </c>
      <c r="D8" s="446">
        <f>industrie!D18</f>
        <v>8131.8085646599993</v>
      </c>
      <c r="E8" s="446">
        <f>industrie!E18</f>
        <v>856.62908805012307</v>
      </c>
      <c r="F8" s="446">
        <f>industrie!F18</f>
        <v>3335.2077963464662</v>
      </c>
      <c r="G8" s="446">
        <f>industrie!G18</f>
        <v>0</v>
      </c>
      <c r="H8" s="446">
        <f>industrie!H18</f>
        <v>0</v>
      </c>
      <c r="I8" s="446">
        <f>industrie!I18</f>
        <v>0</v>
      </c>
      <c r="J8" s="446">
        <f>industrie!J18</f>
        <v>208.87387244998558</v>
      </c>
      <c r="K8" s="446">
        <f>industrie!K18</f>
        <v>0</v>
      </c>
      <c r="L8" s="446">
        <f>industrie!L18</f>
        <v>0</v>
      </c>
      <c r="M8" s="446">
        <f>industrie!M18</f>
        <v>0</v>
      </c>
      <c r="N8" s="446">
        <f>industrie!N18</f>
        <v>430.78968345968889</v>
      </c>
      <c r="O8" s="446">
        <f>industrie!O18</f>
        <v>0</v>
      </c>
      <c r="P8" s="447">
        <f>industrie!P18</f>
        <v>0</v>
      </c>
      <c r="Q8" s="445">
        <f t="shared" si="0"/>
        <v>29357.68603496626</v>
      </c>
    </row>
    <row r="9" spans="1:17" s="451" customFormat="1">
      <c r="A9" s="449" t="s">
        <v>538</v>
      </c>
      <c r="B9" s="450">
        <f>transport!B14</f>
        <v>85.010219159652607</v>
      </c>
      <c r="C9" s="450">
        <f>transport!C14</f>
        <v>0</v>
      </c>
      <c r="D9" s="450">
        <f>transport!D14</f>
        <v>135.43796538973606</v>
      </c>
      <c r="E9" s="450">
        <f>transport!E14</f>
        <v>127.9451910395647</v>
      </c>
      <c r="F9" s="450">
        <f>transport!F14</f>
        <v>0</v>
      </c>
      <c r="G9" s="450">
        <f>transport!G14</f>
        <v>78958.48815686944</v>
      </c>
      <c r="H9" s="450">
        <f>transport!H14</f>
        <v>12263.603953032602</v>
      </c>
      <c r="I9" s="450">
        <f>transport!I14</f>
        <v>0</v>
      </c>
      <c r="J9" s="450">
        <f>transport!J14</f>
        <v>0</v>
      </c>
      <c r="K9" s="450">
        <f>transport!K14</f>
        <v>0</v>
      </c>
      <c r="L9" s="450">
        <f>transport!L14</f>
        <v>0</v>
      </c>
      <c r="M9" s="450">
        <f>transport!M14</f>
        <v>5363.2771756330994</v>
      </c>
      <c r="N9" s="450">
        <f>transport!N14</f>
        <v>0</v>
      </c>
      <c r="O9" s="450">
        <f>transport!O14</f>
        <v>0</v>
      </c>
      <c r="P9" s="450">
        <f>transport!P14</f>
        <v>0</v>
      </c>
      <c r="Q9" s="449">
        <f>SUM(B9:P9)</f>
        <v>96933.762661124099</v>
      </c>
    </row>
    <row r="10" spans="1:17">
      <c r="A10" s="445" t="s">
        <v>528</v>
      </c>
      <c r="B10" s="446">
        <f>transport!B54</f>
        <v>9.501622568471694</v>
      </c>
      <c r="C10" s="446">
        <f>transport!C54</f>
        <v>0</v>
      </c>
      <c r="D10" s="446">
        <f>transport!D54</f>
        <v>0</v>
      </c>
      <c r="E10" s="446">
        <f>transport!E54</f>
        <v>0</v>
      </c>
      <c r="F10" s="446">
        <f>transport!F54</f>
        <v>0</v>
      </c>
      <c r="G10" s="446">
        <f>transport!G54</f>
        <v>688.40686573859034</v>
      </c>
      <c r="H10" s="446">
        <f>transport!H54</f>
        <v>0</v>
      </c>
      <c r="I10" s="446">
        <f>transport!I54</f>
        <v>0</v>
      </c>
      <c r="J10" s="446">
        <f>transport!J54</f>
        <v>0</v>
      </c>
      <c r="K10" s="446">
        <f>transport!K54</f>
        <v>0</v>
      </c>
      <c r="L10" s="446">
        <f>transport!L54</f>
        <v>0</v>
      </c>
      <c r="M10" s="446">
        <f>transport!M54</f>
        <v>38.938342402541814</v>
      </c>
      <c r="N10" s="446">
        <f>transport!N54</f>
        <v>0</v>
      </c>
      <c r="O10" s="446">
        <f>transport!O54</f>
        <v>0</v>
      </c>
      <c r="P10" s="447">
        <f>transport!P54</f>
        <v>0</v>
      </c>
      <c r="Q10" s="445">
        <f t="shared" si="0"/>
        <v>736.84683070960386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487.039176</v>
      </c>
      <c r="C14" s="453"/>
      <c r="D14" s="453">
        <f>'SEAP template'!E25</f>
        <v>1214.170001</v>
      </c>
      <c r="E14" s="453"/>
      <c r="F14" s="453"/>
      <c r="G14" s="453"/>
      <c r="H14" s="453"/>
      <c r="I14" s="453"/>
      <c r="J14" s="453"/>
      <c r="K14" s="453"/>
      <c r="L14" s="453"/>
      <c r="M14" s="453"/>
      <c r="N14" s="453"/>
      <c r="O14" s="453"/>
      <c r="P14" s="454"/>
      <c r="Q14" s="445">
        <f t="shared" si="0"/>
        <v>1701.209177</v>
      </c>
    </row>
    <row r="15" spans="1:17" s="457" customFormat="1">
      <c r="A15" s="455" t="s">
        <v>532</v>
      </c>
      <c r="B15" s="456">
        <f ca="1">SUM(B4:B14)</f>
        <v>90208.425817555355</v>
      </c>
      <c r="C15" s="456">
        <f t="shared" ref="C15:Q15" ca="1" si="1">SUM(C4:C14)</f>
        <v>44016.421010296006</v>
      </c>
      <c r="D15" s="456">
        <f t="shared" ca="1" si="1"/>
        <v>82167.81998186787</v>
      </c>
      <c r="E15" s="456">
        <f t="shared" si="1"/>
        <v>2755.8732981376315</v>
      </c>
      <c r="F15" s="456">
        <f t="shared" ca="1" si="1"/>
        <v>51847.185282559818</v>
      </c>
      <c r="G15" s="456">
        <f t="shared" si="1"/>
        <v>79646.895022608034</v>
      </c>
      <c r="H15" s="456">
        <f t="shared" si="1"/>
        <v>12263.603953032602</v>
      </c>
      <c r="I15" s="456">
        <f t="shared" si="1"/>
        <v>0</v>
      </c>
      <c r="J15" s="456">
        <f t="shared" si="1"/>
        <v>1827.6529476597534</v>
      </c>
      <c r="K15" s="456">
        <f t="shared" si="1"/>
        <v>0</v>
      </c>
      <c r="L15" s="456">
        <f t="shared" ca="1" si="1"/>
        <v>0</v>
      </c>
      <c r="M15" s="456">
        <f t="shared" si="1"/>
        <v>5402.2155180356413</v>
      </c>
      <c r="N15" s="456">
        <f t="shared" ca="1" si="1"/>
        <v>31276.335456693221</v>
      </c>
      <c r="O15" s="456">
        <f t="shared" si="1"/>
        <v>437.14961346170838</v>
      </c>
      <c r="P15" s="456">
        <f t="shared" si="1"/>
        <v>999.94218483849647</v>
      </c>
      <c r="Q15" s="456">
        <f t="shared" ca="1" si="1"/>
        <v>402849.5200867462</v>
      </c>
    </row>
    <row r="17" spans="1:17">
      <c r="A17" s="458" t="s">
        <v>533</v>
      </c>
      <c r="B17" s="774">
        <f ca="1">huishoudens!B10</f>
        <v>5.4299588343446892E-2</v>
      </c>
      <c r="C17" s="774">
        <f ca="1">huishoudens!C10</f>
        <v>9.8192312637656904E-5</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1160.4817403704644</v>
      </c>
      <c r="C22" s="446">
        <f t="shared" ref="C22:C32" ca="1" si="3">C4*$C$17</f>
        <v>0</v>
      </c>
      <c r="D22" s="446">
        <f t="shared" ref="D22:D32" si="4">D4*$D$17</f>
        <v>11758.124184344122</v>
      </c>
      <c r="E22" s="446">
        <f t="shared" ref="E22:E32" si="5">E4*$E$17</f>
        <v>313.87753140380414</v>
      </c>
      <c r="F22" s="446">
        <f t="shared" ref="F22:F32" si="6">F4*$F$17</f>
        <v>5951.7759757670938</v>
      </c>
      <c r="G22" s="446">
        <f t="shared" ref="G22:G32" si="7">G4*$G$17</f>
        <v>0</v>
      </c>
      <c r="H22" s="446">
        <f t="shared" ref="H22:H32" si="8">H4*$H$17</f>
        <v>0</v>
      </c>
      <c r="I22" s="446">
        <f t="shared" ref="I22:I32" si="9">I4*$I$17</f>
        <v>0</v>
      </c>
      <c r="J22" s="446">
        <f t="shared" ref="J22:J32" si="10">J4*$J$17</f>
        <v>31.524671339347638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19215.784103224829</v>
      </c>
    </row>
    <row r="23" spans="1:17">
      <c r="A23" s="445" t="s">
        <v>149</v>
      </c>
      <c r="B23" s="446">
        <f t="shared" ca="1" si="2"/>
        <v>2468.9365306231052</v>
      </c>
      <c r="C23" s="446">
        <f t="shared" ca="1" si="3"/>
        <v>1.8929664414910456E-3</v>
      </c>
      <c r="D23" s="446">
        <f t="shared" ca="1" si="4"/>
        <v>2685.4924988598018</v>
      </c>
      <c r="E23" s="446">
        <f t="shared" si="5"/>
        <v>48.886464538117117</v>
      </c>
      <c r="F23" s="446">
        <f t="shared" ca="1" si="6"/>
        <v>1763.7163764520956</v>
      </c>
      <c r="G23" s="446">
        <f t="shared" si="7"/>
        <v>0</v>
      </c>
      <c r="H23" s="446">
        <f t="shared" si="8"/>
        <v>0</v>
      </c>
      <c r="I23" s="446">
        <f t="shared" si="9"/>
        <v>0</v>
      </c>
      <c r="J23" s="446">
        <f t="shared" si="10"/>
        <v>0.21567156176693703</v>
      </c>
      <c r="K23" s="446">
        <f t="shared" si="11"/>
        <v>0</v>
      </c>
      <c r="L23" s="446">
        <f t="shared" ca="1" si="12"/>
        <v>0</v>
      </c>
      <c r="M23" s="446">
        <f t="shared" si="13"/>
        <v>0</v>
      </c>
      <c r="N23" s="446">
        <f t="shared" ca="1" si="14"/>
        <v>0</v>
      </c>
      <c r="O23" s="446">
        <f t="shared" si="15"/>
        <v>0</v>
      </c>
      <c r="P23" s="447">
        <f t="shared" si="16"/>
        <v>0</v>
      </c>
      <c r="Q23" s="445">
        <f t="shared" ref="Q23:Q31" ca="1" si="17">SUM(B23:P23)</f>
        <v>6967.2494350013276</v>
      </c>
    </row>
    <row r="24" spans="1:17">
      <c r="A24" s="445" t="s">
        <v>187</v>
      </c>
      <c r="B24" s="446">
        <f t="shared" ca="1" si="2"/>
        <v>45.702931816500723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45.702931816500723</v>
      </c>
    </row>
    <row r="25" spans="1:17">
      <c r="A25" s="445" t="s">
        <v>105</v>
      </c>
      <c r="B25" s="446">
        <f t="shared" ca="1" si="2"/>
        <v>301.37327945394122</v>
      </c>
      <c r="C25" s="446">
        <f t="shared" ca="1" si="3"/>
        <v>4.3201812065922249</v>
      </c>
      <c r="D25" s="446">
        <f t="shared" si="4"/>
        <v>239.03681386133999</v>
      </c>
      <c r="E25" s="446">
        <f t="shared" si="5"/>
        <v>39.320881381962039</v>
      </c>
      <c r="F25" s="446">
        <f t="shared" si="6"/>
        <v>5237.205636599776</v>
      </c>
      <c r="G25" s="446">
        <f t="shared" si="7"/>
        <v>0</v>
      </c>
      <c r="H25" s="446">
        <f t="shared" si="8"/>
        <v>0</v>
      </c>
      <c r="I25" s="446">
        <f t="shared" si="9"/>
        <v>0</v>
      </c>
      <c r="J25" s="446">
        <f t="shared" si="10"/>
        <v>541.30744972314324</v>
      </c>
      <c r="K25" s="446">
        <f t="shared" si="11"/>
        <v>0</v>
      </c>
      <c r="L25" s="446">
        <f t="shared" si="12"/>
        <v>0</v>
      </c>
      <c r="M25" s="446">
        <f t="shared" si="13"/>
        <v>0</v>
      </c>
      <c r="N25" s="446">
        <f t="shared" si="14"/>
        <v>0</v>
      </c>
      <c r="O25" s="446">
        <f t="shared" si="15"/>
        <v>0</v>
      </c>
      <c r="P25" s="447">
        <f t="shared" si="16"/>
        <v>0</v>
      </c>
      <c r="Q25" s="445">
        <f t="shared" ca="1" si="17"/>
        <v>6362.5642422267538</v>
      </c>
    </row>
    <row r="26" spans="1:17">
      <c r="A26" s="445" t="s">
        <v>612</v>
      </c>
      <c r="B26" s="446">
        <f t="shared" ca="1" si="2"/>
        <v>890.20792387626148</v>
      </c>
      <c r="C26" s="446">
        <f t="shared" ca="1" si="3"/>
        <v>0</v>
      </c>
      <c r="D26" s="446">
        <f t="shared" si="4"/>
        <v>1642.62533006132</v>
      </c>
      <c r="E26" s="446">
        <f t="shared" si="5"/>
        <v>194.45480298737795</v>
      </c>
      <c r="F26" s="446">
        <f t="shared" si="6"/>
        <v>890.50048162450651</v>
      </c>
      <c r="G26" s="446">
        <f t="shared" si="7"/>
        <v>0</v>
      </c>
      <c r="H26" s="446">
        <f t="shared" si="8"/>
        <v>0</v>
      </c>
      <c r="I26" s="446">
        <f t="shared" si="9"/>
        <v>0</v>
      </c>
      <c r="J26" s="446">
        <f t="shared" si="10"/>
        <v>73.941350847294899</v>
      </c>
      <c r="K26" s="446">
        <f t="shared" si="11"/>
        <v>0</v>
      </c>
      <c r="L26" s="446">
        <f t="shared" si="12"/>
        <v>0</v>
      </c>
      <c r="M26" s="446">
        <f t="shared" si="13"/>
        <v>0</v>
      </c>
      <c r="N26" s="446">
        <f t="shared" si="14"/>
        <v>0</v>
      </c>
      <c r="O26" s="446">
        <f t="shared" si="15"/>
        <v>0</v>
      </c>
      <c r="P26" s="447">
        <f t="shared" si="16"/>
        <v>0</v>
      </c>
      <c r="Q26" s="445">
        <f t="shared" ca="1" si="17"/>
        <v>3691.7298893967609</v>
      </c>
    </row>
    <row r="27" spans="1:17" s="451" customFormat="1">
      <c r="A27" s="449" t="s">
        <v>538</v>
      </c>
      <c r="B27" s="768">
        <f t="shared" ca="1" si="2"/>
        <v>4.6160199053553379</v>
      </c>
      <c r="C27" s="450">
        <f t="shared" ca="1" si="3"/>
        <v>0</v>
      </c>
      <c r="D27" s="450">
        <f t="shared" si="4"/>
        <v>27.358469008726686</v>
      </c>
      <c r="E27" s="450">
        <f t="shared" si="5"/>
        <v>29.043558365981188</v>
      </c>
      <c r="F27" s="450">
        <f t="shared" si="6"/>
        <v>0</v>
      </c>
      <c r="G27" s="450">
        <f t="shared" si="7"/>
        <v>21081.91633788414</v>
      </c>
      <c r="H27" s="450">
        <f t="shared" si="8"/>
        <v>3053.6373843051178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24196.571769469323</v>
      </c>
    </row>
    <row r="28" spans="1:17" ht="16.5" customHeight="1">
      <c r="A28" s="445" t="s">
        <v>528</v>
      </c>
      <c r="B28" s="446">
        <f t="shared" ca="1" si="2"/>
        <v>0.51593419406281749</v>
      </c>
      <c r="C28" s="446">
        <f t="shared" ca="1" si="3"/>
        <v>0</v>
      </c>
      <c r="D28" s="446">
        <f t="shared" si="4"/>
        <v>0</v>
      </c>
      <c r="E28" s="446">
        <f t="shared" si="5"/>
        <v>0</v>
      </c>
      <c r="F28" s="446">
        <f t="shared" si="6"/>
        <v>0</v>
      </c>
      <c r="G28" s="446">
        <f t="shared" si="7"/>
        <v>183.80463315220362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184.32056734626644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26.446026763931577</v>
      </c>
      <c r="C32" s="446">
        <f t="shared" ca="1" si="3"/>
        <v>0</v>
      </c>
      <c r="D32" s="446">
        <f t="shared" si="4"/>
        <v>245.26234020200002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271.70836696593159</v>
      </c>
    </row>
    <row r="33" spans="1:17" s="457" customFormat="1">
      <c r="A33" s="455" t="s">
        <v>532</v>
      </c>
      <c r="B33" s="456">
        <f ca="1">SUM(B22:B32)</f>
        <v>4898.2803870036223</v>
      </c>
      <c r="C33" s="456">
        <f t="shared" ref="C33:Q33" ca="1" si="19">SUM(C22:C32)</f>
        <v>4.322074173033716</v>
      </c>
      <c r="D33" s="456">
        <f t="shared" ca="1" si="19"/>
        <v>16597.899636337312</v>
      </c>
      <c r="E33" s="456">
        <f t="shared" si="19"/>
        <v>625.58323867724243</v>
      </c>
      <c r="F33" s="456">
        <f t="shared" ca="1" si="19"/>
        <v>13843.198470443473</v>
      </c>
      <c r="G33" s="456">
        <f t="shared" si="19"/>
        <v>21265.720971036342</v>
      </c>
      <c r="H33" s="456">
        <f t="shared" si="19"/>
        <v>3053.6373843051178</v>
      </c>
      <c r="I33" s="456">
        <f t="shared" si="19"/>
        <v>0</v>
      </c>
      <c r="J33" s="456">
        <f t="shared" si="19"/>
        <v>646.98914347155267</v>
      </c>
      <c r="K33" s="456">
        <f t="shared" si="19"/>
        <v>0</v>
      </c>
      <c r="L33" s="456">
        <f t="shared" ca="1" si="19"/>
        <v>0</v>
      </c>
      <c r="M33" s="456">
        <f t="shared" si="19"/>
        <v>0</v>
      </c>
      <c r="N33" s="456">
        <f t="shared" ca="1" si="19"/>
        <v>0</v>
      </c>
      <c r="O33" s="456">
        <f t="shared" si="19"/>
        <v>0</v>
      </c>
      <c r="P33" s="456">
        <f t="shared" si="19"/>
        <v>0</v>
      </c>
      <c r="Q33" s="456">
        <f t="shared" ca="1" si="19"/>
        <v>60935.631305447692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28478.989263468677</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8767.5033852142788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30798.727176887045</v>
      </c>
      <c r="C8" s="1019">
        <f>'SEAP template'!C76</f>
        <v>12.731156446288047</v>
      </c>
      <c r="D8" s="1019">
        <f>'SEAP template'!D76</f>
        <v>14.977467076677256</v>
      </c>
      <c r="E8" s="1019">
        <f>'SEAP template'!E76</f>
        <v>0</v>
      </c>
      <c r="F8" s="1019">
        <f>'SEAP template'!F76</f>
        <v>0</v>
      </c>
      <c r="G8" s="1019">
        <f>'SEAP template'!G76</f>
        <v>0</v>
      </c>
      <c r="H8" s="1019">
        <f>'SEAP template'!H76</f>
        <v>0</v>
      </c>
      <c r="I8" s="1019">
        <f>'SEAP template'!I76</f>
        <v>0</v>
      </c>
      <c r="J8" s="1019">
        <f>'SEAP template'!J76</f>
        <v>36232.916015252144</v>
      </c>
      <c r="K8" s="1019">
        <f>'SEAP template'!K76</f>
        <v>0</v>
      </c>
      <c r="L8" s="1019">
        <f>'SEAP template'!L76</f>
        <v>0</v>
      </c>
      <c r="M8" s="1019">
        <f>'SEAP template'!M76</f>
        <v>0</v>
      </c>
      <c r="N8" s="1019">
        <f>'SEAP template'!N76</f>
        <v>0</v>
      </c>
      <c r="O8" s="1019">
        <f>'SEAP template'!O76</f>
        <v>0</v>
      </c>
      <c r="P8" s="1020">
        <f>'SEAP template'!Q76</f>
        <v>3.0254483494888058</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68045.219825570006</v>
      </c>
      <c r="C10" s="1021">
        <f>SUM(C4:C9)</f>
        <v>12.731156446288047</v>
      </c>
      <c r="D10" s="1021">
        <f t="shared" ref="D10:H10" si="0">SUM(D8:D9)</f>
        <v>14.977467076677256</v>
      </c>
      <c r="E10" s="1021">
        <f t="shared" si="0"/>
        <v>0</v>
      </c>
      <c r="F10" s="1021">
        <f t="shared" si="0"/>
        <v>0</v>
      </c>
      <c r="G10" s="1021">
        <f t="shared" si="0"/>
        <v>0</v>
      </c>
      <c r="H10" s="1021">
        <f t="shared" si="0"/>
        <v>0</v>
      </c>
      <c r="I10" s="1021">
        <f>SUM(I8:I9)</f>
        <v>0</v>
      </c>
      <c r="J10" s="1021">
        <f>SUM(J8:J9)</f>
        <v>36232.916015252144</v>
      </c>
      <c r="K10" s="1021">
        <f t="shared" ref="K10:L10" si="1">SUM(K8:K9)</f>
        <v>0</v>
      </c>
      <c r="L10" s="1021">
        <f t="shared" si="1"/>
        <v>0</v>
      </c>
      <c r="M10" s="1021">
        <f>SUM(M8:M9)</f>
        <v>0</v>
      </c>
      <c r="N10" s="1021">
        <f>SUM(N8:N9)</f>
        <v>0</v>
      </c>
      <c r="O10" s="1021">
        <f>SUM(O8:O9)</f>
        <v>0</v>
      </c>
      <c r="P10" s="1021">
        <f>SUM(P8:P9)</f>
        <v>3.0254483494888058</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5.4299588343446892E-2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43998.233622473417</v>
      </c>
      <c r="C17" s="1022">
        <f>'SEAP template'!C87</f>
        <v>18.187387822585222</v>
      </c>
      <c r="D17" s="1020">
        <f>'SEAP template'!D87</f>
        <v>21.396406797196608</v>
      </c>
      <c r="E17" s="1020">
        <f>'SEAP template'!E87</f>
        <v>0</v>
      </c>
      <c r="F17" s="1020">
        <f>'SEAP template'!F87</f>
        <v>0</v>
      </c>
      <c r="G17" s="1020">
        <f>'SEAP template'!G87</f>
        <v>0</v>
      </c>
      <c r="H17" s="1020">
        <f>'SEAP template'!H87</f>
        <v>0</v>
      </c>
      <c r="I17" s="1020">
        <f>'SEAP template'!I87</f>
        <v>0</v>
      </c>
      <c r="J17" s="1020">
        <f>'SEAP template'!J87</f>
        <v>51761.369699033559</v>
      </c>
      <c r="K17" s="1020">
        <f>'SEAP template'!K87</f>
        <v>0</v>
      </c>
      <c r="L17" s="1020">
        <f>'SEAP template'!L87</f>
        <v>0</v>
      </c>
      <c r="M17" s="1020">
        <f>'SEAP template'!M87</f>
        <v>0</v>
      </c>
      <c r="N17" s="1020">
        <f>'SEAP template'!N87</f>
        <v>0</v>
      </c>
      <c r="O17" s="1020">
        <f>'SEAP template'!O87</f>
        <v>0</v>
      </c>
      <c r="P17" s="1020">
        <f>'SEAP template'!Q87</f>
        <v>4.3220741730337151</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43998.233622473417</v>
      </c>
      <c r="C20" s="1021">
        <f>SUM(C17:C19)</f>
        <v>18.187387822585222</v>
      </c>
      <c r="D20" s="1021">
        <f t="shared" ref="D20:H20" si="2">SUM(D17:D19)</f>
        <v>21.396406797196608</v>
      </c>
      <c r="E20" s="1021">
        <f t="shared" si="2"/>
        <v>0</v>
      </c>
      <c r="F20" s="1021">
        <f t="shared" si="2"/>
        <v>0</v>
      </c>
      <c r="G20" s="1021">
        <f t="shared" si="2"/>
        <v>0</v>
      </c>
      <c r="H20" s="1021">
        <f t="shared" si="2"/>
        <v>0</v>
      </c>
      <c r="I20" s="1021">
        <f>SUM(I17:I19)</f>
        <v>0</v>
      </c>
      <c r="J20" s="1021">
        <f>SUM(J17:J19)</f>
        <v>51761.369699033559</v>
      </c>
      <c r="K20" s="1021">
        <f t="shared" ref="K20:L20" si="3">SUM(K17:K19)</f>
        <v>0</v>
      </c>
      <c r="L20" s="1021">
        <f t="shared" si="3"/>
        <v>0</v>
      </c>
      <c r="M20" s="1021">
        <f>SUM(M17:M19)</f>
        <v>0</v>
      </c>
      <c r="N20" s="1021">
        <f>SUM(N17:N19)</f>
        <v>0</v>
      </c>
      <c r="O20" s="1021">
        <f>SUM(O17:O19)</f>
        <v>0</v>
      </c>
      <c r="P20" s="1021">
        <f>SUM(P17:P19)</f>
        <v>4.3220741730337151</v>
      </c>
    </row>
    <row r="21" spans="1:16">
      <c r="B21" s="879"/>
    </row>
    <row r="22" spans="1:16">
      <c r="A22" s="458" t="s">
        <v>780</v>
      </c>
      <c r="B22" s="774" t="s">
        <v>778</v>
      </c>
      <c r="C22" s="774">
        <f ca="1">'EF ele_warmte'!B22</f>
        <v>9.8192312637656904E-5</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5.4299588343446892E-2</v>
      </c>
      <c r="C17" s="494">
        <f ca="1">'EF ele_warmte'!B22</f>
        <v>9.8192312637656904E-5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5.4299588343446892E-2</v>
      </c>
      <c r="C17" s="494">
        <f ca="1">'EF ele_warmte'!B22</f>
        <v>9.8192312637656904E-5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5.4299588343446892E-2</v>
      </c>
      <c r="C29" s="495">
        <f ca="1">'EF ele_warmte'!B22</f>
        <v>9.8192312637656904E-5</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5317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2449.54</v>
      </c>
      <c r="C14" s="326"/>
      <c r="D14" s="326"/>
      <c r="E14" s="326"/>
      <c r="F14" s="326"/>
    </row>
    <row r="15" spans="1:6">
      <c r="A15" s="1296" t="s">
        <v>177</v>
      </c>
      <c r="B15" s="1297">
        <v>4233</v>
      </c>
      <c r="C15" s="326"/>
      <c r="D15" s="326"/>
      <c r="E15" s="326"/>
      <c r="F15" s="326"/>
    </row>
    <row r="16" spans="1:6">
      <c r="A16" s="1296" t="s">
        <v>6</v>
      </c>
      <c r="B16" s="1297">
        <v>1704</v>
      </c>
      <c r="C16" s="326"/>
      <c r="D16" s="326"/>
      <c r="E16" s="326"/>
      <c r="F16" s="326"/>
    </row>
    <row r="17" spans="1:6">
      <c r="A17" s="1296" t="s">
        <v>7</v>
      </c>
      <c r="B17" s="1297">
        <v>126</v>
      </c>
      <c r="C17" s="326"/>
      <c r="D17" s="326"/>
      <c r="E17" s="326"/>
      <c r="F17" s="326"/>
    </row>
    <row r="18" spans="1:6">
      <c r="A18" s="1296" t="s">
        <v>8</v>
      </c>
      <c r="B18" s="1297">
        <v>815</v>
      </c>
      <c r="C18" s="326"/>
      <c r="D18" s="326"/>
      <c r="E18" s="326"/>
      <c r="F18" s="326"/>
    </row>
    <row r="19" spans="1:6">
      <c r="A19" s="1296" t="s">
        <v>9</v>
      </c>
      <c r="B19" s="1297">
        <v>758</v>
      </c>
      <c r="C19" s="326"/>
      <c r="D19" s="326"/>
      <c r="E19" s="326"/>
      <c r="F19" s="326"/>
    </row>
    <row r="20" spans="1:6">
      <c r="A20" s="1296" t="s">
        <v>10</v>
      </c>
      <c r="B20" s="1297">
        <v>508</v>
      </c>
      <c r="C20" s="326"/>
      <c r="D20" s="326"/>
      <c r="E20" s="326"/>
      <c r="F20" s="326"/>
    </row>
    <row r="21" spans="1:6">
      <c r="A21" s="1296" t="s">
        <v>11</v>
      </c>
      <c r="B21" s="1297">
        <v>20558</v>
      </c>
      <c r="C21" s="326"/>
      <c r="D21" s="326"/>
      <c r="E21" s="326"/>
      <c r="F21" s="326"/>
    </row>
    <row r="22" spans="1:6">
      <c r="A22" s="1296" t="s">
        <v>12</v>
      </c>
      <c r="B22" s="1297">
        <v>12643</v>
      </c>
      <c r="C22" s="326"/>
      <c r="D22" s="326"/>
      <c r="E22" s="326"/>
      <c r="F22" s="326"/>
    </row>
    <row r="23" spans="1:6">
      <c r="A23" s="1296" t="s">
        <v>13</v>
      </c>
      <c r="B23" s="1297">
        <v>825</v>
      </c>
      <c r="C23" s="326"/>
      <c r="D23" s="326"/>
      <c r="E23" s="326"/>
      <c r="F23" s="326"/>
    </row>
    <row r="24" spans="1:6">
      <c r="A24" s="1296" t="s">
        <v>14</v>
      </c>
      <c r="B24" s="1297">
        <v>11</v>
      </c>
      <c r="C24" s="326"/>
      <c r="D24" s="326"/>
      <c r="E24" s="326"/>
      <c r="F24" s="326"/>
    </row>
    <row r="25" spans="1:6">
      <c r="A25" s="1296" t="s">
        <v>15</v>
      </c>
      <c r="B25" s="1297">
        <v>5117</v>
      </c>
      <c r="C25" s="326"/>
      <c r="D25" s="326"/>
      <c r="E25" s="326"/>
      <c r="F25" s="326"/>
    </row>
    <row r="26" spans="1:6">
      <c r="A26" s="1296" t="s">
        <v>16</v>
      </c>
      <c r="B26" s="1297">
        <v>6</v>
      </c>
      <c r="C26" s="326"/>
      <c r="D26" s="326"/>
      <c r="E26" s="326"/>
      <c r="F26" s="326"/>
    </row>
    <row r="27" spans="1:6">
      <c r="A27" s="1296" t="s">
        <v>17</v>
      </c>
      <c r="B27" s="1297">
        <v>0</v>
      </c>
      <c r="C27" s="326"/>
      <c r="D27" s="326"/>
      <c r="E27" s="326"/>
      <c r="F27" s="326"/>
    </row>
    <row r="28" spans="1:6">
      <c r="A28" s="1296" t="s">
        <v>18</v>
      </c>
      <c r="B28" s="1298">
        <v>336322</v>
      </c>
      <c r="C28" s="326"/>
      <c r="D28" s="326"/>
      <c r="E28" s="326"/>
      <c r="F28" s="326"/>
    </row>
    <row r="29" spans="1:6">
      <c r="A29" s="1296" t="s">
        <v>689</v>
      </c>
      <c r="B29" s="1298">
        <v>71</v>
      </c>
      <c r="C29" s="326"/>
      <c r="D29" s="326"/>
      <c r="E29" s="326"/>
      <c r="F29" s="326"/>
    </row>
    <row r="30" spans="1:6">
      <c r="A30" s="1291" t="s">
        <v>690</v>
      </c>
      <c r="B30" s="1299">
        <v>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219.63300000000001</v>
      </c>
    </row>
    <row r="37" spans="1:6">
      <c r="A37" s="1296" t="s">
        <v>24</v>
      </c>
      <c r="B37" s="1296" t="s">
        <v>27</v>
      </c>
      <c r="C37" s="1297">
        <v>0</v>
      </c>
      <c r="D37" s="1297">
        <v>0</v>
      </c>
      <c r="E37" s="1297">
        <v>0</v>
      </c>
      <c r="F37" s="1297">
        <v>0</v>
      </c>
    </row>
    <row r="38" spans="1:6">
      <c r="A38" s="1296" t="s">
        <v>24</v>
      </c>
      <c r="B38" s="1296" t="s">
        <v>28</v>
      </c>
      <c r="C38" s="1297">
        <v>2</v>
      </c>
      <c r="D38" s="1297">
        <v>167291.299</v>
      </c>
      <c r="E38" s="1297">
        <v>1</v>
      </c>
      <c r="F38" s="1297">
        <v>7233.625</v>
      </c>
    </row>
    <row r="39" spans="1:6">
      <c r="A39" s="1296" t="s">
        <v>29</v>
      </c>
      <c r="B39" s="1296" t="s">
        <v>30</v>
      </c>
      <c r="C39" s="1297">
        <v>3841</v>
      </c>
      <c r="D39" s="1297">
        <v>64532744.530000001</v>
      </c>
      <c r="E39" s="1297">
        <v>5148</v>
      </c>
      <c r="F39" s="1297">
        <v>17428296.719999999</v>
      </c>
    </row>
    <row r="40" spans="1:6">
      <c r="A40" s="1296" t="s">
        <v>29</v>
      </c>
      <c r="B40" s="1296" t="s">
        <v>28</v>
      </c>
      <c r="C40" s="1297">
        <v>0</v>
      </c>
      <c r="D40" s="1297">
        <v>0</v>
      </c>
      <c r="E40" s="1297">
        <v>0</v>
      </c>
      <c r="F40" s="1297">
        <v>0</v>
      </c>
    </row>
    <row r="41" spans="1:6">
      <c r="A41" s="1296" t="s">
        <v>31</v>
      </c>
      <c r="B41" s="1296" t="s">
        <v>32</v>
      </c>
      <c r="C41" s="1297">
        <v>79</v>
      </c>
      <c r="D41" s="1297">
        <v>1905130.389</v>
      </c>
      <c r="E41" s="1297">
        <v>154</v>
      </c>
      <c r="F41" s="1297">
        <v>2250165.7829999998</v>
      </c>
    </row>
    <row r="42" spans="1:6">
      <c r="A42" s="1296" t="s">
        <v>31</v>
      </c>
      <c r="B42" s="1296" t="s">
        <v>33</v>
      </c>
      <c r="C42" s="1297">
        <v>0</v>
      </c>
      <c r="D42" s="1297">
        <v>0</v>
      </c>
      <c r="E42" s="1297">
        <v>3</v>
      </c>
      <c r="F42" s="1297">
        <v>236219.86900000001</v>
      </c>
    </row>
    <row r="43" spans="1:6">
      <c r="A43" s="1296" t="s">
        <v>31</v>
      </c>
      <c r="B43" s="1296" t="s">
        <v>34</v>
      </c>
      <c r="C43" s="1297">
        <v>0</v>
      </c>
      <c r="D43" s="1297">
        <v>0</v>
      </c>
      <c r="E43" s="1297">
        <v>0</v>
      </c>
      <c r="F43" s="1297">
        <v>0</v>
      </c>
    </row>
    <row r="44" spans="1:6">
      <c r="A44" s="1296" t="s">
        <v>31</v>
      </c>
      <c r="B44" s="1296" t="s">
        <v>35</v>
      </c>
      <c r="C44" s="1297">
        <v>15</v>
      </c>
      <c r="D44" s="1297">
        <v>4869275.8640000001</v>
      </c>
      <c r="E44" s="1297">
        <v>23</v>
      </c>
      <c r="F44" s="1297">
        <v>8421058.023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1561940.7879999999</v>
      </c>
    </row>
    <row r="48" spans="1:6">
      <c r="A48" s="1296" t="s">
        <v>31</v>
      </c>
      <c r="B48" s="1296" t="s">
        <v>28</v>
      </c>
      <c r="C48" s="1297">
        <v>23</v>
      </c>
      <c r="D48" s="1297">
        <v>1857441.4709999999</v>
      </c>
      <c r="E48" s="1297">
        <v>25</v>
      </c>
      <c r="F48" s="1297">
        <v>3573184.7659999998</v>
      </c>
    </row>
    <row r="49" spans="1:6">
      <c r="A49" s="1296" t="s">
        <v>31</v>
      </c>
      <c r="B49" s="1296" t="s">
        <v>39</v>
      </c>
      <c r="C49" s="1297">
        <v>0</v>
      </c>
      <c r="D49" s="1297">
        <v>0</v>
      </c>
      <c r="E49" s="1297">
        <v>0</v>
      </c>
      <c r="F49" s="1297">
        <v>0</v>
      </c>
    </row>
    <row r="50" spans="1:6">
      <c r="A50" s="1296" t="s">
        <v>31</v>
      </c>
      <c r="B50" s="1296" t="s">
        <v>40</v>
      </c>
      <c r="C50" s="1297">
        <v>5</v>
      </c>
      <c r="D50" s="1297">
        <v>383461.10600000003</v>
      </c>
      <c r="E50" s="1297">
        <v>11</v>
      </c>
      <c r="F50" s="1297">
        <v>351807.80099999998</v>
      </c>
    </row>
    <row r="51" spans="1:6">
      <c r="A51" s="1296" t="s">
        <v>41</v>
      </c>
      <c r="B51" s="1296" t="s">
        <v>42</v>
      </c>
      <c r="C51" s="1297">
        <v>4</v>
      </c>
      <c r="D51" s="1297">
        <v>1190044.8089999999</v>
      </c>
      <c r="E51" s="1297">
        <v>66</v>
      </c>
      <c r="F51" s="1297">
        <v>5506394.04</v>
      </c>
    </row>
    <row r="52" spans="1:6">
      <c r="A52" s="1296" t="s">
        <v>41</v>
      </c>
      <c r="B52" s="1296" t="s">
        <v>28</v>
      </c>
      <c r="C52" s="1297">
        <v>6</v>
      </c>
      <c r="D52" s="1297">
        <v>121873.776</v>
      </c>
      <c r="E52" s="1297">
        <v>7</v>
      </c>
      <c r="F52" s="1297">
        <v>43800.512999999999</v>
      </c>
    </row>
    <row r="53" spans="1:6">
      <c r="A53" s="1296" t="s">
        <v>43</v>
      </c>
      <c r="B53" s="1296" t="s">
        <v>44</v>
      </c>
      <c r="C53" s="1297">
        <v>64</v>
      </c>
      <c r="D53" s="1297">
        <v>1214170.0009999999</v>
      </c>
      <c r="E53" s="1297">
        <v>155</v>
      </c>
      <c r="F53" s="1297">
        <v>487039.17599999998</v>
      </c>
    </row>
    <row r="54" spans="1:6">
      <c r="A54" s="1296" t="s">
        <v>45</v>
      </c>
      <c r="B54" s="1296" t="s">
        <v>46</v>
      </c>
      <c r="C54" s="1297">
        <v>0</v>
      </c>
      <c r="D54" s="1297">
        <v>0</v>
      </c>
      <c r="E54" s="1297">
        <v>1</v>
      </c>
      <c r="F54" s="1297">
        <v>841681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43</v>
      </c>
      <c r="D57" s="1297">
        <v>4761787.9280000003</v>
      </c>
      <c r="E57" s="1297">
        <v>104</v>
      </c>
      <c r="F57" s="1297">
        <v>35455008.979999997</v>
      </c>
    </row>
    <row r="58" spans="1:6">
      <c r="A58" s="1296" t="s">
        <v>48</v>
      </c>
      <c r="B58" s="1296" t="s">
        <v>50</v>
      </c>
      <c r="C58" s="1297">
        <v>19</v>
      </c>
      <c r="D58" s="1297">
        <v>443084.59899999999</v>
      </c>
      <c r="E58" s="1297">
        <v>26</v>
      </c>
      <c r="F58" s="1297">
        <v>149482.34</v>
      </c>
    </row>
    <row r="59" spans="1:6">
      <c r="A59" s="1296" t="s">
        <v>48</v>
      </c>
      <c r="B59" s="1296" t="s">
        <v>51</v>
      </c>
      <c r="C59" s="1297">
        <v>74</v>
      </c>
      <c r="D59" s="1297">
        <v>1937059.2819999999</v>
      </c>
      <c r="E59" s="1297">
        <v>134</v>
      </c>
      <c r="F59" s="1297">
        <v>3159329.929</v>
      </c>
    </row>
    <row r="60" spans="1:6">
      <c r="A60" s="1296" t="s">
        <v>48</v>
      </c>
      <c r="B60" s="1296" t="s">
        <v>52</v>
      </c>
      <c r="C60" s="1297">
        <v>37</v>
      </c>
      <c r="D60" s="1297">
        <v>1822507.6529999999</v>
      </c>
      <c r="E60" s="1297">
        <v>46</v>
      </c>
      <c r="F60" s="1297">
        <v>1164496.9790000001</v>
      </c>
    </row>
    <row r="61" spans="1:6">
      <c r="A61" s="1296" t="s">
        <v>48</v>
      </c>
      <c r="B61" s="1296" t="s">
        <v>53</v>
      </c>
      <c r="C61" s="1297">
        <v>66</v>
      </c>
      <c r="D61" s="1297">
        <v>1645354.014</v>
      </c>
      <c r="E61" s="1297">
        <v>163</v>
      </c>
      <c r="F61" s="1297">
        <v>1688904.63</v>
      </c>
    </row>
    <row r="62" spans="1:6">
      <c r="A62" s="1296" t="s">
        <v>48</v>
      </c>
      <c r="B62" s="1296" t="s">
        <v>54</v>
      </c>
      <c r="C62" s="1297">
        <v>3</v>
      </c>
      <c r="D62" s="1297">
        <v>978576.70799999998</v>
      </c>
      <c r="E62" s="1297">
        <v>0</v>
      </c>
      <c r="F62" s="1297">
        <v>0</v>
      </c>
    </row>
    <row r="63" spans="1:6">
      <c r="A63" s="1296" t="s">
        <v>48</v>
      </c>
      <c r="B63" s="1296" t="s">
        <v>28</v>
      </c>
      <c r="C63" s="1297">
        <v>84</v>
      </c>
      <c r="D63" s="1297">
        <v>3190888.3470000001</v>
      </c>
      <c r="E63" s="1297">
        <v>86</v>
      </c>
      <c r="F63" s="1297">
        <v>3838107.909</v>
      </c>
    </row>
    <row r="64" spans="1:6">
      <c r="A64" s="1296" t="s">
        <v>55</v>
      </c>
      <c r="B64" s="1296" t="s">
        <v>56</v>
      </c>
      <c r="C64" s="1297">
        <v>0</v>
      </c>
      <c r="D64" s="1297">
        <v>0</v>
      </c>
      <c r="E64" s="1297">
        <v>0</v>
      </c>
      <c r="F64" s="1297">
        <v>0</v>
      </c>
    </row>
    <row r="65" spans="1:6">
      <c r="A65" s="1296" t="s">
        <v>55</v>
      </c>
      <c r="B65" s="1296" t="s">
        <v>28</v>
      </c>
      <c r="C65" s="1297">
        <v>2</v>
      </c>
      <c r="D65" s="1297">
        <v>78576.667000000001</v>
      </c>
      <c r="E65" s="1297">
        <v>0</v>
      </c>
      <c r="F65" s="1297">
        <v>0</v>
      </c>
    </row>
    <row r="66" spans="1:6">
      <c r="A66" s="1296" t="s">
        <v>55</v>
      </c>
      <c r="B66" s="1296" t="s">
        <v>57</v>
      </c>
      <c r="C66" s="1297">
        <v>0</v>
      </c>
      <c r="D66" s="1297">
        <v>0</v>
      </c>
      <c r="E66" s="1297">
        <v>5</v>
      </c>
      <c r="F66" s="1297">
        <v>15830.251</v>
      </c>
    </row>
    <row r="67" spans="1:6">
      <c r="A67" s="1296" t="s">
        <v>55</v>
      </c>
      <c r="B67" s="1296" t="s">
        <v>58</v>
      </c>
      <c r="C67" s="1297">
        <v>0</v>
      </c>
      <c r="D67" s="1297">
        <v>0</v>
      </c>
      <c r="E67" s="1297">
        <v>0</v>
      </c>
      <c r="F67" s="1297">
        <v>0</v>
      </c>
    </row>
    <row r="68" spans="1:6">
      <c r="A68" s="1291" t="s">
        <v>55</v>
      </c>
      <c r="B68" s="1291" t="s">
        <v>59</v>
      </c>
      <c r="C68" s="1299">
        <v>8</v>
      </c>
      <c r="D68" s="1299">
        <v>219040.61600000001</v>
      </c>
      <c r="E68" s="1299">
        <v>17</v>
      </c>
      <c r="F68" s="1299">
        <v>237492.54300000001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32727042</v>
      </c>
      <c r="E73" s="444"/>
      <c r="F73" s="326"/>
    </row>
    <row r="74" spans="1:6">
      <c r="A74" s="1296" t="s">
        <v>63</v>
      </c>
      <c r="B74" s="1296" t="s">
        <v>633</v>
      </c>
      <c r="C74" s="1309" t="s">
        <v>635</v>
      </c>
      <c r="D74" s="1297">
        <v>1731323.5</v>
      </c>
      <c r="E74" s="444"/>
      <c r="F74" s="326"/>
    </row>
    <row r="75" spans="1:6">
      <c r="A75" s="1296" t="s">
        <v>64</v>
      </c>
      <c r="B75" s="1296" t="s">
        <v>632</v>
      </c>
      <c r="C75" s="1309" t="s">
        <v>636</v>
      </c>
      <c r="D75" s="1297">
        <v>11921356</v>
      </c>
      <c r="E75" s="444"/>
      <c r="F75" s="326"/>
    </row>
    <row r="76" spans="1:6">
      <c r="A76" s="1296" t="s">
        <v>64</v>
      </c>
      <c r="B76" s="1296" t="s">
        <v>633</v>
      </c>
      <c r="C76" s="1309" t="s">
        <v>637</v>
      </c>
      <c r="D76" s="1297">
        <v>500353.5</v>
      </c>
      <c r="E76" s="444"/>
      <c r="F76" s="326"/>
    </row>
    <row r="77" spans="1:6">
      <c r="A77" s="1296" t="s">
        <v>65</v>
      </c>
      <c r="B77" s="1296" t="s">
        <v>632</v>
      </c>
      <c r="C77" s="1309" t="s">
        <v>638</v>
      </c>
      <c r="D77" s="1297">
        <v>35880701</v>
      </c>
      <c r="E77" s="444"/>
      <c r="F77" s="326"/>
    </row>
    <row r="78" spans="1:6">
      <c r="A78" s="1291" t="s">
        <v>65</v>
      </c>
      <c r="B78" s="1291" t="s">
        <v>633</v>
      </c>
      <c r="C78" s="1291" t="s">
        <v>639</v>
      </c>
      <c r="D78" s="1299">
        <v>13986760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201911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28478.989263468677</v>
      </c>
      <c r="C90" s="326"/>
      <c r="D90" s="326"/>
      <c r="E90" s="326"/>
      <c r="F90" s="326"/>
    </row>
    <row r="91" spans="1:6">
      <c r="A91" s="1296" t="s">
        <v>67</v>
      </c>
      <c r="B91" s="1297">
        <v>3943.536396493902</v>
      </c>
      <c r="C91" s="326"/>
      <c r="D91" s="326"/>
      <c r="E91" s="326"/>
      <c r="F91" s="326"/>
    </row>
    <row r="92" spans="1:6">
      <c r="A92" s="1291" t="s">
        <v>68</v>
      </c>
      <c r="B92" s="1292">
        <v>4823.9669887203763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2294</v>
      </c>
      <c r="C97" s="326"/>
      <c r="D97" s="326"/>
      <c r="E97" s="326"/>
      <c r="F97" s="326"/>
    </row>
    <row r="98" spans="1:6">
      <c r="A98" s="1296" t="s">
        <v>71</v>
      </c>
      <c r="B98" s="1297">
        <v>6</v>
      </c>
      <c r="C98" s="326"/>
      <c r="D98" s="326"/>
      <c r="E98" s="326"/>
      <c r="F98" s="326"/>
    </row>
    <row r="99" spans="1:6">
      <c r="A99" s="1296" t="s">
        <v>72</v>
      </c>
      <c r="B99" s="1297">
        <v>78</v>
      </c>
      <c r="C99" s="326"/>
      <c r="D99" s="326"/>
      <c r="E99" s="326"/>
      <c r="F99" s="326"/>
    </row>
    <row r="100" spans="1:6">
      <c r="A100" s="1296" t="s">
        <v>73</v>
      </c>
      <c r="B100" s="1297">
        <v>168</v>
      </c>
      <c r="C100" s="326"/>
      <c r="D100" s="326"/>
      <c r="E100" s="326"/>
      <c r="F100" s="326"/>
    </row>
    <row r="101" spans="1:6">
      <c r="A101" s="1296" t="s">
        <v>74</v>
      </c>
      <c r="B101" s="1297">
        <v>133</v>
      </c>
      <c r="C101" s="326"/>
      <c r="D101" s="326"/>
      <c r="E101" s="326"/>
      <c r="F101" s="326"/>
    </row>
    <row r="102" spans="1:6">
      <c r="A102" s="1296" t="s">
        <v>75</v>
      </c>
      <c r="B102" s="1297">
        <v>48</v>
      </c>
      <c r="C102" s="326"/>
      <c r="D102" s="326"/>
      <c r="E102" s="326"/>
      <c r="F102" s="326"/>
    </row>
    <row r="103" spans="1:6">
      <c r="A103" s="1296" t="s">
        <v>76</v>
      </c>
      <c r="B103" s="1297">
        <v>44</v>
      </c>
      <c r="C103" s="326"/>
      <c r="D103" s="326"/>
      <c r="E103" s="326"/>
      <c r="F103" s="326"/>
    </row>
    <row r="104" spans="1:6">
      <c r="A104" s="1296" t="s">
        <v>77</v>
      </c>
      <c r="B104" s="1297">
        <v>1624</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4</v>
      </c>
      <c r="C121" s="1297">
        <v>0</v>
      </c>
      <c r="D121" s="326"/>
      <c r="E121" s="326"/>
      <c r="F121" s="326"/>
    </row>
    <row r="122" spans="1:6">
      <c r="A122" s="1296" t="s">
        <v>86</v>
      </c>
      <c r="B122" s="1297">
        <v>0</v>
      </c>
      <c r="C122" s="1297">
        <v>0</v>
      </c>
      <c r="D122" s="326"/>
      <c r="E122" s="326"/>
      <c r="F122" s="326"/>
    </row>
    <row r="123" spans="1:6">
      <c r="A123" s="1296" t="s">
        <v>87</v>
      </c>
      <c r="B123" s="1297">
        <v>38</v>
      </c>
      <c r="C123" s="1297">
        <v>22</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186</v>
      </c>
      <c r="C129" s="326"/>
      <c r="D129" s="326"/>
      <c r="E129" s="326"/>
      <c r="F129" s="326"/>
    </row>
    <row r="130" spans="1:6">
      <c r="A130" s="1296" t="s">
        <v>283</v>
      </c>
      <c r="B130" s="1297">
        <v>5</v>
      </c>
      <c r="C130" s="326"/>
      <c r="D130" s="326"/>
      <c r="E130" s="326"/>
      <c r="F130" s="326"/>
    </row>
    <row r="131" spans="1:6">
      <c r="A131" s="1296" t="s">
        <v>284</v>
      </c>
      <c r="B131" s="1297">
        <v>2</v>
      </c>
      <c r="C131" s="326"/>
      <c r="D131" s="326"/>
      <c r="E131" s="326"/>
      <c r="F131" s="326"/>
    </row>
    <row r="132" spans="1:6">
      <c r="A132" s="1291" t="s">
        <v>285</v>
      </c>
      <c r="B132" s="1292">
        <v>26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90208.425817555355</v>
      </c>
      <c r="C3" s="43" t="s">
        <v>163</v>
      </c>
      <c r="D3" s="43"/>
      <c r="E3" s="154"/>
      <c r="F3" s="43"/>
      <c r="G3" s="43"/>
      <c r="H3" s="43"/>
      <c r="I3" s="43"/>
      <c r="J3" s="43"/>
      <c r="K3" s="96"/>
    </row>
    <row r="4" spans="1:11">
      <c r="A4" s="352" t="s">
        <v>164</v>
      </c>
      <c r="B4" s="49">
        <f>IF(ISERROR('SEAP template'!B78+'SEAP template'!C78),0,'SEAP template'!B78+'SEAP template'!C78)</f>
        <v>68057.950982016293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3.0254483494888058</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5.4299588343446892E-2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4.3220741730337151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44016.421010296006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9.8192312637656904E-5</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841.68100000000004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841.68100000000004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5.4299588343446892E-2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45.702931816500723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17428.296719999998</v>
      </c>
      <c r="C5" s="17">
        <f>IF(ISERROR('Eigen informatie GS &amp; warmtenet'!B59),0,'Eigen informatie GS &amp; warmtenet'!B59)</f>
        <v>0</v>
      </c>
      <c r="D5" s="30">
        <f>(SUM(HH_hh_gas_kWh,HH_rest_gas_kWh)/1000)*0.902</f>
        <v>58208.535566060003</v>
      </c>
      <c r="E5" s="17">
        <f>B32*B41</f>
        <v>1382.7204026599302</v>
      </c>
      <c r="F5" s="17">
        <f>B36*B45</f>
        <v>22291.295789389864</v>
      </c>
      <c r="G5" s="18"/>
      <c r="H5" s="17"/>
      <c r="I5" s="17"/>
      <c r="J5" s="17">
        <f>B35*B44+C35*C44</f>
        <v>89.05274389646226</v>
      </c>
      <c r="K5" s="17"/>
      <c r="L5" s="17"/>
      <c r="M5" s="17"/>
      <c r="N5" s="17">
        <f>B34*B43+C34*C43</f>
        <v>7095.5410180062172</v>
      </c>
      <c r="O5" s="17">
        <f>B52*B53*B54</f>
        <v>412.6633096325026</v>
      </c>
      <c r="P5" s="17">
        <f>B60*B61*B62/1000-B60*B61*B62/1000/B63</f>
        <v>684.70735499952639</v>
      </c>
    </row>
    <row r="6" spans="1:16">
      <c r="A6" s="16" t="s">
        <v>598</v>
      </c>
      <c r="B6" s="776">
        <f>kWh_PV_kleiner_dan_10kW</f>
        <v>3943.536396493902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21371.833116493901</v>
      </c>
      <c r="C8" s="21">
        <f>C5</f>
        <v>0</v>
      </c>
      <c r="D8" s="21">
        <f>D5</f>
        <v>58208.535566060003</v>
      </c>
      <c r="E8" s="21">
        <f>E5</f>
        <v>1382.7204026599302</v>
      </c>
      <c r="F8" s="21">
        <f>F5</f>
        <v>22291.295789389864</v>
      </c>
      <c r="G8" s="21"/>
      <c r="H8" s="21"/>
      <c r="I8" s="21"/>
      <c r="J8" s="21">
        <f>J5</f>
        <v>89.05274389646226</v>
      </c>
      <c r="K8" s="21"/>
      <c r="L8" s="21">
        <f>L5</f>
        <v>0</v>
      </c>
      <c r="M8" s="21">
        <f>M5</f>
        <v>0</v>
      </c>
      <c r="N8" s="21">
        <f>N5</f>
        <v>7095.5410180062172</v>
      </c>
      <c r="O8" s="21">
        <f>O5</f>
        <v>412.6633096325026</v>
      </c>
      <c r="P8" s="21">
        <f>P5</f>
        <v>684.70735499952639</v>
      </c>
    </row>
    <row r="9" spans="1:16">
      <c r="B9" s="19"/>
      <c r="C9" s="19"/>
      <c r="D9" s="256"/>
      <c r="E9" s="19"/>
      <c r="F9" s="19"/>
      <c r="G9" s="19"/>
      <c r="H9" s="19"/>
      <c r="I9" s="19"/>
      <c r="J9" s="19"/>
      <c r="K9" s="19"/>
      <c r="L9" s="19"/>
      <c r="M9" s="19"/>
      <c r="N9" s="19"/>
      <c r="O9" s="19"/>
      <c r="P9" s="19"/>
    </row>
    <row r="10" spans="1:16">
      <c r="A10" s="24" t="s">
        <v>207</v>
      </c>
      <c r="B10" s="25">
        <f ca="1">'EF ele_warmte'!B12</f>
        <v>5.4299588343446892E-2</v>
      </c>
      <c r="C10" s="25">
        <f ca="1">'EF ele_warmte'!B22</f>
        <v>9.8192312637656904E-5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1160.4817403704644</v>
      </c>
      <c r="C12" s="23">
        <f ca="1">C10*C8</f>
        <v>0</v>
      </c>
      <c r="D12" s="23">
        <f>D8*D10</f>
        <v>11758.124184344122</v>
      </c>
      <c r="E12" s="23">
        <f>E10*E8</f>
        <v>313.87753140380414</v>
      </c>
      <c r="F12" s="23">
        <f>F10*F8</f>
        <v>5951.7759757670938</v>
      </c>
      <c r="G12" s="23"/>
      <c r="H12" s="23"/>
      <c r="I12" s="23"/>
      <c r="J12" s="23">
        <f>J10*J8</f>
        <v>31.524671339347638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5317</v>
      </c>
      <c r="C26" s="36"/>
      <c r="D26" s="226"/>
    </row>
    <row r="27" spans="1:7" s="15" customFormat="1">
      <c r="A27" s="228" t="s">
        <v>800</v>
      </c>
      <c r="B27" s="37">
        <f>SUM(HH_hh_gas_aantal,HH_rest_gas_aantal)</f>
        <v>3841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3648.95</v>
      </c>
      <c r="C31" s="166" t="s">
        <v>104</v>
      </c>
      <c r="D31" s="231"/>
      <c r="G31" s="15"/>
    </row>
    <row r="32" spans="1:7">
      <c r="A32" s="169" t="s">
        <v>72</v>
      </c>
      <c r="B32" s="166">
        <f>IF((B21*($B$26-($B$27-0.05*$B$27)-$B$60))&lt;0,0,B21*($B$26-($B$27-0.05*$B$27)-$B$60))</f>
        <v>25.448737266312019</v>
      </c>
      <c r="C32" s="166" t="s">
        <v>104</v>
      </c>
      <c r="D32" s="231"/>
      <c r="G32" s="15"/>
    </row>
    <row r="33" spans="1:7">
      <c r="A33" s="169" t="s">
        <v>73</v>
      </c>
      <c r="B33" s="166">
        <f>IF((B22*($B$26-($B$27-0.05*$B$27)-$B$60))&lt;0,0,B22*($B$26-($B$27-0.05*$B$27)-$B$60))</f>
        <v>413.237091427547</v>
      </c>
      <c r="C33" s="166" t="s">
        <v>104</v>
      </c>
      <c r="D33" s="231"/>
      <c r="G33" s="15"/>
    </row>
    <row r="34" spans="1:7">
      <c r="A34" s="169" t="s">
        <v>74</v>
      </c>
      <c r="B34" s="166">
        <f>IF((B24*($B$26-($B$27-0.05*$B$27)-$B$60))&lt;0,0,B24*($B$26-($B$27-0.05*$B$27)-$B$60))</f>
        <v>79.223080557199893</v>
      </c>
      <c r="C34" s="166">
        <f>B26*C24</f>
        <v>1089.4848819513954</v>
      </c>
      <c r="D34" s="231"/>
      <c r="G34" s="15"/>
    </row>
    <row r="35" spans="1:7">
      <c r="A35" s="169" t="s">
        <v>76</v>
      </c>
      <c r="B35" s="166">
        <f>IF((B19*($B$26-($B$27-0.05*$B$27)-$B$60))&lt;0,0,B19*($B$26-($B$27-0.05*$B$27)-$B$60))</f>
        <v>11.06250541821553</v>
      </c>
      <c r="C35" s="166">
        <f>B35/2</f>
        <v>5.5312527091077648</v>
      </c>
      <c r="D35" s="232"/>
      <c r="G35" s="15"/>
    </row>
    <row r="36" spans="1:7">
      <c r="A36" s="169" t="s">
        <v>77</v>
      </c>
      <c r="B36" s="166">
        <f>IF((B18*($B$26-($B$27-0.05*$B$27)-$B$60))&lt;0,0,B18*($B$26-($B$27-0.05*$B$27)-$B$60))</f>
        <v>1074.0785853307254</v>
      </c>
      <c r="C36" s="166" t="s">
        <v>104</v>
      </c>
      <c r="D36" s="232"/>
      <c r="G36" s="15"/>
    </row>
    <row r="37" spans="1:7">
      <c r="A37" s="169" t="s">
        <v>78</v>
      </c>
      <c r="B37" s="166">
        <f>B60</f>
        <v>65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208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45455.330766999999</v>
      </c>
      <c r="C5" s="17">
        <f>IF(ISERROR('Eigen informatie GS &amp; warmtenet'!B60),0,'Eigen informatie GS &amp; warmtenet'!B60)</f>
        <v>0</v>
      </c>
      <c r="D5" s="30">
        <f>SUM(D6:D12)</f>
        <v>13330.891194962001</v>
      </c>
      <c r="E5" s="17">
        <f>SUM(E6:E12)</f>
        <v>215.35887461725602</v>
      </c>
      <c r="F5" s="17">
        <f>SUM(F6:F12)</f>
        <v>6605.6793125546646</v>
      </c>
      <c r="G5" s="18"/>
      <c r="H5" s="17"/>
      <c r="I5" s="17"/>
      <c r="J5" s="17">
        <f>SUM(J6:J12)</f>
        <v>0.60924169990660182</v>
      </c>
      <c r="K5" s="17"/>
      <c r="L5" s="17"/>
      <c r="M5" s="17"/>
      <c r="N5" s="17">
        <f>SUM(N6:N12)</f>
        <v>23750.004755227314</v>
      </c>
      <c r="O5" s="17">
        <f>B38*B39*B40</f>
        <v>24.486303829205774</v>
      </c>
      <c r="P5" s="17">
        <f>B46*B47*B48/1000-B46*B47*B48/1000/B49</f>
        <v>315.23482983897009</v>
      </c>
      <c r="R5" s="32"/>
    </row>
    <row r="6" spans="1:18">
      <c r="A6" s="32" t="s">
        <v>53</v>
      </c>
      <c r="B6" s="37">
        <f>B26</f>
        <v>1688.90463</v>
      </c>
      <c r="C6" s="33"/>
      <c r="D6" s="37">
        <f>IF(ISERROR(TER_kantoor_gas_kWh/1000),0,TER_kantoor_gas_kWh/1000)*0.902</f>
        <v>1484.109320628</v>
      </c>
      <c r="E6" s="33">
        <f>$C$26*'E Balans VL '!I12/100/3.6*1000000</f>
        <v>13.590074052124523</v>
      </c>
      <c r="F6" s="33">
        <f>$C$26*('E Balans VL '!L12+'E Balans VL '!N12)/100/3.6*1000000</f>
        <v>206.48635772539478</v>
      </c>
      <c r="G6" s="34"/>
      <c r="H6" s="33"/>
      <c r="I6" s="33"/>
      <c r="J6" s="33">
        <f>$C$26*('E Balans VL '!D12+'E Balans VL '!E12)/100/3.6*1000000</f>
        <v>0</v>
      </c>
      <c r="K6" s="33"/>
      <c r="L6" s="33"/>
      <c r="M6" s="33"/>
      <c r="N6" s="33">
        <f>$C$26*'E Balans VL '!Y12/100/3.6*1000000</f>
        <v>0.90770306907378695</v>
      </c>
      <c r="O6" s="33"/>
      <c r="P6" s="33"/>
      <c r="R6" s="32"/>
    </row>
    <row r="7" spans="1:18">
      <c r="A7" s="32" t="s">
        <v>52</v>
      </c>
      <c r="B7" s="37">
        <f t="shared" ref="B7:B12" si="0">B27</f>
        <v>1164.496979</v>
      </c>
      <c r="C7" s="33"/>
      <c r="D7" s="37">
        <f>IF(ISERROR(TER_horeca_gas_kWh/1000),0,TER_horeca_gas_kWh/1000)*0.902</f>
        <v>1643.9019030059999</v>
      </c>
      <c r="E7" s="33">
        <f>$C$27*'E Balans VL '!I9/100/3.6*1000000</f>
        <v>12.503838049801821</v>
      </c>
      <c r="F7" s="33">
        <f>$C$27*('E Balans VL '!L9+'E Balans VL '!N9)/100/3.6*1000000</f>
        <v>140.06074904429983</v>
      </c>
      <c r="G7" s="34"/>
      <c r="H7" s="33"/>
      <c r="I7" s="33"/>
      <c r="J7" s="33">
        <f>$C$27*('E Balans VL '!D9+'E Balans VL '!E9)/100/3.6*1000000</f>
        <v>0</v>
      </c>
      <c r="K7" s="33"/>
      <c r="L7" s="33"/>
      <c r="M7" s="33"/>
      <c r="N7" s="33">
        <f>$C$27*'E Balans VL '!Y9/100/3.6*1000000</f>
        <v>0.17458169876575161</v>
      </c>
      <c r="O7" s="33"/>
      <c r="P7" s="33"/>
      <c r="R7" s="32"/>
    </row>
    <row r="8" spans="1:18">
      <c r="A8" s="6" t="s">
        <v>51</v>
      </c>
      <c r="B8" s="37">
        <f t="shared" si="0"/>
        <v>3159.329929</v>
      </c>
      <c r="C8" s="33"/>
      <c r="D8" s="37">
        <f>IF(ISERROR(TER_handel_gas_kWh/1000),0,TER_handel_gas_kWh/1000)*0.902</f>
        <v>1747.2274723640001</v>
      </c>
      <c r="E8" s="33">
        <f>$C$28*'E Balans VL '!I13/100/3.6*1000000</f>
        <v>84.78674309961032</v>
      </c>
      <c r="F8" s="33">
        <f>$C$28*('E Balans VL '!L13+'E Balans VL '!N13)/100/3.6*1000000</f>
        <v>301.49744828575211</v>
      </c>
      <c r="G8" s="34"/>
      <c r="H8" s="33"/>
      <c r="I8" s="33"/>
      <c r="J8" s="33">
        <f>$C$28*('E Balans VL '!D13+'E Balans VL '!E13)/100/3.6*1000000</f>
        <v>0</v>
      </c>
      <c r="K8" s="33"/>
      <c r="L8" s="33"/>
      <c r="M8" s="33"/>
      <c r="N8" s="33">
        <f>$C$28*'E Balans VL '!Y13/100/3.6*1000000</f>
        <v>1.2523943066547532</v>
      </c>
      <c r="O8" s="33"/>
      <c r="P8" s="33"/>
      <c r="R8" s="32"/>
    </row>
    <row r="9" spans="1:18">
      <c r="A9" s="32" t="s">
        <v>50</v>
      </c>
      <c r="B9" s="37">
        <f t="shared" si="0"/>
        <v>149.48233999999999</v>
      </c>
      <c r="C9" s="33"/>
      <c r="D9" s="37">
        <f>IF(ISERROR(TER_gezond_gas_kWh/1000),0,TER_gezond_gas_kWh/1000)*0.902</f>
        <v>399.66230829799997</v>
      </c>
      <c r="E9" s="33">
        <f>$C$29*'E Balans VL '!I10/100/3.6*1000000</f>
        <v>0.28017857872349505</v>
      </c>
      <c r="F9" s="33">
        <f>$C$29*('E Balans VL '!L10+'E Balans VL '!N10)/100/3.6*1000000</f>
        <v>12.288812269257846</v>
      </c>
      <c r="G9" s="34"/>
      <c r="H9" s="33"/>
      <c r="I9" s="33"/>
      <c r="J9" s="33">
        <f>$C$29*('E Balans VL '!D10+'E Balans VL '!E10)/100/3.6*1000000</f>
        <v>0</v>
      </c>
      <c r="K9" s="33"/>
      <c r="L9" s="33"/>
      <c r="M9" s="33"/>
      <c r="N9" s="33">
        <f>$C$29*'E Balans VL '!Y10/100/3.6*1000000</f>
        <v>1.1630841350510248</v>
      </c>
      <c r="O9" s="33"/>
      <c r="P9" s="33"/>
      <c r="R9" s="32"/>
    </row>
    <row r="10" spans="1:18">
      <c r="A10" s="32" t="s">
        <v>49</v>
      </c>
      <c r="B10" s="37">
        <f t="shared" si="0"/>
        <v>35455.008979999999</v>
      </c>
      <c r="C10" s="33"/>
      <c r="D10" s="37">
        <f>IF(ISERROR(TER_ander_gas_kWh/1000),0,TER_ander_gas_kWh/1000)*0.902</f>
        <v>4295.1327110560005</v>
      </c>
      <c r="E10" s="33">
        <f>$C$30*'E Balans VL '!I14/100/3.6*1000000</f>
        <v>54.654255602724966</v>
      </c>
      <c r="F10" s="33">
        <f>$C$30*('E Balans VL '!L14+'E Balans VL '!N14)/100/3.6*1000000</f>
        <v>5504.3999320383564</v>
      </c>
      <c r="G10" s="34"/>
      <c r="H10" s="33"/>
      <c r="I10" s="33"/>
      <c r="J10" s="33">
        <f>$C$30*('E Balans VL '!D14+'E Balans VL '!E14)/100/3.6*1000000</f>
        <v>0.60188616916724857</v>
      </c>
      <c r="K10" s="33"/>
      <c r="L10" s="33"/>
      <c r="M10" s="33"/>
      <c r="N10" s="33">
        <f>$C$30*'E Balans VL '!Y14/100/3.6*1000000</f>
        <v>23455.89761665987</v>
      </c>
      <c r="O10" s="33"/>
      <c r="P10" s="33"/>
      <c r="R10" s="32"/>
    </row>
    <row r="11" spans="1:18">
      <c r="A11" s="32" t="s">
        <v>54</v>
      </c>
      <c r="B11" s="37">
        <f t="shared" si="0"/>
        <v>0</v>
      </c>
      <c r="C11" s="33"/>
      <c r="D11" s="37">
        <f>IF(ISERROR(TER_onderwijs_gas_kWh/1000),0,TER_onderwijs_gas_kWh/1000)*0.902</f>
        <v>882.67619061599999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3838.1079089999998</v>
      </c>
      <c r="C12" s="33"/>
      <c r="D12" s="37">
        <f>IF(ISERROR(TER_rest_gas_kWh/1000),0,TER_rest_gas_kWh/1000)*0.902</f>
        <v>2878.1812889940002</v>
      </c>
      <c r="E12" s="33">
        <f>$C$32*'E Balans VL '!I8/100/3.6*1000000</f>
        <v>49.543785234270899</v>
      </c>
      <c r="F12" s="33">
        <f>$C$32*('E Balans VL '!L8+'E Balans VL '!N8)/100/3.6*1000000</f>
        <v>440.94601319160415</v>
      </c>
      <c r="G12" s="34"/>
      <c r="H12" s="33"/>
      <c r="I12" s="33"/>
      <c r="J12" s="33">
        <f>$C$32*('E Balans VL '!D8+'E Balans VL '!E8)/100/3.6*1000000</f>
        <v>7.3555307393532356E-3</v>
      </c>
      <c r="K12" s="33"/>
      <c r="L12" s="33"/>
      <c r="M12" s="33"/>
      <c r="N12" s="33">
        <f>$C$32*'E Balans VL '!Y8/100/3.6*1000000</f>
        <v>290.60937535789787</v>
      </c>
      <c r="O12" s="33"/>
      <c r="P12" s="33"/>
      <c r="R12" s="32"/>
    </row>
    <row r="13" spans="1:18">
      <c r="A13" s="16" t="s">
        <v>465</v>
      </c>
      <c r="B13" s="245">
        <f ca="1">'lokale energieproductie'!N41+'lokale energieproductie'!N34</f>
        <v>13.458333333333332</v>
      </c>
      <c r="C13" s="245">
        <f ca="1">'lokale energieproductie'!O41+'lokale energieproductie'!O34</f>
        <v>19.278153153153152</v>
      </c>
      <c r="D13" s="304">
        <f ca="1">('lokale energieproductie'!P34+'lokale energieproductie'!P41)*(-1)</f>
        <v>-36.373873873873869</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45468.789100333335</v>
      </c>
      <c r="C16" s="21">
        <f t="shared" ca="1" si="1"/>
        <v>19.278153153153152</v>
      </c>
      <c r="D16" s="21">
        <f t="shared" ca="1" si="1"/>
        <v>13294.517321088128</v>
      </c>
      <c r="E16" s="21">
        <f t="shared" si="1"/>
        <v>215.35887461725602</v>
      </c>
      <c r="F16" s="21">
        <f t="shared" ca="1" si="1"/>
        <v>6605.6793125546646</v>
      </c>
      <c r="G16" s="21">
        <f t="shared" si="1"/>
        <v>0</v>
      </c>
      <c r="H16" s="21">
        <f t="shared" si="1"/>
        <v>0</v>
      </c>
      <c r="I16" s="21">
        <f t="shared" si="1"/>
        <v>0</v>
      </c>
      <c r="J16" s="21">
        <f t="shared" si="1"/>
        <v>0.60924169990660182</v>
      </c>
      <c r="K16" s="21">
        <f t="shared" si="1"/>
        <v>0</v>
      </c>
      <c r="L16" s="21">
        <f t="shared" ca="1" si="1"/>
        <v>0</v>
      </c>
      <c r="M16" s="21">
        <f t="shared" si="1"/>
        <v>0</v>
      </c>
      <c r="N16" s="21">
        <f t="shared" ca="1" si="1"/>
        <v>23750.004755227314</v>
      </c>
      <c r="O16" s="21">
        <f>O5</f>
        <v>24.486303829205774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5.4299588343446892E-2</v>
      </c>
      <c r="C18" s="25">
        <f ca="1">'EF ele_warmte'!B22</f>
        <v>9.8192312637656904E-5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2468.9365306231052</v>
      </c>
      <c r="C20" s="23">
        <f t="shared" ref="C20:P20" ca="1" si="2">C16*C18</f>
        <v>1.8929664414910456E-3</v>
      </c>
      <c r="D20" s="23">
        <f t="shared" ca="1" si="2"/>
        <v>2685.4924988598018</v>
      </c>
      <c r="E20" s="23">
        <f t="shared" si="2"/>
        <v>48.886464538117117</v>
      </c>
      <c r="F20" s="23">
        <f t="shared" ca="1" si="2"/>
        <v>1763.7163764520956</v>
      </c>
      <c r="G20" s="23">
        <f t="shared" si="2"/>
        <v>0</v>
      </c>
      <c r="H20" s="23">
        <f t="shared" si="2"/>
        <v>0</v>
      </c>
      <c r="I20" s="23">
        <f t="shared" si="2"/>
        <v>0</v>
      </c>
      <c r="J20" s="23">
        <f t="shared" si="2"/>
        <v>0.21567156176693703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1688.90463</v>
      </c>
      <c r="C26" s="39">
        <f>IF(ISERROR(B26*3.6/1000000/'E Balans VL '!Z12*100),0,B26*3.6/1000000/'E Balans VL '!Z12*100)</f>
        <v>3.5828566555151119E-2</v>
      </c>
      <c r="D26" s="235" t="s">
        <v>692</v>
      </c>
      <c r="F26" s="6"/>
    </row>
    <row r="27" spans="1:18">
      <c r="A27" s="229" t="s">
        <v>52</v>
      </c>
      <c r="B27" s="33">
        <f>IF(ISERROR(TER_horeca_ele_kWh/1000),0,TER_horeca_ele_kWh/1000)</f>
        <v>1164.496979</v>
      </c>
      <c r="C27" s="39">
        <f>IF(ISERROR(B27*3.6/1000000/'E Balans VL '!Z9*100),0,B27*3.6/1000000/'E Balans VL '!Z9*100)</f>
        <v>8.7696938222824761E-2</v>
      </c>
      <c r="D27" s="235" t="s">
        <v>692</v>
      </c>
      <c r="F27" s="6"/>
    </row>
    <row r="28" spans="1:18">
      <c r="A28" s="169" t="s">
        <v>51</v>
      </c>
      <c r="B28" s="33">
        <f>IF(ISERROR(TER_handel_ele_kWh/1000),0,TER_handel_ele_kWh/1000)</f>
        <v>3159.329929</v>
      </c>
      <c r="C28" s="39">
        <f>IF(ISERROR(B28*3.6/1000000/'E Balans VL '!Z13*100),0,B28*3.6/1000000/'E Balans VL '!Z13*100)</f>
        <v>9.1704153459525886E-2</v>
      </c>
      <c r="D28" s="235" t="s">
        <v>692</v>
      </c>
      <c r="F28" s="6"/>
    </row>
    <row r="29" spans="1:18">
      <c r="A29" s="229" t="s">
        <v>50</v>
      </c>
      <c r="B29" s="33">
        <f>IF(ISERROR(TER_gezond_ele_kWh/1000),0,TER_gezond_ele_kWh/1000)</f>
        <v>149.48233999999999</v>
      </c>
      <c r="C29" s="39">
        <f>IF(ISERROR(B29*3.6/1000000/'E Balans VL '!Z10*100),0,B29*3.6/1000000/'E Balans VL '!Z10*100)</f>
        <v>1.5075472253951025E-2</v>
      </c>
      <c r="D29" s="235" t="s">
        <v>692</v>
      </c>
      <c r="F29" s="6"/>
    </row>
    <row r="30" spans="1:18">
      <c r="A30" s="229" t="s">
        <v>49</v>
      </c>
      <c r="B30" s="33">
        <f>IF(ISERROR(TER_ander_ele_kWh/1000),0,TER_ander_ele_kWh/1000)</f>
        <v>35455.008979999999</v>
      </c>
      <c r="C30" s="39">
        <f>IF(ISERROR(B30*3.6/1000000/'E Balans VL '!Z14*100),0,B30*3.6/1000000/'E Balans VL '!Z14*100)</f>
        <v>2.5727445965094264</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3838.1079089999998</v>
      </c>
      <c r="C32" s="39">
        <f>IF(ISERROR(B32*3.6/1000000/'E Balans VL '!Z8*100),0,B32*3.6/1000000/'E Balans VL '!Z8*100)</f>
        <v>3.1440998204548473E-2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5</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6</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16394.37703</v>
      </c>
      <c r="C5" s="17">
        <f>IF(ISERROR('Eigen informatie GS &amp; warmtenet'!B61),0,'Eigen informatie GS &amp; warmtenet'!B61)</f>
        <v>0</v>
      </c>
      <c r="D5" s="30">
        <f>SUM(D6:D15)</f>
        <v>8131.8085646599993</v>
      </c>
      <c r="E5" s="17">
        <f>SUM(E6:E15)</f>
        <v>856.62908805012307</v>
      </c>
      <c r="F5" s="17">
        <f>SUM(F6:F15)</f>
        <v>3335.2077963464662</v>
      </c>
      <c r="G5" s="18"/>
      <c r="H5" s="17"/>
      <c r="I5" s="17"/>
      <c r="J5" s="17">
        <f>SUM(J6:J15)</f>
        <v>208.87387244998558</v>
      </c>
      <c r="K5" s="17"/>
      <c r="L5" s="17"/>
      <c r="M5" s="17"/>
      <c r="N5" s="17">
        <f>SUM(N6:N15)</f>
        <v>430.78968345968889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8421.0580229999996</v>
      </c>
      <c r="C8" s="33"/>
      <c r="D8" s="37">
        <f>IF( ISERROR(IND_metaal_Gas_kWH/1000),0,IND_metaal_Gas_kWH/1000)*0.902</f>
        <v>4392.086829328</v>
      </c>
      <c r="E8" s="33">
        <f>C30*'E Balans VL '!I18/100/3.6*1000000</f>
        <v>60.7520231850363</v>
      </c>
      <c r="F8" s="33">
        <f>C30*'E Balans VL '!L18/100/3.6*1000000+C30*'E Balans VL '!N18/100/3.6*1000000</f>
        <v>796.47681554279268</v>
      </c>
      <c r="G8" s="34"/>
      <c r="H8" s="33"/>
      <c r="I8" s="33"/>
      <c r="J8" s="40">
        <f>C30*'E Balans VL '!D18/100/3.6*1000000+C30*'E Balans VL '!E18/100/3.6*1000000</f>
        <v>8.4699490959699251</v>
      </c>
      <c r="K8" s="33"/>
      <c r="L8" s="33"/>
      <c r="M8" s="33"/>
      <c r="N8" s="33">
        <f>C30*'E Balans VL '!Y18/100/3.6*1000000</f>
        <v>106.46445333063141</v>
      </c>
      <c r="O8" s="33"/>
      <c r="P8" s="33"/>
      <c r="R8" s="32"/>
    </row>
    <row r="9" spans="1:18">
      <c r="A9" s="6" t="s">
        <v>32</v>
      </c>
      <c r="B9" s="37">
        <f t="shared" si="0"/>
        <v>2250.1657829999999</v>
      </c>
      <c r="C9" s="33"/>
      <c r="D9" s="37">
        <f>IF( ISERROR(IND_andere_gas_kWh/1000),0,IND_andere_gas_kWh/1000)*0.902</f>
        <v>1718.427610878</v>
      </c>
      <c r="E9" s="33">
        <f>C31*'E Balans VL '!I19/100/3.6*1000000</f>
        <v>623.5510269553713</v>
      </c>
      <c r="F9" s="33">
        <f>C31*'E Balans VL '!L19/100/3.6*1000000+C31*'E Balans VL '!N19/100/3.6*1000000</f>
        <v>1864.9422635961332</v>
      </c>
      <c r="G9" s="34"/>
      <c r="H9" s="33"/>
      <c r="I9" s="33"/>
      <c r="J9" s="40">
        <f>C31*'E Balans VL '!D19/100/3.6*1000000+C31*'E Balans VL '!E19/100/3.6*1000000</f>
        <v>0</v>
      </c>
      <c r="K9" s="33"/>
      <c r="L9" s="33"/>
      <c r="M9" s="33"/>
      <c r="N9" s="33">
        <f>C31*'E Balans VL '!Y19/100/3.6*1000000</f>
        <v>163.33451333873506</v>
      </c>
      <c r="O9" s="33"/>
      <c r="P9" s="33"/>
      <c r="R9" s="32"/>
    </row>
    <row r="10" spans="1:18">
      <c r="A10" s="6" t="s">
        <v>40</v>
      </c>
      <c r="B10" s="37">
        <f t="shared" si="0"/>
        <v>351.80780099999998</v>
      </c>
      <c r="C10" s="33"/>
      <c r="D10" s="37">
        <f>IF( ISERROR(IND_voed_gas_kWh/1000),0,IND_voed_gas_kWh/1000)*0.902</f>
        <v>345.88191761200005</v>
      </c>
      <c r="E10" s="33">
        <f>C32*'E Balans VL '!I20/100/3.6*1000000</f>
        <v>0.62281897271220443</v>
      </c>
      <c r="F10" s="33">
        <f>C32*'E Balans VL '!L20/100/3.6*1000000+C32*'E Balans VL '!N20/100/3.6*1000000</f>
        <v>19.000739298570945</v>
      </c>
      <c r="G10" s="34"/>
      <c r="H10" s="33"/>
      <c r="I10" s="33"/>
      <c r="J10" s="40">
        <f>C32*'E Balans VL '!D20/100/3.6*1000000+C32*'E Balans VL '!E20/100/3.6*1000000</f>
        <v>0</v>
      </c>
      <c r="K10" s="33"/>
      <c r="L10" s="33"/>
      <c r="M10" s="33"/>
      <c r="N10" s="33">
        <f>C32*'E Balans VL '!Y20/100/3.6*1000000</f>
        <v>20.442720027756025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1561.9407879999999</v>
      </c>
      <c r="C13" s="33"/>
      <c r="D13" s="37">
        <f>IF( ISERROR(IND_papier_gas_kWh/1000),0,IND_papier_gas_kWh/1000)*0.902</f>
        <v>0</v>
      </c>
      <c r="E13" s="33">
        <f>C35*'E Balans VL '!I23/100/3.6*1000000</f>
        <v>2.2981512386508167</v>
      </c>
      <c r="F13" s="33">
        <f>C35*'E Balans VL '!L23/100/3.6*1000000+C35*'E Balans VL '!N23/100/3.6*1000000</f>
        <v>16.724178795003336</v>
      </c>
      <c r="G13" s="34"/>
      <c r="H13" s="33"/>
      <c r="I13" s="33"/>
      <c r="J13" s="40">
        <f>C35*'E Balans VL '!D23/100/3.6*1000000+C35*'E Balans VL '!E23/100/3.6*1000000</f>
        <v>170.88508111279296</v>
      </c>
      <c r="K13" s="33"/>
      <c r="L13" s="33"/>
      <c r="M13" s="33"/>
      <c r="N13" s="33">
        <f>C35*'E Balans VL '!Y23/100/3.6*1000000</f>
        <v>0</v>
      </c>
      <c r="O13" s="33"/>
      <c r="P13" s="33"/>
      <c r="R13" s="32"/>
    </row>
    <row r="14" spans="1:18">
      <c r="A14" s="6" t="s">
        <v>33</v>
      </c>
      <c r="B14" s="37">
        <f t="shared" si="0"/>
        <v>236.21986900000002</v>
      </c>
      <c r="C14" s="33"/>
      <c r="D14" s="37">
        <f>IF( ISERROR(IND_chemie_gas_kWh/1000),0,IND_chemie_gas_kWh/1000)*0.902</f>
        <v>0</v>
      </c>
      <c r="E14" s="33">
        <f>C36*'E Balans VL '!I24/100/3.6*1000000</f>
        <v>0.53428176449620257</v>
      </c>
      <c r="F14" s="33">
        <f>C36*'E Balans VL '!L24/100/3.6*1000000+C36*'E Balans VL '!N24/100/3.6*1000000</f>
        <v>2.7890411917495577</v>
      </c>
      <c r="G14" s="34"/>
      <c r="H14" s="33"/>
      <c r="I14" s="33"/>
      <c r="J14" s="40">
        <f>C36*'E Balans VL '!D24/100/3.6*1000000+C36*'E Balans VL '!E24/100/3.6*1000000</f>
        <v>0</v>
      </c>
      <c r="K14" s="33"/>
      <c r="L14" s="33"/>
      <c r="M14" s="33"/>
      <c r="N14" s="33">
        <f>C36*'E Balans VL '!Y24/100/3.6*1000000</f>
        <v>0.12975203838157404</v>
      </c>
      <c r="O14" s="33"/>
      <c r="P14" s="33"/>
      <c r="R14" s="32"/>
    </row>
    <row r="15" spans="1:18">
      <c r="A15" s="6" t="s">
        <v>258</v>
      </c>
      <c r="B15" s="37">
        <f t="shared" si="0"/>
        <v>3573.1847659999999</v>
      </c>
      <c r="C15" s="33"/>
      <c r="D15" s="37">
        <f>IF( ISERROR(IND_rest_gas_kWh/1000),0,IND_rest_gas_kWh/1000)*0.902</f>
        <v>1675.4122068419999</v>
      </c>
      <c r="E15" s="33">
        <f>C37*'E Balans VL '!I15/100/3.6*1000000</f>
        <v>168.87078593385627</v>
      </c>
      <c r="F15" s="33">
        <f>C37*'E Balans VL '!L15/100/3.6*1000000+C37*'E Balans VL '!N15/100/3.6*1000000</f>
        <v>635.27475792221639</v>
      </c>
      <c r="G15" s="34"/>
      <c r="H15" s="33"/>
      <c r="I15" s="33"/>
      <c r="J15" s="40">
        <f>C37*'E Balans VL '!D15/100/3.6*1000000+C37*'E Balans VL '!E15/100/3.6*1000000</f>
        <v>29.518842241222714</v>
      </c>
      <c r="K15" s="33"/>
      <c r="L15" s="33"/>
      <c r="M15" s="33"/>
      <c r="N15" s="33">
        <f>C37*'E Balans VL '!Y15/100/3.6*1000000</f>
        <v>140.41824472418483</v>
      </c>
      <c r="O15" s="33"/>
      <c r="P15" s="33"/>
      <c r="R15" s="32"/>
    </row>
    <row r="16" spans="1:18">
      <c r="A16" s="16" t="s">
        <v>465</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16394.37703</v>
      </c>
      <c r="C18" s="21">
        <f>C5+C16</f>
        <v>0</v>
      </c>
      <c r="D18" s="21">
        <f>MAX((D5+D16),0)</f>
        <v>8131.8085646599993</v>
      </c>
      <c r="E18" s="21">
        <f>MAX((E5+E16),0)</f>
        <v>856.62908805012307</v>
      </c>
      <c r="F18" s="21">
        <f>MAX((F5+F16),0)</f>
        <v>3335.2077963464662</v>
      </c>
      <c r="G18" s="21"/>
      <c r="H18" s="21"/>
      <c r="I18" s="21"/>
      <c r="J18" s="21">
        <f>MAX((J5+J16),0)</f>
        <v>208.87387244998558</v>
      </c>
      <c r="K18" s="21"/>
      <c r="L18" s="21">
        <f>MAX((L5+L16),0)</f>
        <v>0</v>
      </c>
      <c r="M18" s="21"/>
      <c r="N18" s="21">
        <f>MAX((N5+N16),0)</f>
        <v>430.78968345968889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5.4299588343446892E-2</v>
      </c>
      <c r="C20" s="25">
        <f ca="1">'EF ele_warmte'!B22</f>
        <v>9.8192312637656904E-5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890.20792387626148</v>
      </c>
      <c r="C22" s="23">
        <f ca="1">C18*C20</f>
        <v>0</v>
      </c>
      <c r="D22" s="23">
        <f>D18*D20</f>
        <v>1642.62533006132</v>
      </c>
      <c r="E22" s="23">
        <f>E18*E20</f>
        <v>194.45480298737795</v>
      </c>
      <c r="F22" s="23">
        <f>F18*F20</f>
        <v>890.50048162450651</v>
      </c>
      <c r="G22" s="23"/>
      <c r="H22" s="23"/>
      <c r="I22" s="23"/>
      <c r="J22" s="23">
        <f>J18*J20</f>
        <v>73.941350847294899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8421.0580229999996</v>
      </c>
      <c r="C30" s="39">
        <f>IF(ISERROR(B30*3.6/1000000/'E Balans VL '!Z18*100),0,B30*3.6/1000000/'E Balans VL '!Z18*100)</f>
        <v>0.48613453988954336</v>
      </c>
      <c r="D30" s="235" t="s">
        <v>692</v>
      </c>
    </row>
    <row r="31" spans="1:18">
      <c r="A31" s="6" t="s">
        <v>32</v>
      </c>
      <c r="B31" s="37">
        <f>IF( ISERROR(IND_ander_ele_kWh/1000),0,IND_ander_ele_kWh/1000)</f>
        <v>2250.1657829999999</v>
      </c>
      <c r="C31" s="39">
        <f>IF(ISERROR(B31*3.6/1000000/'E Balans VL '!Z19*100),0,B31*3.6/1000000/'E Balans VL '!Z19*100)</f>
        <v>0.11317604525493087</v>
      </c>
      <c r="D31" s="235" t="s">
        <v>692</v>
      </c>
    </row>
    <row r="32" spans="1:18">
      <c r="A32" s="169" t="s">
        <v>40</v>
      </c>
      <c r="B32" s="37">
        <f>IF( ISERROR(IND_voed_ele_kWh/1000),0,IND_voed_ele_kWh/1000)</f>
        <v>351.80780099999998</v>
      </c>
      <c r="C32" s="39">
        <f>IF(ISERROR(B32*3.6/1000000/'E Balans VL '!Z20*100),0,B32*3.6/1000000/'E Balans VL '!Z20*100)</f>
        <v>1.1717288895300706E-2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1561.9407879999999</v>
      </c>
      <c r="C35" s="39">
        <f>IF(ISERROR(B35*3.6/1000000/'E Balans VL '!Z22*100),0,B35*3.6/1000000/'E Balans VL '!Z22*100)</f>
        <v>0.29135471363365667</v>
      </c>
      <c r="D35" s="235" t="s">
        <v>692</v>
      </c>
    </row>
    <row r="36" spans="1:5">
      <c r="A36" s="169" t="s">
        <v>33</v>
      </c>
      <c r="B36" s="37">
        <f>IF( ISERROR(IND_chemie_ele_kWh/1000),0,IND_chemie_ele_kWh/1000)</f>
        <v>236.21986900000002</v>
      </c>
      <c r="C36" s="39">
        <f>IF(ISERROR(B36*3.6/1000000/'E Balans VL '!Z24*100),0,B36*3.6/1000000/'E Balans VL '!Z24*100)</f>
        <v>6.23059007834689E-3</v>
      </c>
      <c r="D36" s="235" t="s">
        <v>692</v>
      </c>
    </row>
    <row r="37" spans="1:5">
      <c r="A37" s="169" t="s">
        <v>258</v>
      </c>
      <c r="B37" s="37">
        <f>IF( ISERROR(IND_rest_ele_kWh/1000),0,IND_rest_ele_kWh/1000)</f>
        <v>3573.1847659999999</v>
      </c>
      <c r="C37" s="39">
        <f>IF(ISERROR(B37*3.6/1000000/'E Balans VL '!Z15*100),0,B37*3.6/1000000/'E Balans VL '!Z15*100)</f>
        <v>2.7880612517319849E-2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5550.1945530000003</v>
      </c>
      <c r="C5" s="17">
        <f>'Eigen informatie GS &amp; warmtenet'!B62</f>
        <v>0</v>
      </c>
      <c r="D5" s="30">
        <f>IF(ISERROR(SUM(LB_lb_gas_kWh,LB_rest_gas_kWh)/1000),0,SUM(LB_lb_gas_kWh,LB_rest_gas_kWh)/1000)*0.902</f>
        <v>1183.3505636699999</v>
      </c>
      <c r="E5" s="17">
        <f>B17*'E Balans VL '!I25/3.6*1000000/100</f>
        <v>173.21974177075788</v>
      </c>
      <c r="F5" s="17">
        <f>B17*('E Balans VL '!L25/3.6*1000000+'E Balans VL '!N25/3.6*1000000)/100</f>
        <v>19615.002384268824</v>
      </c>
      <c r="G5" s="18"/>
      <c r="H5" s="17"/>
      <c r="I5" s="17"/>
      <c r="J5" s="17">
        <f>('E Balans VL '!D25+'E Balans VL '!E25)/3.6*1000000*landbouw!B17/100</f>
        <v>1529.117089613399</v>
      </c>
      <c r="K5" s="17"/>
      <c r="L5" s="17">
        <f>L6*(-1)</f>
        <v>0</v>
      </c>
      <c r="M5" s="17"/>
      <c r="N5" s="17">
        <f>N6*(-1)</f>
        <v>87994.28571428571</v>
      </c>
      <c r="O5" s="17"/>
      <c r="P5" s="17"/>
      <c r="R5" s="32"/>
    </row>
    <row r="6" spans="1:18">
      <c r="A6" s="16" t="s">
        <v>465</v>
      </c>
      <c r="B6" s="17" t="s">
        <v>204</v>
      </c>
      <c r="C6" s="17">
        <f>'lokale energieproductie'!O42+'lokale energieproductie'!O35</f>
        <v>43997.142857142855</v>
      </c>
      <c r="D6" s="304">
        <f>('lokale energieproductie'!P35+'lokale energieproductie'!P42)*(-1)</f>
        <v>0</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-87994.28571428571</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5550.1945530000003</v>
      </c>
      <c r="C8" s="21">
        <f>C5+C6</f>
        <v>43997.142857142855</v>
      </c>
      <c r="D8" s="21">
        <f>MAX((D5+D6),0)</f>
        <v>1183.3505636699999</v>
      </c>
      <c r="E8" s="21">
        <f>MAX((E5+E6),0)</f>
        <v>173.21974177075788</v>
      </c>
      <c r="F8" s="21">
        <f>MAX((F5+F6),0)</f>
        <v>19615.002384268824</v>
      </c>
      <c r="G8" s="21"/>
      <c r="H8" s="21"/>
      <c r="I8" s="21"/>
      <c r="J8" s="21">
        <f>MAX((J5+J6),0)</f>
        <v>1529.117089613399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5.4299588343446892E-2</v>
      </c>
      <c r="C10" s="31">
        <f ca="1">'EF ele_warmte'!B22</f>
        <v>9.8192312637656904E-5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301.37327945394122</v>
      </c>
      <c r="C12" s="23">
        <f ca="1">C8*C10</f>
        <v>4.3201812065922249</v>
      </c>
      <c r="D12" s="23">
        <f>D8*D10</f>
        <v>239.03681386133999</v>
      </c>
      <c r="E12" s="23">
        <f>E8*E10</f>
        <v>39.320881381962039</v>
      </c>
      <c r="F12" s="23">
        <f>F8*F10</f>
        <v>5237.205636599776</v>
      </c>
      <c r="G12" s="23"/>
      <c r="H12" s="23"/>
      <c r="I12" s="23"/>
      <c r="J12" s="23">
        <f>J8*J10</f>
        <v>541.30744972314324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0.82507620786677061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391.68547021686362</v>
      </c>
      <c r="C26" s="245">
        <f>B26*'GWP N2O_CH4'!B5</f>
        <v>8225.3948745541365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250.38029309765471</v>
      </c>
      <c r="C27" s="245">
        <f>B27*'GWP N2O_CH4'!B5</f>
        <v>5257.9861550507494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8.8808523436982618</v>
      </c>
      <c r="C28" s="245">
        <f>B28*'GWP N2O_CH4'!B4</f>
        <v>2753.0642265464612</v>
      </c>
      <c r="D28" s="50"/>
    </row>
    <row r="29" spans="1:4">
      <c r="A29" s="41" t="s">
        <v>265</v>
      </c>
      <c r="B29" s="245">
        <f>B34*'ha_N2O bodem landbouw'!B4</f>
        <v>16.538947789201959</v>
      </c>
      <c r="C29" s="245">
        <f>B29*'GWP N2O_CH4'!B4</f>
        <v>5127.0738146526073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3.6266934731125073E-3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3.0603678897474939E-4</v>
      </c>
      <c r="C5" s="431" t="s">
        <v>204</v>
      </c>
      <c r="D5" s="416">
        <f>SUM(D6:D11)</f>
        <v>4.8757667540304988E-4</v>
      </c>
      <c r="E5" s="416">
        <f>SUM(E6:E11)</f>
        <v>4.6060268774243294E-4</v>
      </c>
      <c r="F5" s="429" t="s">
        <v>204</v>
      </c>
      <c r="G5" s="416">
        <f>SUM(G6:G11)</f>
        <v>0.28425055736472998</v>
      </c>
      <c r="H5" s="416">
        <f>SUM(H6:H11)</f>
        <v>4.4148974230917362E-2</v>
      </c>
      <c r="I5" s="431" t="s">
        <v>204</v>
      </c>
      <c r="J5" s="431" t="s">
        <v>204</v>
      </c>
      <c r="K5" s="431" t="s">
        <v>204</v>
      </c>
      <c r="L5" s="431" t="s">
        <v>204</v>
      </c>
      <c r="M5" s="416">
        <f>SUM(M6:M11)</f>
        <v>1.9307797832279157E-2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1.0617755811712554E-4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1.7923804233558905E-4</v>
      </c>
      <c r="E6" s="882">
        <f>vkm_GW_PW*SUMIFS(TableVerdeelsleutelVkm[LPG],TableVerdeelsleutelVkm[Voertuigtype],"Lichte voertuigen")*SUMIFS(TableECFTransport[EnergieConsumptieFactor (PJ per km)],TableECFTransport[Index],CONCATENATE($A6,"_LPG_LPG"))</f>
        <v>1.5706135497632899E-4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4.9062916893642526E-2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1.598806374618152E-2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3.8866558135011702E-3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4.3043593173765812E-7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1.6428535829430845E-2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2.2836191458043213E-7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9.4697990364115813E-4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5.1488378936132722E-5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1.1098256909764645E-4</v>
      </c>
      <c r="E8" s="419">
        <f>vkm_NGW_PW*SUMIFS(TableVerdeelsleutelVkm[LPG],TableVerdeelsleutelVkm[Voertuigtype],"Lichte voertuigen")*SUMIFS(TableECFTransport[EnergieConsumptieFactor (PJ per km)],TableECFTransport[Index],CONCATENATE($A8,"_LPG_LPG"))</f>
        <v>9.3160088491205976E-5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2.6887127873125565E-2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9.756153434398963E-3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2.1957852823651426E-3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1.2439623500212312E-7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6.1037364320932885E-3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7.9659731786302687E-8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3.5183355103537365E-4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1.4433867766785018E-4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1.9735606396981438E-4</v>
      </c>
      <c r="E10" s="419">
        <f>vkm_SW_PW*SUMIFS(TableVerdeelsleutelVkm[LPG],TableVerdeelsleutelVkm[Voertuigtype],"Lichte voertuigen")*SUMIFS(TableECFTransport[EnergieConsumptieFactor (PJ per km)],TableECFTransport[Index],CONCATENATE($A10,"_LPG_LPG"))</f>
        <v>2.1038124427489796E-4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5.9889159476480915E-2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1.8402550168394625E-2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4.6705636078958274E-3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3.4773420869011521E-6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0.12587908085995683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1.8988602958893344E-6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7.2559796738404835E-3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85.010219159652607</v>
      </c>
      <c r="C14" s="21"/>
      <c r="D14" s="21">
        <f t="shared" ref="D14:M14" si="0">((D5)*10^9/3600)+D12</f>
        <v>135.43796538973606</v>
      </c>
      <c r="E14" s="21">
        <f t="shared" si="0"/>
        <v>127.9451910395647</v>
      </c>
      <c r="F14" s="21"/>
      <c r="G14" s="21">
        <f t="shared" si="0"/>
        <v>78958.48815686944</v>
      </c>
      <c r="H14" s="21">
        <f t="shared" si="0"/>
        <v>12263.603953032602</v>
      </c>
      <c r="I14" s="21"/>
      <c r="J14" s="21"/>
      <c r="K14" s="21"/>
      <c r="L14" s="21"/>
      <c r="M14" s="21">
        <f t="shared" si="0"/>
        <v>5363.2771756330994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5.4299588343446892E-2</v>
      </c>
      <c r="C16" s="56">
        <f ca="1">'EF ele_warmte'!B22</f>
        <v>9.8192312637656904E-5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4.6160199053553379</v>
      </c>
      <c r="C18" s="23"/>
      <c r="D18" s="23">
        <f t="shared" ref="D18:M18" si="1">D14*D16</f>
        <v>27.358469008726686</v>
      </c>
      <c r="E18" s="23">
        <f t="shared" si="1"/>
        <v>29.043558365981188</v>
      </c>
      <c r="F18" s="23"/>
      <c r="G18" s="23">
        <f t="shared" si="1"/>
        <v>21081.91633788414</v>
      </c>
      <c r="H18" s="23">
        <f t="shared" si="1"/>
        <v>3053.6373843051178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3.4205841246498103E-5</v>
      </c>
      <c r="C50" s="315">
        <f t="shared" ref="C50:P50" si="2">SUM(C51:C52)</f>
        <v>0</v>
      </c>
      <c r="D50" s="315">
        <f t="shared" si="2"/>
        <v>0</v>
      </c>
      <c r="E50" s="315">
        <f t="shared" si="2"/>
        <v>0</v>
      </c>
      <c r="F50" s="315">
        <f t="shared" si="2"/>
        <v>0</v>
      </c>
      <c r="G50" s="315">
        <f t="shared" si="2"/>
        <v>2.4782647166589253E-3</v>
      </c>
      <c r="H50" s="315">
        <f t="shared" si="2"/>
        <v>0</v>
      </c>
      <c r="I50" s="315">
        <f t="shared" si="2"/>
        <v>0</v>
      </c>
      <c r="J50" s="315">
        <f t="shared" si="2"/>
        <v>0</v>
      </c>
      <c r="K50" s="315">
        <f t="shared" si="2"/>
        <v>0</v>
      </c>
      <c r="L50" s="315">
        <f t="shared" si="2"/>
        <v>0</v>
      </c>
      <c r="M50" s="315">
        <f t="shared" si="2"/>
        <v>1.4017803264915053E-4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3.4205841246498103E-5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2.4782647166589253E-3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1.4017803264915053E-4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9.501622568471694</v>
      </c>
      <c r="C54" s="21">
        <f t="shared" ref="C54:P54" si="3">(C50)*10^9/3600</f>
        <v>0</v>
      </c>
      <c r="D54" s="21">
        <f t="shared" si="3"/>
        <v>0</v>
      </c>
      <c r="E54" s="21">
        <f t="shared" si="3"/>
        <v>0</v>
      </c>
      <c r="F54" s="21">
        <f t="shared" si="3"/>
        <v>0</v>
      </c>
      <c r="G54" s="21">
        <f t="shared" si="3"/>
        <v>688.40686573859034</v>
      </c>
      <c r="H54" s="21">
        <f t="shared" si="3"/>
        <v>0</v>
      </c>
      <c r="I54" s="21">
        <f t="shared" si="3"/>
        <v>0</v>
      </c>
      <c r="J54" s="21">
        <f t="shared" si="3"/>
        <v>0</v>
      </c>
      <c r="K54" s="21">
        <f t="shared" si="3"/>
        <v>0</v>
      </c>
      <c r="L54" s="21">
        <f t="shared" si="3"/>
        <v>0</v>
      </c>
      <c r="M54" s="21">
        <f t="shared" si="3"/>
        <v>38.938342402541814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5.4299588343446892E-2</v>
      </c>
      <c r="C56" s="56">
        <f ca="1">'EF ele_warmte'!B22</f>
        <v>9.8192312637656904E-5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0.51593419406281749</v>
      </c>
      <c r="C58" s="23">
        <f t="shared" ref="C58:P58" ca="1" si="4">C54*C56</f>
        <v>0</v>
      </c>
      <c r="D58" s="23">
        <f t="shared" si="4"/>
        <v>0</v>
      </c>
      <c r="E58" s="23">
        <f t="shared" si="4"/>
        <v>0</v>
      </c>
      <c r="F58" s="23">
        <f t="shared" si="4"/>
        <v>0</v>
      </c>
      <c r="G58" s="23">
        <f t="shared" si="4"/>
        <v>183.80463315220362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28478.989263468677</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8767.5033852142788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N32</f>
        <v>30811.458333333336</v>
      </c>
      <c r="C8" s="541">
        <f>B51</f>
        <v>14.977467076677256</v>
      </c>
      <c r="D8" s="542"/>
      <c r="E8" s="542">
        <f>E51</f>
        <v>0</v>
      </c>
      <c r="F8" s="543"/>
      <c r="G8" s="544"/>
      <c r="H8" s="542">
        <f>I51</f>
        <v>0</v>
      </c>
      <c r="I8" s="542">
        <f>G51+F51</f>
        <v>0</v>
      </c>
      <c r="J8" s="542">
        <f>H51+D51+C51</f>
        <v>36232.916015252144</v>
      </c>
      <c r="K8" s="542"/>
      <c r="L8" s="542"/>
      <c r="M8" s="542"/>
      <c r="N8" s="545"/>
      <c r="O8" s="546">
        <f>C8*$C$12+D8*$D$12+E8*$E$12+F8*$F$12+G8*$G$12+H8*$H$12+I8*$I$12+J8*$J$12</f>
        <v>3.0254483494888058</v>
      </c>
      <c r="P8" s="1269"/>
      <c r="Q8" s="1270"/>
      <c r="S8" s="536"/>
      <c r="T8" s="1266"/>
      <c r="U8" s="1266"/>
    </row>
    <row r="9" spans="1:21" s="527" customFormat="1" ht="17.45" customHeight="1" thickBot="1">
      <c r="A9" s="547" t="s">
        <v>236</v>
      </c>
      <c r="B9" s="548">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68057.950982016293</v>
      </c>
      <c r="C10" s="556">
        <f t="shared" ref="C10:L10" si="0">SUM(C8:C9)</f>
        <v>14.977467076677256</v>
      </c>
      <c r="D10" s="556">
        <f t="shared" si="0"/>
        <v>0</v>
      </c>
      <c r="E10" s="556">
        <f t="shared" si="0"/>
        <v>0</v>
      </c>
      <c r="F10" s="556">
        <f t="shared" si="0"/>
        <v>0</v>
      </c>
      <c r="G10" s="556">
        <f t="shared" si="0"/>
        <v>0</v>
      </c>
      <c r="H10" s="556">
        <f t="shared" si="0"/>
        <v>0</v>
      </c>
      <c r="I10" s="556">
        <f t="shared" si="0"/>
        <v>0</v>
      </c>
      <c r="J10" s="556">
        <f t="shared" si="0"/>
        <v>36232.916015252144</v>
      </c>
      <c r="K10" s="556">
        <f t="shared" si="0"/>
        <v>0</v>
      </c>
      <c r="L10" s="556">
        <f t="shared" si="0"/>
        <v>0</v>
      </c>
      <c r="M10" s="963"/>
      <c r="N10" s="963"/>
      <c r="O10" s="557">
        <f>SUM(O4:O9)</f>
        <v>3.0254483494888058</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O32</f>
        <v>44016.421010296006</v>
      </c>
      <c r="C17" s="572">
        <f>B52</f>
        <v>21.396406797196608</v>
      </c>
      <c r="D17" s="573"/>
      <c r="E17" s="573">
        <f>E52</f>
        <v>0</v>
      </c>
      <c r="F17" s="574"/>
      <c r="G17" s="575"/>
      <c r="H17" s="572">
        <f>I52</f>
        <v>0</v>
      </c>
      <c r="I17" s="573">
        <f>G52+F52</f>
        <v>0</v>
      </c>
      <c r="J17" s="573">
        <f>H52+D52+C52</f>
        <v>51761.369699033559</v>
      </c>
      <c r="K17" s="573"/>
      <c r="L17" s="573"/>
      <c r="M17" s="573"/>
      <c r="N17" s="964"/>
      <c r="O17" s="576">
        <f>C17*$C$22+E17*$E$22+H17*$H$22+I17*$I$22+J17*$J$22+D17*$D$22+F17*$F$22+G17*$G$22+K17*$K$22+L17*$L$22</f>
        <v>4.3220741730337151</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44016.421010296006</v>
      </c>
      <c r="C20" s="555">
        <f>SUM(C17:C19)</f>
        <v>21.396406797196608</v>
      </c>
      <c r="D20" s="555">
        <f t="shared" ref="D20:L20" si="1">SUM(D17:D19)</f>
        <v>0</v>
      </c>
      <c r="E20" s="555">
        <f t="shared" si="1"/>
        <v>0</v>
      </c>
      <c r="F20" s="555">
        <f t="shared" si="1"/>
        <v>0</v>
      </c>
      <c r="G20" s="555">
        <f t="shared" si="1"/>
        <v>0</v>
      </c>
      <c r="H20" s="555">
        <f t="shared" si="1"/>
        <v>0</v>
      </c>
      <c r="I20" s="555">
        <f t="shared" si="1"/>
        <v>0</v>
      </c>
      <c r="J20" s="555">
        <f t="shared" si="1"/>
        <v>51761.369699033559</v>
      </c>
      <c r="K20" s="555">
        <f t="shared" si="1"/>
        <v>0</v>
      </c>
      <c r="L20" s="555">
        <f t="shared" si="1"/>
        <v>0</v>
      </c>
      <c r="M20" s="555"/>
      <c r="N20" s="555"/>
      <c r="O20" s="581">
        <f>SUM(O17:O19)</f>
        <v>4.3220741730337151</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13001</v>
      </c>
      <c r="C28" s="783">
        <v>2370</v>
      </c>
      <c r="D28" s="633"/>
      <c r="E28" s="632"/>
      <c r="F28" s="632"/>
      <c r="G28" s="632" t="s">
        <v>900</v>
      </c>
      <c r="H28" s="632" t="s">
        <v>901</v>
      </c>
      <c r="I28" s="632"/>
      <c r="J28" s="782"/>
      <c r="K28" s="782"/>
      <c r="L28" s="632" t="s">
        <v>902</v>
      </c>
      <c r="M28" s="632">
        <v>3277</v>
      </c>
      <c r="N28" s="632">
        <v>14746.5</v>
      </c>
      <c r="O28" s="632">
        <v>21066.428571428572</v>
      </c>
      <c r="P28" s="632">
        <v>0</v>
      </c>
      <c r="Q28" s="632">
        <v>42132.857142857145</v>
      </c>
      <c r="R28" s="632">
        <v>0</v>
      </c>
      <c r="S28" s="632">
        <v>0</v>
      </c>
      <c r="T28" s="632">
        <v>0</v>
      </c>
      <c r="U28" s="632">
        <v>0</v>
      </c>
      <c r="V28" s="632">
        <v>0</v>
      </c>
      <c r="W28" s="632">
        <v>0</v>
      </c>
      <c r="X28" s="632">
        <v>10</v>
      </c>
      <c r="Y28" s="632" t="s">
        <v>105</v>
      </c>
      <c r="Z28" s="634" t="s">
        <v>105</v>
      </c>
    </row>
    <row r="29" spans="1:26" s="586" customFormat="1" ht="25.5" hidden="1">
      <c r="A29" s="585"/>
      <c r="B29" s="783">
        <v>13001</v>
      </c>
      <c r="C29" s="783">
        <v>2370</v>
      </c>
      <c r="D29" s="633"/>
      <c r="E29" s="632"/>
      <c r="F29" s="632"/>
      <c r="G29" s="632" t="s">
        <v>900</v>
      </c>
      <c r="H29" s="632" t="s">
        <v>901</v>
      </c>
      <c r="I29" s="632"/>
      <c r="J29" s="782"/>
      <c r="K29" s="782"/>
      <c r="L29" s="632" t="s">
        <v>902</v>
      </c>
      <c r="M29" s="632">
        <v>3567</v>
      </c>
      <c r="N29" s="632">
        <v>16051.5</v>
      </c>
      <c r="O29" s="632">
        <v>22930.714285714286</v>
      </c>
      <c r="P29" s="632">
        <v>0</v>
      </c>
      <c r="Q29" s="632">
        <v>45861.428571428572</v>
      </c>
      <c r="R29" s="632">
        <v>0</v>
      </c>
      <c r="S29" s="632">
        <v>0</v>
      </c>
      <c r="T29" s="632">
        <v>0</v>
      </c>
      <c r="U29" s="632">
        <v>0</v>
      </c>
      <c r="V29" s="632">
        <v>0</v>
      </c>
      <c r="W29" s="632">
        <v>0</v>
      </c>
      <c r="X29" s="632">
        <v>10</v>
      </c>
      <c r="Y29" s="632" t="s">
        <v>105</v>
      </c>
      <c r="Z29" s="634" t="s">
        <v>105</v>
      </c>
    </row>
    <row r="30" spans="1:26" s="586" customFormat="1" ht="12.75" hidden="1">
      <c r="A30" s="585"/>
      <c r="B30" s="783">
        <v>13001</v>
      </c>
      <c r="C30" s="783">
        <v>2370</v>
      </c>
      <c r="D30" s="633"/>
      <c r="E30" s="632"/>
      <c r="F30" s="632"/>
      <c r="G30" s="632" t="s">
        <v>903</v>
      </c>
      <c r="H30" s="632" t="s">
        <v>904</v>
      </c>
      <c r="I30" s="632"/>
      <c r="J30" s="782"/>
      <c r="K30" s="782"/>
      <c r="L30" s="632" t="s">
        <v>905</v>
      </c>
      <c r="M30" s="632">
        <v>1.7</v>
      </c>
      <c r="N30" s="632">
        <v>7.7916666666666661</v>
      </c>
      <c r="O30" s="632">
        <v>11.161036036036036</v>
      </c>
      <c r="P30" s="632">
        <v>21.058558558558556</v>
      </c>
      <c r="Q30" s="632">
        <v>0</v>
      </c>
      <c r="R30" s="632">
        <v>0</v>
      </c>
      <c r="S30" s="632">
        <v>0</v>
      </c>
      <c r="T30" s="632">
        <v>0</v>
      </c>
      <c r="U30" s="632">
        <v>0</v>
      </c>
      <c r="V30" s="632">
        <v>0</v>
      </c>
      <c r="W30" s="632">
        <v>0</v>
      </c>
      <c r="X30" s="632">
        <v>1100</v>
      </c>
      <c r="Y30" s="632" t="s">
        <v>154</v>
      </c>
      <c r="Z30" s="634" t="s">
        <v>149</v>
      </c>
    </row>
    <row r="31" spans="1:26" s="586" customFormat="1" ht="51" hidden="1">
      <c r="A31" s="585"/>
      <c r="B31" s="783">
        <v>13001</v>
      </c>
      <c r="C31" s="783">
        <v>2370</v>
      </c>
      <c r="D31" s="633"/>
      <c r="E31" s="632"/>
      <c r="F31" s="632"/>
      <c r="G31" s="632" t="s">
        <v>903</v>
      </c>
      <c r="H31" s="632" t="s">
        <v>904</v>
      </c>
      <c r="I31" s="632"/>
      <c r="J31" s="782"/>
      <c r="K31" s="782"/>
      <c r="L31" s="632" t="s">
        <v>905</v>
      </c>
      <c r="M31" s="632">
        <v>1.7</v>
      </c>
      <c r="N31" s="632">
        <v>5.6666666666666661</v>
      </c>
      <c r="O31" s="632">
        <v>8.1171171171171164</v>
      </c>
      <c r="P31" s="632">
        <v>15.315315315315313</v>
      </c>
      <c r="Q31" s="632">
        <v>0</v>
      </c>
      <c r="R31" s="632">
        <v>0</v>
      </c>
      <c r="S31" s="632">
        <v>0</v>
      </c>
      <c r="T31" s="632">
        <v>0</v>
      </c>
      <c r="U31" s="632">
        <v>0</v>
      </c>
      <c r="V31" s="632">
        <v>0</v>
      </c>
      <c r="W31" s="632">
        <v>0</v>
      </c>
      <c r="X31" s="632">
        <v>1500</v>
      </c>
      <c r="Y31" s="632" t="s">
        <v>50</v>
      </c>
      <c r="Z31" s="634" t="s">
        <v>149</v>
      </c>
    </row>
    <row r="32" spans="1:26" s="566" customFormat="1" hidden="1">
      <c r="A32" s="588" t="s">
        <v>268</v>
      </c>
      <c r="B32" s="589"/>
      <c r="C32" s="589"/>
      <c r="D32" s="589"/>
      <c r="E32" s="589"/>
      <c r="F32" s="589"/>
      <c r="G32" s="589"/>
      <c r="H32" s="589"/>
      <c r="I32" s="589"/>
      <c r="J32" s="589"/>
      <c r="K32" s="589"/>
      <c r="L32" s="590"/>
      <c r="M32" s="590">
        <f>SUM(M28:M31)</f>
        <v>6847.4</v>
      </c>
      <c r="N32" s="590">
        <f>SUM(N28:N31)</f>
        <v>30811.458333333336</v>
      </c>
      <c r="O32" s="590">
        <f>SUM(O28:O31)</f>
        <v>44016.421010296006</v>
      </c>
      <c r="P32" s="590">
        <f>SUM(P28:P31)</f>
        <v>36.373873873873869</v>
      </c>
      <c r="Q32" s="590">
        <f>SUM(Q28:Q31)</f>
        <v>87994.28571428571</v>
      </c>
      <c r="R32" s="590">
        <f>SUM(R28:R31)</f>
        <v>0</v>
      </c>
      <c r="S32" s="590">
        <f>SUM(S28:S31)</f>
        <v>0</v>
      </c>
      <c r="T32" s="590">
        <f>SUM(T28:T31)</f>
        <v>0</v>
      </c>
      <c r="U32" s="590">
        <f>SUM(U28:U31)</f>
        <v>0</v>
      </c>
      <c r="V32" s="590">
        <f>SUM(V28:V31)</f>
        <v>0</v>
      </c>
      <c r="W32" s="590">
        <f>SUM(W28:W31)</f>
        <v>0</v>
      </c>
      <c r="X32" s="591"/>
      <c r="Y32" s="591"/>
      <c r="Z32" s="592"/>
    </row>
    <row r="33" spans="1:27" s="566" customFormat="1">
      <c r="A33" s="588" t="s">
        <v>275</v>
      </c>
      <c r="B33" s="589"/>
      <c r="C33" s="589"/>
      <c r="D33" s="589"/>
      <c r="E33" s="589"/>
      <c r="F33" s="589"/>
      <c r="G33" s="589"/>
      <c r="H33" s="589"/>
      <c r="I33" s="589"/>
      <c r="J33" s="589"/>
      <c r="K33" s="589"/>
      <c r="L33" s="590"/>
      <c r="M33" s="590">
        <f>SUMIF($Z$28:$Z$31,"industrie",M28:M31)</f>
        <v>0</v>
      </c>
      <c r="N33" s="590">
        <f>SUMIF($Z$28:$Z$31,"industrie",N28:N31)</f>
        <v>0</v>
      </c>
      <c r="O33" s="590">
        <f>SUMIF($Z$28:$Z$31,"industrie",O28:O31)</f>
        <v>0</v>
      </c>
      <c r="P33" s="590">
        <f>SUMIF($Z$28:$Z$31,"industrie",P28:P31)</f>
        <v>0</v>
      </c>
      <c r="Q33" s="590">
        <f>SUMIF($Z$28:$Z$31,"industrie",Q28:Q31)</f>
        <v>0</v>
      </c>
      <c r="R33" s="590">
        <f>SUMIF($Z$28:$Z$31,"industrie",R28:R31)</f>
        <v>0</v>
      </c>
      <c r="S33" s="590">
        <f>SUMIF($Z$28:$Z$31,"industrie",S28:S31)</f>
        <v>0</v>
      </c>
      <c r="T33" s="590">
        <f>SUMIF($Z$28:$Z$31,"industrie",T28:T31)</f>
        <v>0</v>
      </c>
      <c r="U33" s="590">
        <f>SUMIF($Z$28:$Z$31,"industrie",U28:U31)</f>
        <v>0</v>
      </c>
      <c r="V33" s="590">
        <f>SUMIF($Z$28:$Z$31,"industrie",V28:V31)</f>
        <v>0</v>
      </c>
      <c r="W33" s="590">
        <f>SUMIF($Z$28:$Z$31,"industrie",W28:W31)</f>
        <v>0</v>
      </c>
      <c r="X33" s="591"/>
      <c r="Y33" s="591"/>
      <c r="Z33" s="592"/>
    </row>
    <row r="34" spans="1:27" s="566" customFormat="1">
      <c r="A34" s="588" t="s">
        <v>276</v>
      </c>
      <c r="B34" s="589"/>
      <c r="C34" s="589"/>
      <c r="D34" s="589"/>
      <c r="E34" s="589"/>
      <c r="F34" s="589"/>
      <c r="G34" s="589"/>
      <c r="H34" s="589"/>
      <c r="I34" s="589"/>
      <c r="J34" s="589"/>
      <c r="K34" s="589"/>
      <c r="L34" s="590"/>
      <c r="M34" s="590">
        <f ca="1">SUMIF($Z$28:AC31,"tertiair",M28:M31)</f>
        <v>3.4</v>
      </c>
      <c r="N34" s="590">
        <f ca="1">SUMIF($Z$28:AD31,"tertiair",N28:N31)</f>
        <v>13.458333333333332</v>
      </c>
      <c r="O34" s="590">
        <f ca="1">SUMIF($Z$28:AE31,"tertiair",O28:O31)</f>
        <v>19.278153153153152</v>
      </c>
      <c r="P34" s="590">
        <f ca="1">SUMIF($Z$28:AF31,"tertiair",P28:P31)</f>
        <v>36.373873873873869</v>
      </c>
      <c r="Q34" s="590">
        <f ca="1">SUMIF($Z$28:AG31,"tertiair",Q28:Q31)</f>
        <v>0</v>
      </c>
      <c r="R34" s="590">
        <f ca="1">SUMIF($Z$28:AH31,"tertiair",R28:R31)</f>
        <v>0</v>
      </c>
      <c r="S34" s="590">
        <f ca="1">SUMIF($Z$28:AI31,"tertiair",S28:S31)</f>
        <v>0</v>
      </c>
      <c r="T34" s="590">
        <f ca="1">SUMIF($Z$28:AJ31,"tertiair",T28:T31)</f>
        <v>0</v>
      </c>
      <c r="U34" s="590">
        <f ca="1">SUMIF($Z$28:AK31,"tertiair",U28:U31)</f>
        <v>0</v>
      </c>
      <c r="V34" s="590">
        <f ca="1">SUMIF($Z$28:AL31,"tertiair",V28:V31)</f>
        <v>0</v>
      </c>
      <c r="W34" s="590">
        <f ca="1">SUMIF($Z$28:AM31,"tertiair",W28:W31)</f>
        <v>0</v>
      </c>
      <c r="X34" s="591"/>
      <c r="Y34" s="591"/>
      <c r="Z34" s="592"/>
    </row>
    <row r="35" spans="1:27" s="566" customFormat="1" ht="15.75" thickBot="1">
      <c r="A35" s="593" t="s">
        <v>277</v>
      </c>
      <c r="B35" s="594"/>
      <c r="C35" s="594"/>
      <c r="D35" s="594"/>
      <c r="E35" s="594"/>
      <c r="F35" s="594"/>
      <c r="G35" s="594"/>
      <c r="H35" s="594"/>
      <c r="I35" s="594"/>
      <c r="J35" s="594"/>
      <c r="K35" s="594"/>
      <c r="L35" s="595"/>
      <c r="M35" s="595">
        <f>SUMIF($Z$28:$Z$31,"landbouw",M28:M31)</f>
        <v>6844</v>
      </c>
      <c r="N35" s="595">
        <f>SUMIF($Z$28:$Z$31,"landbouw",N28:N31)</f>
        <v>30798</v>
      </c>
      <c r="O35" s="595">
        <f>SUMIF($Z$28:$Z$31,"landbouw",O28:O31)</f>
        <v>43997.142857142855</v>
      </c>
      <c r="P35" s="595">
        <f>SUMIF($Z$28:$Z$31,"landbouw",P28:P31)</f>
        <v>0</v>
      </c>
      <c r="Q35" s="595">
        <f>SUMIF($Z$28:$Z$31,"landbouw",Q28:Q31)</f>
        <v>87994.28571428571</v>
      </c>
      <c r="R35" s="595">
        <f>SUMIF($Z$28:$Z$31,"landbouw",R28:R31)</f>
        <v>0</v>
      </c>
      <c r="S35" s="595">
        <f>SUMIF($Z$28:$Z$31,"landbouw",S28:S31)</f>
        <v>0</v>
      </c>
      <c r="T35" s="595">
        <f>SUMIF($Z$28:$Z$31,"landbouw",T28:T31)</f>
        <v>0</v>
      </c>
      <c r="U35" s="595">
        <f>SUMIF($Z$28:$Z$31,"landbouw",U28:U31)</f>
        <v>0</v>
      </c>
      <c r="V35" s="595">
        <f>SUMIF($Z$28:$Z$31,"landbouw",V28:V31)</f>
        <v>0</v>
      </c>
      <c r="W35" s="595">
        <f>SUMIF($Z$28:$Z$31,"landbouw",W28:W31)</f>
        <v>0</v>
      </c>
      <c r="X35" s="596"/>
      <c r="Y35" s="596"/>
      <c r="Z35" s="597"/>
    </row>
    <row r="36" spans="1:27" s="527" customFormat="1" ht="15.75" thickBot="1">
      <c r="A36" s="598"/>
      <c r="B36" s="599"/>
      <c r="C36" s="599"/>
      <c r="D36" s="599"/>
      <c r="E36" s="599"/>
      <c r="F36" s="599"/>
      <c r="G36" s="599"/>
      <c r="H36" s="599"/>
      <c r="I36" s="599"/>
      <c r="J36" s="599"/>
      <c r="K36" s="599"/>
      <c r="L36" s="582"/>
      <c r="M36" s="582"/>
      <c r="N36" s="582"/>
      <c r="O36" s="583"/>
      <c r="P36" s="583"/>
    </row>
    <row r="37" spans="1:27" s="527" customFormat="1" ht="45">
      <c r="A37" s="600" t="s">
        <v>269</v>
      </c>
      <c r="B37" s="629" t="s">
        <v>89</v>
      </c>
      <c r="C37" s="629" t="s">
        <v>90</v>
      </c>
      <c r="D37" s="629"/>
      <c r="E37" s="629"/>
      <c r="F37" s="629"/>
      <c r="G37" s="629" t="s">
        <v>91</v>
      </c>
      <c r="H37" s="629" t="s">
        <v>92</v>
      </c>
      <c r="I37" s="629"/>
      <c r="J37" s="629"/>
      <c r="K37" s="629"/>
      <c r="L37" s="629" t="s">
        <v>93</v>
      </c>
      <c r="M37" s="630" t="s">
        <v>286</v>
      </c>
      <c r="N37" s="630" t="s">
        <v>94</v>
      </c>
      <c r="O37" s="630" t="s">
        <v>95</v>
      </c>
      <c r="P37" s="630" t="s">
        <v>511</v>
      </c>
      <c r="Q37" s="630" t="s">
        <v>96</v>
      </c>
      <c r="R37" s="630" t="s">
        <v>97</v>
      </c>
      <c r="S37" s="630" t="s">
        <v>98</v>
      </c>
      <c r="T37" s="630" t="s">
        <v>99</v>
      </c>
      <c r="U37" s="630" t="s">
        <v>100</v>
      </c>
      <c r="V37" s="630" t="s">
        <v>101</v>
      </c>
      <c r="W37" s="629" t="s">
        <v>102</v>
      </c>
      <c r="X37" s="629" t="s">
        <v>287</v>
      </c>
      <c r="Y37" s="629" t="s">
        <v>103</v>
      </c>
      <c r="Z37" s="631" t="s">
        <v>288</v>
      </c>
    </row>
    <row r="38" spans="1:27" s="601" customFormat="1" ht="12.75" hidden="1">
      <c r="A38" s="587"/>
      <c r="B38" s="783"/>
      <c r="C38" s="783"/>
      <c r="D38" s="635"/>
      <c r="E38" s="635"/>
      <c r="F38" s="635"/>
      <c r="G38" s="635"/>
      <c r="H38" s="635"/>
      <c r="I38" s="635"/>
      <c r="J38" s="782"/>
      <c r="K38" s="782"/>
      <c r="L38" s="635"/>
      <c r="M38" s="635"/>
      <c r="N38" s="635"/>
      <c r="O38" s="635"/>
      <c r="P38" s="635"/>
      <c r="Q38" s="635"/>
      <c r="R38" s="635"/>
      <c r="S38" s="635"/>
      <c r="T38" s="635"/>
      <c r="U38" s="635"/>
      <c r="V38" s="635"/>
      <c r="W38" s="635"/>
      <c r="X38" s="635"/>
      <c r="Y38" s="635"/>
      <c r="Z38" s="636"/>
    </row>
    <row r="39" spans="1:27" s="566" customFormat="1" hidden="1">
      <c r="A39" s="588" t="s">
        <v>268</v>
      </c>
      <c r="B39" s="589"/>
      <c r="C39" s="589"/>
      <c r="D39" s="589"/>
      <c r="E39" s="589"/>
      <c r="F39" s="589"/>
      <c r="G39" s="589"/>
      <c r="H39" s="589"/>
      <c r="I39" s="589"/>
      <c r="J39" s="589"/>
      <c r="K39" s="589"/>
      <c r="L39" s="590"/>
      <c r="M39" s="590">
        <f>SUM(M38:M38)</f>
        <v>0</v>
      </c>
      <c r="N39" s="590">
        <f>SUM(N38:N38)</f>
        <v>0</v>
      </c>
      <c r="O39" s="590">
        <f>SUM(O38:O38)</f>
        <v>0</v>
      </c>
      <c r="P39" s="590">
        <f>SUM(P38:P38)</f>
        <v>0</v>
      </c>
      <c r="Q39" s="590">
        <f>SUM(Q38:Q38)</f>
        <v>0</v>
      </c>
      <c r="R39" s="590">
        <f>SUM(R38:R38)</f>
        <v>0</v>
      </c>
      <c r="S39" s="590">
        <f>SUM(S38:S38)</f>
        <v>0</v>
      </c>
      <c r="T39" s="590">
        <f>SUM(T38:T38)</f>
        <v>0</v>
      </c>
      <c r="U39" s="590">
        <f>SUM(U38:U38)</f>
        <v>0</v>
      </c>
      <c r="V39" s="590">
        <f>SUM(V38:V38)</f>
        <v>0</v>
      </c>
      <c r="W39" s="590">
        <f>SUM(W38:W38)</f>
        <v>0</v>
      </c>
      <c r="X39" s="591"/>
      <c r="Y39" s="591"/>
      <c r="Z39" s="592"/>
    </row>
    <row r="40" spans="1:27" s="566" customFormat="1">
      <c r="A40" s="588" t="s">
        <v>275</v>
      </c>
      <c r="B40" s="589"/>
      <c r="C40" s="589"/>
      <c r="D40" s="589"/>
      <c r="E40" s="589"/>
      <c r="F40" s="589"/>
      <c r="G40" s="589"/>
      <c r="H40" s="589"/>
      <c r="I40" s="589"/>
      <c r="J40" s="589"/>
      <c r="K40" s="589"/>
      <c r="L40" s="590"/>
      <c r="M40" s="590">
        <f>SUMIF($Z$38:$Z$38,"industrie",M38:M38)</f>
        <v>0</v>
      </c>
      <c r="N40" s="590">
        <f>SUMIF($Z$38:$Z$38,"industrie",N38:N38)</f>
        <v>0</v>
      </c>
      <c r="O40" s="590">
        <f>SUMIF($Z$38:$Z$38,"industrie",O38:O38)</f>
        <v>0</v>
      </c>
      <c r="P40" s="590">
        <f>SUMIF($Z$38:$Z$38,"industrie",P38:P38)</f>
        <v>0</v>
      </c>
      <c r="Q40" s="590">
        <f>SUMIF($Z$38:$Z$38,"industrie",Q38:Q38)</f>
        <v>0</v>
      </c>
      <c r="R40" s="590">
        <f>SUMIF($Z$38:$Z$38,"industrie",R38:R38)</f>
        <v>0</v>
      </c>
      <c r="S40" s="590">
        <f>SUMIF($Z$38:$Z$38,"industrie",S38:S38)</f>
        <v>0</v>
      </c>
      <c r="T40" s="590">
        <f>SUMIF($Z$38:$Z$38,"industrie",T38:T38)</f>
        <v>0</v>
      </c>
      <c r="U40" s="590">
        <f>SUMIF($Z$38:$Z$38,"industrie",U38:U38)</f>
        <v>0</v>
      </c>
      <c r="V40" s="590">
        <f>SUMIF($Z$38:$Z$38,"industrie",V38:V38)</f>
        <v>0</v>
      </c>
      <c r="W40" s="590">
        <f>SUMIF($Z$38:$Z$38,"industrie",W38:W38)</f>
        <v>0</v>
      </c>
      <c r="X40" s="591"/>
      <c r="Y40" s="591"/>
      <c r="Z40" s="592"/>
    </row>
    <row r="41" spans="1:27" s="566" customFormat="1">
      <c r="A41" s="588" t="s">
        <v>276</v>
      </c>
      <c r="B41" s="589"/>
      <c r="C41" s="589"/>
      <c r="D41" s="589"/>
      <c r="E41" s="589"/>
      <c r="F41" s="589"/>
      <c r="G41" s="589"/>
      <c r="H41" s="589"/>
      <c r="I41" s="589"/>
      <c r="J41" s="589"/>
      <c r="K41" s="589"/>
      <c r="L41" s="590"/>
      <c r="M41" s="590">
        <f>SUMIF($Z$38:$Z$39,"tertiair",M38:M39)</f>
        <v>0</v>
      </c>
      <c r="N41" s="590">
        <f>SUMIF($Z$38:$Z$39,"tertiair",N38:N39)</f>
        <v>0</v>
      </c>
      <c r="O41" s="590">
        <f>SUMIF($Z$38:$Z$39,"tertiair",O38:O39)</f>
        <v>0</v>
      </c>
      <c r="P41" s="590">
        <f>SUMIF($Z$38:$Z$39,"tertiair",P38:P39)</f>
        <v>0</v>
      </c>
      <c r="Q41" s="590">
        <f>SUMIF($Z$38:$Z$39,"tertiair",Q38:Q39)</f>
        <v>0</v>
      </c>
      <c r="R41" s="590">
        <f>SUMIF($Z$38:$Z$39,"tertiair",R38:R39)</f>
        <v>0</v>
      </c>
      <c r="S41" s="590">
        <f>SUMIF($Z$38:$Z$39,"tertiair",S38:S39)</f>
        <v>0</v>
      </c>
      <c r="T41" s="590">
        <f>SUMIF($Z$38:$Z$39,"tertiair",T38:T39)</f>
        <v>0</v>
      </c>
      <c r="U41" s="590">
        <f>SUMIF($Z$38:$Z$39,"tertiair",U38:U39)</f>
        <v>0</v>
      </c>
      <c r="V41" s="590">
        <f>SUMIF($Z$38:$Z$39,"tertiair",V38:V39)</f>
        <v>0</v>
      </c>
      <c r="W41" s="590">
        <f>SUMIF($Z$38:$Z$39,"tertiair",W38:W39)</f>
        <v>0</v>
      </c>
      <c r="X41" s="591"/>
      <c r="Y41" s="591"/>
      <c r="Z41" s="592"/>
    </row>
    <row r="42" spans="1:27" s="566" customFormat="1" ht="15.75" thickBot="1">
      <c r="A42" s="593" t="s">
        <v>277</v>
      </c>
      <c r="B42" s="594"/>
      <c r="C42" s="594"/>
      <c r="D42" s="594"/>
      <c r="E42" s="594"/>
      <c r="F42" s="594"/>
      <c r="G42" s="594"/>
      <c r="H42" s="594"/>
      <c r="I42" s="594"/>
      <c r="J42" s="594"/>
      <c r="K42" s="594"/>
      <c r="L42" s="595"/>
      <c r="M42" s="595">
        <f>SUMIF($Z$38:$Z$40,"landbouw",M38:M40)</f>
        <v>0</v>
      </c>
      <c r="N42" s="595">
        <f>SUMIF($Z$38:$Z$40,"landbouw",N38:N40)</f>
        <v>0</v>
      </c>
      <c r="O42" s="595">
        <f>SUMIF($Z$38:$Z$40,"landbouw",O38:O40)</f>
        <v>0</v>
      </c>
      <c r="P42" s="595">
        <f>SUMIF($Z$38:$Z$40,"landbouw",P38:P40)</f>
        <v>0</v>
      </c>
      <c r="Q42" s="595">
        <f>SUMIF($Z$38:$Z$40,"landbouw",Q38:Q40)</f>
        <v>0</v>
      </c>
      <c r="R42" s="595">
        <f>SUMIF($Z$38:$Z$40,"landbouw",R38:R40)</f>
        <v>0</v>
      </c>
      <c r="S42" s="595">
        <f>SUMIF($Z$38:$Z$40,"landbouw",S38:S40)</f>
        <v>0</v>
      </c>
      <c r="T42" s="595">
        <f>SUMIF($Z$38:$Z$40,"landbouw",T38:T40)</f>
        <v>0</v>
      </c>
      <c r="U42" s="595">
        <f>SUMIF($Z$38:$Z$40,"landbouw",U38:U40)</f>
        <v>0</v>
      </c>
      <c r="V42" s="595">
        <f>SUMIF($Z$38:$Z$40,"landbouw",V38:V40)</f>
        <v>0</v>
      </c>
      <c r="W42" s="595">
        <f>SUMIF($Z$38:$Z$40,"landbouw",W38:W40)</f>
        <v>0</v>
      </c>
      <c r="X42" s="596"/>
      <c r="Y42" s="596"/>
      <c r="Z42" s="597"/>
    </row>
    <row r="43" spans="1:27" s="602" customForma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row>
    <row r="44" spans="1:27" s="602" customFormat="1" ht="15.75" thickBo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row>
    <row r="45" spans="1:27">
      <c r="A45" s="603" t="s">
        <v>270</v>
      </c>
      <c r="B45" s="604"/>
      <c r="C45" s="604"/>
      <c r="D45" s="604"/>
      <c r="E45" s="604"/>
      <c r="F45" s="604"/>
      <c r="G45" s="604"/>
      <c r="H45" s="604"/>
      <c r="I45" s="605"/>
      <c r="J45" s="606"/>
      <c r="K45" s="606"/>
      <c r="L45" s="607"/>
      <c r="M45" s="607"/>
      <c r="N45" s="607"/>
      <c r="O45" s="607"/>
      <c r="P45" s="607"/>
    </row>
    <row r="46" spans="1:27">
      <c r="A46" s="609"/>
      <c r="B46" s="599"/>
      <c r="C46" s="599"/>
      <c r="D46" s="599"/>
      <c r="E46" s="599"/>
      <c r="F46" s="599"/>
      <c r="G46" s="599"/>
      <c r="H46" s="599"/>
      <c r="I46" s="610"/>
      <c r="J46" s="599"/>
      <c r="K46" s="599"/>
      <c r="L46" s="607"/>
      <c r="M46" s="607"/>
      <c r="N46" s="607"/>
      <c r="O46" s="607"/>
      <c r="P46" s="607"/>
    </row>
    <row r="47" spans="1:27">
      <c r="A47" s="611"/>
      <c r="B47" s="612" t="s">
        <v>271</v>
      </c>
      <c r="C47" s="612" t="s">
        <v>272</v>
      </c>
      <c r="D47" s="612"/>
      <c r="E47" s="612"/>
      <c r="F47" s="612"/>
      <c r="G47" s="612"/>
      <c r="H47" s="612"/>
      <c r="I47" s="613"/>
      <c r="J47" s="612"/>
      <c r="K47" s="612"/>
      <c r="L47" s="612"/>
      <c r="M47" s="612"/>
      <c r="N47" s="612"/>
      <c r="O47" s="612"/>
      <c r="P47" s="607"/>
    </row>
    <row r="48" spans="1:27">
      <c r="A48" s="609" t="s">
        <v>268</v>
      </c>
      <c r="B48" s="614">
        <f>IF(ISERROR(O32/(O32+N32)),0,O32/(O32+N32))</f>
        <v>0.58823558005915144</v>
      </c>
      <c r="C48" s="615">
        <f>IF(ISERROR(N32/(O32+N32)),0,N32/(N32+O32))</f>
        <v>0.41176441994084845</v>
      </c>
      <c r="D48" s="582"/>
      <c r="E48" s="582"/>
      <c r="F48" s="582"/>
      <c r="G48" s="582"/>
      <c r="H48" s="582"/>
      <c r="I48" s="616"/>
      <c r="J48" s="582"/>
      <c r="K48" s="582"/>
      <c r="L48" s="617"/>
      <c r="M48" s="617"/>
      <c r="N48" s="617"/>
      <c r="O48" s="617"/>
      <c r="P48" s="607"/>
    </row>
    <row r="49" spans="1:16">
      <c r="A49" s="609"/>
      <c r="B49" s="618"/>
      <c r="C49" s="618"/>
      <c r="D49" s="618"/>
      <c r="E49" s="618"/>
      <c r="F49" s="618"/>
      <c r="G49" s="618"/>
      <c r="H49" s="618"/>
      <c r="I49" s="619"/>
      <c r="J49" s="618"/>
      <c r="K49" s="618"/>
      <c r="L49" s="620"/>
      <c r="M49" s="620"/>
      <c r="N49" s="620"/>
      <c r="O49" s="620"/>
      <c r="P49" s="607"/>
    </row>
    <row r="50" spans="1:16" ht="30">
      <c r="A50" s="621"/>
      <c r="B50" s="622" t="s">
        <v>511</v>
      </c>
      <c r="C50" s="622" t="s">
        <v>96</v>
      </c>
      <c r="D50" s="622" t="s">
        <v>97</v>
      </c>
      <c r="E50" s="622" t="s">
        <v>98</v>
      </c>
      <c r="F50" s="622" t="s">
        <v>99</v>
      </c>
      <c r="G50" s="622" t="s">
        <v>100</v>
      </c>
      <c r="H50" s="622" t="s">
        <v>101</v>
      </c>
      <c r="I50" s="623" t="s">
        <v>102</v>
      </c>
      <c r="J50" s="612"/>
      <c r="K50" s="612"/>
      <c r="L50" s="620"/>
      <c r="M50" s="620"/>
      <c r="N50" s="620"/>
      <c r="O50" s="607"/>
      <c r="P50" s="607"/>
    </row>
    <row r="51" spans="1:16">
      <c r="A51" s="611" t="s">
        <v>273</v>
      </c>
      <c r="B51" s="624">
        <f t="shared" ref="B51:I51" si="2">$C$48*P32</f>
        <v>14.977467076677256</v>
      </c>
      <c r="C51" s="624">
        <f t="shared" si="2"/>
        <v>36232.916015252144</v>
      </c>
      <c r="D51" s="624">
        <f t="shared" si="2"/>
        <v>0</v>
      </c>
      <c r="E51" s="624">
        <f t="shared" si="2"/>
        <v>0</v>
      </c>
      <c r="F51" s="624">
        <f t="shared" si="2"/>
        <v>0</v>
      </c>
      <c r="G51" s="624">
        <f t="shared" si="2"/>
        <v>0</v>
      </c>
      <c r="H51" s="624">
        <f t="shared" si="2"/>
        <v>0</v>
      </c>
      <c r="I51" s="625">
        <f t="shared" si="2"/>
        <v>0</v>
      </c>
      <c r="J51" s="582"/>
      <c r="K51" s="582"/>
      <c r="L51" s="620"/>
      <c r="M51" s="620"/>
      <c r="N51" s="620"/>
      <c r="O51" s="607"/>
      <c r="P51" s="607"/>
    </row>
    <row r="52" spans="1:16" ht="15.75" thickBot="1">
      <c r="A52" s="626" t="s">
        <v>274</v>
      </c>
      <c r="B52" s="627">
        <f t="shared" ref="B52:I52" si="3">$B$48*P32</f>
        <v>21.396406797196608</v>
      </c>
      <c r="C52" s="627">
        <f t="shared" si="3"/>
        <v>51761.369699033559</v>
      </c>
      <c r="D52" s="627">
        <f t="shared" si="3"/>
        <v>0</v>
      </c>
      <c r="E52" s="627">
        <f t="shared" si="3"/>
        <v>0</v>
      </c>
      <c r="F52" s="627">
        <f t="shared" si="3"/>
        <v>0</v>
      </c>
      <c r="G52" s="627">
        <f t="shared" si="3"/>
        <v>0</v>
      </c>
      <c r="H52" s="627">
        <f t="shared" si="3"/>
        <v>0</v>
      </c>
      <c r="I52" s="628">
        <f t="shared" si="3"/>
        <v>0</v>
      </c>
      <c r="J52" s="582"/>
      <c r="K52" s="582"/>
      <c r="L52" s="620"/>
      <c r="M52" s="620"/>
      <c r="N52" s="620"/>
      <c r="O52" s="607"/>
      <c r="P52" s="607"/>
    </row>
    <row r="53" spans="1:16">
      <c r="J53" s="562"/>
      <c r="K53" s="562"/>
      <c r="L53" s="562"/>
      <c r="M53" s="562"/>
      <c r="N53" s="562"/>
    </row>
    <row r="54" spans="1:16">
      <c r="J54" s="562"/>
      <c r="K54" s="562"/>
      <c r="L54" s="562"/>
      <c r="M54" s="562"/>
      <c r="N54"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2021-11-11T12:35:50Z</dcterms:modified>
</cp:coreProperties>
</file>