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6D22BAF-5F22-42CE-9CB8-32BBC0BDDEA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8" i="22" s="1"/>
  <c r="A4" i="23"/>
  <c r="A7" i="23"/>
  <c r="A8" i="23"/>
  <c r="A9" i="23"/>
  <c r="A10" i="23"/>
  <c r="A11" i="23"/>
  <c r="A12" i="23"/>
  <c r="D10" i="22" s="1"/>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<sst xmlns="http://schemas.openxmlformats.org/spreadsheetml/2006/main" count="2472" uniqueCount="900">
  <si>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</si>
  <si>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</si>
  <si>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</si>
  <si>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</si>
  <si>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</si>
  <si>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</si>
  <si>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</si>
  <si>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</si>
  <si>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</si>
  <si>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</si>
  <si>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</si>
  <si>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</si>
  <si>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</si>
  <si>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</si>
  <si>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</si>
  <si>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</si>
  <si>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</si>
  <si>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</si>
  <si>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</si>
  <si>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</si>
  <si>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</si>
  <si>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</si>
  <si>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</si>
  <si>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</si>
  <si>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</si>
  <si>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</si>
  <si>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</si>
  <si>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</si>
  <si>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</si>
  <si>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</si>
  <si>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</si>
  <si>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</si>
  <si>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</si>
  <si>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</si>
  <si>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</si>
  <si>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</si>
  <si>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</si>
  <si>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</si>
  <si>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</si>
  <si>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</si>
  <si>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</si>
  <si>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</si>
  <si>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</si>
  <si>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</si>
  <si>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</si>
  <si>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</si>
  <si>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</si>
  <si>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</si>
  <si>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</si>
  <si>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</si>
  <si>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</si>
  <si>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</si>
  <si>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</si>
  <si>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</si>
  <si>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</si>
  <si>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</si>
  <si>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</si>
  <si>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</si>
  <si>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</si>
  <si>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</si>
  <si>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</si>
  <si>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</si>
  <si>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</si>
  <si>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</si>
  <si>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</si>
  <si>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</si>
  <si>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</si>
  <si>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</si>
  <si>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</si>
  <si>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</si>
  <si>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</si>
  <si>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</si>
  <si>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</si>
  <si>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</si>
  <si>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</si>
  <si>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</si>
  <si>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</si>
  <si>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</si>
  <si>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</si>
  <si>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</si>
  <si>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</si>
  <si>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</si>
  <si>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</si>
  <si>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</si>
  <si>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</si>
  <si>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</si>
  <si>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</si>
  <si>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</si>
  <si>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</si>
  <si>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</si>
  <si>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</si>
  <si>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</si>
  <si>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</si>
  <si>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</si>
  <si>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</si>
  <si>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</si>
  <si>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</si>
  <si>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</si>
  <si>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</si>
  <si>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</si>
  <si>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</si>
  <si>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</si>
  <si>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</si>
  <si>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</si>
  <si>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</si>
  <si>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</si>
  <si>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</si>
  <si>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</si>
  <si>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</si>
  <si>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</si>
  <si>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</si>
  <si>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</si>
  <si>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</si>
  <si>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</si>
  <si>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</si>
  <si>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</si>
  <si>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</si>
  <si>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</si>
  <si>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</si>
  <si>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</si>
  <si>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</si>
  <si>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</si>
  <si>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</si>
  <si>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</si>
  <si>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</si>
  <si>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</si>
  <si>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</si>
  <si>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</si>
  <si>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</si>
  <si>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</si>
  <si>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</si>
  <si>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</si>
  <si>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</si>
  <si>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</si>
  <si>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</si>
  <si>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</si>
  <si>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</si>
  <si>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</si>
  <si>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</si>
  <si>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</si>
  <si>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</si>
  <si>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</si>
  <si>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</si>
  <si>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</si>
  <si>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</si>
  <si>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</si>
  <si>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</si>
  <si>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</si>
  <si>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</si>
  <si>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</si>
  <si>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</si>
  <si>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</si>
  <si>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</si>
  <si>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</si>
  <si>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</si>
  <si>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</si>
  <si>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</si>
  <si>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</si>
  <si>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</si>
  <si>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</si>
  <si>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</si>
  <si>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</si>
  <si>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</si>
  <si>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</si>
  <si>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</si>
  <si>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</si>
  <si>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</si>
  <si>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</si>
  <si>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</si>
  <si>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</si>
  <si>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</si>
  <si>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</si>
  <si>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</si>
  <si>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</si>
  <si>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</si>
  <si>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</si>
  <si>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</si>
  <si>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</si>
  <si>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</si>
  <si>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</si>
  <si>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</si>
  <si>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</si>
  <si>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</si>
  <si>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</si>
  <si>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</si>
  <si>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</si>
  <si>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</si>
  <si>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</si>
  <si>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</si>
  <si>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</si>
  <si>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</si>
  <si>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</si>
  <si>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</si>
  <si>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</si>
  <si>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</si>
  <si>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</si>
  <si>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</si>
  <si>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</si>
  <si>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</si>
  <si>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</si>
  <si>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</si>
  <si>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</si>
  <si>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</si>
  <si>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</si>
  <si>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</si>
  <si>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</si>
  <si>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</si>
  <si>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</si>
  <si>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</si>
  <si>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</si>
  <si>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</si>
  <si>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</si>
  <si>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</si>
  <si>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</si>
  <si>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</si>
  <si>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</si>
  <si>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</si>
  <si>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</si>
  <si>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</si>
  <si>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</si>
  <si>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</si>
  <si>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</si>
  <si>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</si>
  <si>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</si>
  <si>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</si>
  <si>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</si>
  <si>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</si>
  <si>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</si>
  <si>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</si>
  <si>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</si>
  <si>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</si>
  <si>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</si>
  <si>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</si>
  <si>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</si>
  <si>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</si>
  <si>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</si>
  <si>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</si>
  <si>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</si>
  <si>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</si>
  <si>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</si>
  <si>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</si>
  <si>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</si>
  <si>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</si>
  <si>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</si>
  <si>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</si>
  <si>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</si>
  <si>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</si>
  <si>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</si>
  <si>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</si>
  <si>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</si>
  <si>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</si>
  <si>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</si>
  <si>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</si>
  <si>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</si>
  <si>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</si>
  <si>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</si>
  <si>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</si>
  <si>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</si>
  <si>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</si>
  <si>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</si>
  <si>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</si>
  <si>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</si>
  <si>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</si>
  <si>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</si>
  <si>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</si>
  <si>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</si>
  <si>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</si>
  <si>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</si>
  <si>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</si>
  <si>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</si>
  <si>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</si>
  <si>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</si>
  <si>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</si>
  <si>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</si>
  <si>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</si>
  <si>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</si>
  <si>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</si>
  <si>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</si>
  <si>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</si>
  <si>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</si>
  <si>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</si>
  <si>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</si>
  <si>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</si>
  <si>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</si>
  <si>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</si>
  <si>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</si>
  <si>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</si>
  <si>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</si>
  <si>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</si>
  <si>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</si>
  <si>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</si>
  <si>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</si>
  <si>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</si>
  <si>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</si>
  <si>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</si>
  <si>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</si>
  <si>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</si>
  <si>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</si>
  <si>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</si>
  <si>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</si>
  <si>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</si>
  <si>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</si>
  <si>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</si>
  <si>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</si>
  <si>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</si>
  <si>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</si>
  <si>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</si>
  <si>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</si>
  <si>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</si>
  <si>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</si>
  <si>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</si>
  <si>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</si>
  <si>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</si>
  <si>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</si>
  <si>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</si>
  <si>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</si>
  <si>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</si>
  <si>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</si>
  <si>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</si>
  <si>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</si>
  <si>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</si>
  <si>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</si>
  <si>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</si>
  <si>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</si>
  <si>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</si>
  <si>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</si>
  <si>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</si>
  <si>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</si>
  <si>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</si>
  <si>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</si>
  <si>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</si>
  <si>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</si>
  <si>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</si>
  <si>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</si>
  <si>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</si>
  <si>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</si>
  <si>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</si>
  <si>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</si>
  <si>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</si>
  <si>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</si>
  <si>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</si>
  <si>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</si>
  <si>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</si>
  <si>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</si>
  <si>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</si>
  <si>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</si>
  <si>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</si>
  <si>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</si>
  <si>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</si>
  <si>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</si>
  <si>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</si>
  <si>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</si>
  <si>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</si>
  <si>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</si>
  <si>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</si>
  <si>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</si>
  <si>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</si>
  <si>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</si>
  <si>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</si>
  <si>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</si>
  <si>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</si>
  <si>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</si>
  <si>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</si>
  <si>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</si>
  <si>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</si>
  <si>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</si>
  <si>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</si>
  <si>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</si>
  <si>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</si>
  <si>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</si>
  <si>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</si>
  <si>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</si>
  <si>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</si>
  <si>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</si>
  <si>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</si>
  <si>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</si>
  <si>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</si>
  <si>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</si>
  <si>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</si>
  <si>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</si>
  <si>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</si>
  <si>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</si>
  <si>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</si>
  <si>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</si>
  <si>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</si>
  <si>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</si>
  <si>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</si>
  <si>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</si>
  <si>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</si>
  <si>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</si>
  <si>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</si>
  <si>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</si>
  <si>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</si>
  <si>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</si>
  <si>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</si>
  <si>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</si>
  <si>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</si>
  <si>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</si>
  <si>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</si>
  <si>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</si>
  <si>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</si>
  <si>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</si>
  <si>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</si>
  <si>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</si>
  <si>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</si>
  <si>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</si>
  <si>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</si>
  <si>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</si>
  <si>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</si>
  <si>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</si>
  <si>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</si>
  <si>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</si>
  <si>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</si>
  <si>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</si>
  <si>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</si>
  <si>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</si>
  <si>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</si>
  <si>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</si>
  <si>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</si>
  <si>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</si>
  <si>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</si>
  <si>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</si>
  <si>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</si>
  <si>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</si>
  <si>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</si>
  <si>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</si>
  <si>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</si>
  <si>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</si>
  <si>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</si>
  <si>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</si>
  <si>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</si>
  <si>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</si>
  <si>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</si>
  <si>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</si>
  <si>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</si>
  <si>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</si>
  <si>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</si>
  <si>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</si>
  <si>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</si>
  <si>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</si>
  <si>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</si>
  <si>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</si>
  <si>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</si>
  <si>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</si>
  <si>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</si>
  <si>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</si>
  <si>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</si>
  <si>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</si>
  <si>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</si>
  <si>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</si>
  <si>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</si>
  <si>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</si>
  <si>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</si>
  <si>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</si>
  <si>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</si>
  <si>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</si>
  <si>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</si>
  <si>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</si>
  <si>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</si>
  <si>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</si>
  <si>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</si>
  <si>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</si>
  <si>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</si>
  <si>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</si>
  <si>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</si>
  <si>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</si>
  <si>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</si>
  <si>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</si>
  <si>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</si>
  <si>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</si>
  <si>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</si>
  <si>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</si>
  <si>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</si>
  <si>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</si>
  <si>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</si>
  <si>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</si>
  <si>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</si>
  <si>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</si>
  <si>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</si>
  <si>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</si>
  <si>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</si>
  <si>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</si>
  <si>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</si>
  <si>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</si>
  <si>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</si>
  <si>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</si>
  <si>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</si>
  <si>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</si>
  <si>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</si>
  <si>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</si>
  <si>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</si>
  <si>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</si>
  <si>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</si>
  <si>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</si>
  <si>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</si>
  <si>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</si>
  <si>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</si>
  <si>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</si>
  <si>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</si>
  <si>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</si>
  <si>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</si>
  <si>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</si>
  <si>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</si>
  <si>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</si>
  <si>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</si>
  <si>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</si>
  <si>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</si>
  <si>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</si>
  <si>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</si>
  <si>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</si>
  <si>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</si>
  <si>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</si>
  <si>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</si>
  <si>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</si>
  <si>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</si>
  <si>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</si>
  <si>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</si>
  <si>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</si>
  <si>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</si>
  <si>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</si>
  <si>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</si>
  <si>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</si>
  <si>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</si>
  <si>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</si>
  <si>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</si>
  <si>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</si>
  <si>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</si>
  <si>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</si>
  <si>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</si>
  <si>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</si>
  <si>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</si>
  <si>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</si>
  <si>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</si>
  <si>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</si>
  <si>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</si>
  <si>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</si>
  <si>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</si>
  <si>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</si>
  <si>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</si>
  <si>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</si>
  <si>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</si>
  <si>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</si>
  <si>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</si>
  <si>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</si>
  <si>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</si>
  <si>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</si>
  <si>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</si>
  <si>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</si>
  <si>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</si>
  <si>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</si>
  <si>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</si>
  <si>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</si>
  <si>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</si>
  <si>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</si>
  <si>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</si>
  <si>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</si>
  <si>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</si>
  <si>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</si>
  <si>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</si>
  <si>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</si>
  <si>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</si>
  <si>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</si>
  <si>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</si>
  <si>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</si>
  <si>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</si>
  <si>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</si>
  <si>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</si>
  <si>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</si>
  <si>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</si>
  <si>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</si>
  <si>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</si>
  <si>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</si>
  <si>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</si>
  <si>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</si>
  <si>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</si>
  <si>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</si>
  <si>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</si>
  <si>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</si>
  <si>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</si>
  <si>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</si>
  <si>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</si>
  <si>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</si>
  <si>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</si>
  <si>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</si>
  <si>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</si>
  <si>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</si>
  <si>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</si>
  <si>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</si>
  <si>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</si>
  <si>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</si>
  <si>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</si>
  <si>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</si>
  <si>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</si>
  <si>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</si>
  <si>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</si>
  <si>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</si>
  <si>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</si>
  <si>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</si>
  <si>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</si>
  <si>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</si>
  <si>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</si>
  <si>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</si>
  <si>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</si>
  <si>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</si>
  <si>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</si>
  <si>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</si>
  <si>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</si>
  <si>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</si>
  <si>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</si>
  <si>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</si>
  <si>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</si>
  <si>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</si>
  <si>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</si>
  <si>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</si>
  <si>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</si>
  <si>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</si>
  <si>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</si>
  <si>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</si>
  <si>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</si>
  <si>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</si>
  <si>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</si>
  <si>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</si>
  <si>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</si>
  <si>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</si>
  <si>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</si>
  <si>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</si>
  <si>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</si>
  <si>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</si>
  <si>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</si>
  <si>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</si>
  <si>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</si>
  <si>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</si>
  <si>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</si>
  <si>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</si>
  <si>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</si>
  <si>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</si>
  <si>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</si>
  <si>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</si>
  <si>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</si>
  <si>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</si>
  <si>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</si>
  <si>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</si>
  <si>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</si>
  <si>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</si>
  <si>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</si>
  <si>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</si>
  <si>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</si>
  <si>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</si>
  <si>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</si>
  <si>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</si>
  <si>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</si>
  <si>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</si>
  <si>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</si>
  <si>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</si>
  <si>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</si>
  <si>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</si>
  <si>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</si>
  <si>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</si>
  <si>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</si>
  <si>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</si>
  <si>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</si>
  <si>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</si>
  <si>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</si>
  <si>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</si>
  <si>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</si>
  <si>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</si>
  <si>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</si>
  <si>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</si>
  <si>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</si>
  <si>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</si>
  <si>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</si>
  <si>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</si>
  <si>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</si>
  <si>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</si>
  <si>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</si>
  <si>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</si>
  <si>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</si>
  <si>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</si>
  <si>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</si>
  <si>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</si>
  <si>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</si>
  <si>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</si>
  <si>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</si>
  <si>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</si>
  <si>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</si>
  <si>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</si>
  <si>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</si>
  <si>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</si>
  <si>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</si>
  <si>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</si>
  <si>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</si>
  <si>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</si>
  <si>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</si>
  <si>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</si>
  <si>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</si>
  <si>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</si>
  <si>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</si>
  <si>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</si>
  <si>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</si>
  <si>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</si>
  <si>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</si>
  <si>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</si>
  <si>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</si>
  <si>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</si>
  <si>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</si>
  <si>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</si>
  <si>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</si>
  <si>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</si>
  <si>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</si>
  <si>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</si>
  <si>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</si>
  <si>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</si>
  <si>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</si>
  <si>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</si>
  <si>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</si>
  <si>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</si>
  <si>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</si>
  <si>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</si>
  <si>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</si>
  <si>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</si>
  <si>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</si>
  <si>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</si>
  <si>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</si>
  <si>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</si>
  <si>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</si>
  <si>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</si>
  <si>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</si>
  <si>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</si>
  <si>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</si>
  <si>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</si>
  <si>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</si>
  <si>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</si>
  <si>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</si>
  <si>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</si>
  <si>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</si>
  <si>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</si>
  <si>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</si>
  <si>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</si>
  <si>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</si>
  <si>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</si>
  <si>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</si>
  <si>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</si>
  <si>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</si>
  <si>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</si>
  <si>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</si>
  <si>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</si>
  <si>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</si>
  <si>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</si>
  <si>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</si>
  <si>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</si>
  <si>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</si>
  <si>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</si>
  <si>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</si>
  <si>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</si>
  <si>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</si>
  <si>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</si>
  <si>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</si>
  <si>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</si>
  <si>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</si>
  <si>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</si>
  <si>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</si>
  <si>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</si>
  <si>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</si>
  <si>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</si>
  <si>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</si>
  <si>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</si>
  <si>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</si>
  <si>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</si>
  <si>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</si>
  <si>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</si>
  <si>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</si>
  <si>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</si>
  <si>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</si>
  <si>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</si>
  <si>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</si>
  <si>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</si>
  <si>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</si>
  <si>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</si>
  <si>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</si>
  <si>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</si>
  <si>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</si>
  <si>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</si>
  <si>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</si>
  <si>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</si>
  <si>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</si>
  <si>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</si>
  <si>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</si>
  <si>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</si>
  <si>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</si>
  <si>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</si>
  <si>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</si>
  <si>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</si>
  <si>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</si>
  <si>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</si>
  <si>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</si>
  <si>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</si>
  <si>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</si>
  <si>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</si>
  <si>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</si>
  <si>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</si>
  <si>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</si>
  <si>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</si>
  <si>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</si>
  <si>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</si>
  <si>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</si>
  <si>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</si>
  <si>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</si>
  <si>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</si>
  <si>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</si>
  <si>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</si>
  <si>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</si>
  <si>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</si>
  <si>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</si>
  <si>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</si>
  <si>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</si>
  <si>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</si>
  <si>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</si>
  <si>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</si>
  <si>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</si>
  <si>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</si>
  <si>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</si>
  <si>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</si>
  <si>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</si>
  <si>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</si>
  <si>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</si>
  <si>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</si>
  <si>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</si>
  <si>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</si>
  <si>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</si>
  <si>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</si>
  <si>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</si>
  <si>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</si>
  <si>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</si>
  <si>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</si>
  <si>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</si>
  <si>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</si>
  <si>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</si>
  <si>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</si>
  <si>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</si>
  <si>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</si>
  <si>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</si>
  <si>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</si>
  <si>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</si>
  <si>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</si>
  <si>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</si>
  <si>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</si>
  <si>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</si>
  <si>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</si>
  <si>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</si>
  <si>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</si>
  <si>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</si>
  <si>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</si>
  <si>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</si>
  <si>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</si>
  <si>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</si>
  <si>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</si>
  <si>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</si>
  <si>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</si>
  <si>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</si>
  <si>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</si>
  <si>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</si>
  <si>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</si>
  <si>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</si>
  <si>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</si>
  <si>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</si>
  <si>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</si>
  <si>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</si>
  <si>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</si>
  <si>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</si>
  <si>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</si>
  <si>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</si>
  <si>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</si>
  <si>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</si>
  <si>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</si>
  <si>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</si>
  <si>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</si>
  <si>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</si>
  <si>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</si>
  <si>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</si>
  <si>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</si>
  <si>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</si>
  <si>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</si>
  <si>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</si>
  <si>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</si>
  <si>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</si>
  <si>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</si>
  <si>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</si>
  <si>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</si>
  <si>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</si>
  <si>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</si>
  <si>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</si>
  <si>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</si>
  <si>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</si>
  <si>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</si>
  <si>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</si>
  <si>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</si>
  <si>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</si>
  <si>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12040</t>
  </si>
  <si>
    <t>WILLEBROEK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</si>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</sst>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513F89B-F18A-4BB7-A3AF-66476310F72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192305.01918670486</c:v>
                </c:pt>
                <c:pt idx="1">
                  <c:v>116391.41460849134</c:v>
                </c:pt>
                <c:pt idx="2">
                  <c:v>1554.2180000000001</c:v>
                </c:pt>
                <c:pt idx="3">
                  <c:v>1625.1397029748068</c:v>
                </c:pt>
                <c:pt idx="4">
                  <c:v>313082.24520591588</c:v>
                </c:pt>
                <c:pt idx="5">
                  <c:v>323828.908910745</c:v>
                </c:pt>
                <c:pt idx="6">
                  <c:v>2074.3170149694292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192305.01918670486</c:v>
                </c:pt>
                <c:pt idx="1">
                  <c:v>116391.41460849134</c:v>
                </c:pt>
                <c:pt idx="2">
                  <c:v>1554.2180000000001</c:v>
                </c:pt>
                <c:pt idx="3">
                  <c:v>1625.1397029748068</c:v>
                </c:pt>
                <c:pt idx="4">
                  <c:v>313082.24520591588</c:v>
                </c:pt>
                <c:pt idx="5">
                  <c:v>323828.908910745</c:v>
                </c:pt>
                <c:pt idx="6">
                  <c:v>2074.3170149694292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37048.425762842584</c:v>
                </c:pt>
                <c:pt idx="1">
                  <c:v>22087.687828711609</c:v>
                </c:pt>
                <c:pt idx="2">
                  <c:v>286.2658635058782</c:v>
                </c:pt>
                <c:pt idx="3">
                  <c:v>407.88400553795822</c:v>
                </c:pt>
                <c:pt idx="4">
                  <c:v>62443.784323197164</c:v>
                </c:pt>
                <c:pt idx="5">
                  <c:v>80875.605605653473</c:v>
                </c:pt>
                <c:pt idx="6">
                  <c:v>522.35995565603696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37048.425762842584</c:v>
                </c:pt>
                <c:pt idx="1">
                  <c:v>22087.687828711609</c:v>
                </c:pt>
                <c:pt idx="2">
                  <c:v>286.2658635058782</c:v>
                </c:pt>
                <c:pt idx="3">
                  <c:v>407.88400553795822</c:v>
                </c:pt>
                <c:pt idx="4">
                  <c:v>62443.784323197164</c:v>
                </c:pt>
                <c:pt idx="5">
                  <c:v>80875.605605653473</c:v>
                </c:pt>
                <c:pt idx="6">
                  <c:v>522.35995565603696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12040</v>
      </c>
      <c r="B6" s="384"/>
      <c r="C6" s="385"/>
    </row>
    <row r="7" spans="1:7" s="382" customFormat="1" ht="15.75" customHeight="1">
      <c r="A7" s="386" t="str">
        <f>txtMunicipality</f>
        <v>WILLEBROEK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60174.49547200001</v>
      </c>
      <c r="D10" s="679">
        <f ca="1">tertiair!C16</f>
        <v>0</v>
      </c>
      <c r="E10" s="679">
        <f ca="1">tertiair!D16</f>
        <v>46108.490081213997</v>
      </c>
      <c r="F10" s="679">
        <f>tertiair!E16</f>
        <v>857.30757481643445</v>
      </c>
      <c r="G10" s="679">
        <f ca="1">tertiair!F16</f>
        <v>6674.4183348785527</v>
      </c>
      <c r="H10" s="679">
        <f>tertiair!G16</f>
        <v>0</v>
      </c>
      <c r="I10" s="679">
        <f>tertiair!H16</f>
        <v>0</v>
      </c>
      <c r="J10" s="679">
        <f>tertiair!I16</f>
        <v>0</v>
      </c>
      <c r="K10" s="679">
        <f>tertiair!J16</f>
        <v>9.8122520527583718E-2</v>
      </c>
      <c r="L10" s="679">
        <f>tertiair!K16</f>
        <v>0</v>
      </c>
      <c r="M10" s="679">
        <f ca="1">tertiair!L16</f>
        <v>0</v>
      </c>
      <c r="N10" s="679">
        <f>tertiair!M16</f>
        <v>0</v>
      </c>
      <c r="O10" s="679">
        <f ca="1">tertiair!N16</f>
        <v>3863.2300707634899</v>
      </c>
      <c r="P10" s="679">
        <f>tertiair!O16</f>
        <v>4.8972607658411542</v>
      </c>
      <c r="Q10" s="680">
        <f>tertiair!P16</f>
        <v>262.69569153247511</v>
      </c>
      <c r="R10" s="682">
        <f ca="1">SUM(C10:Q10)</f>
        <v>117945.63260849133</v>
      </c>
      <c r="S10" s="67"/>
    </row>
    <row r="11" spans="1:19" s="442" customFormat="1">
      <c r="A11" s="800" t="s">
        <v>213</v>
      </c>
      <c r="B11" s="805"/>
      <c r="C11" s="679">
        <f>huishoudens!B8</f>
        <v>35194.164460987027</v>
      </c>
      <c r="D11" s="679">
        <f>huishoudens!C8</f>
        <v>0</v>
      </c>
      <c r="E11" s="679">
        <f>huishoudens!D8</f>
        <v>114230.57554260001</v>
      </c>
      <c r="F11" s="679">
        <f>huishoudens!E8</f>
        <v>1644.9805557610512</v>
      </c>
      <c r="G11" s="679">
        <f>huishoudens!F8</f>
        <v>26519.278999373328</v>
      </c>
      <c r="H11" s="679">
        <f>huishoudens!G8</f>
        <v>0</v>
      </c>
      <c r="I11" s="679">
        <f>huishoudens!H8</f>
        <v>0</v>
      </c>
      <c r="J11" s="679">
        <f>huishoudens!I8</f>
        <v>0</v>
      </c>
      <c r="K11" s="679">
        <f>huishoudens!J8</f>
        <v>105.94335041635831</v>
      </c>
      <c r="L11" s="679">
        <f>huishoudens!K8</f>
        <v>0</v>
      </c>
      <c r="M11" s="679">
        <f>huishoudens!L8</f>
        <v>0</v>
      </c>
      <c r="N11" s="679">
        <f>huishoudens!M8</f>
        <v>0</v>
      </c>
      <c r="O11" s="679">
        <f>huishoudens!N8</f>
        <v>13416.623288882231</v>
      </c>
      <c r="P11" s="679">
        <f>huishoudens!O8</f>
        <v>255.9306103009271</v>
      </c>
      <c r="Q11" s="680">
        <f>huishoudens!P8</f>
        <v>937.52237838396695</v>
      </c>
      <c r="R11" s="682">
        <f>SUM(C11:Q11)</f>
        <v>192305.01918670486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77291.461190000002</v>
      </c>
      <c r="D13" s="679">
        <f>industrie!C18</f>
        <v>0</v>
      </c>
      <c r="E13" s="679">
        <f>industrie!D18</f>
        <v>212517.76173700599</v>
      </c>
      <c r="F13" s="679">
        <f>industrie!E18</f>
        <v>4206.7203951809142</v>
      </c>
      <c r="G13" s="679">
        <f>industrie!F18</f>
        <v>15388.237948887912</v>
      </c>
      <c r="H13" s="679">
        <f>industrie!G18</f>
        <v>0</v>
      </c>
      <c r="I13" s="679">
        <f>industrie!H18</f>
        <v>0</v>
      </c>
      <c r="J13" s="679">
        <f>industrie!I18</f>
        <v>0</v>
      </c>
      <c r="K13" s="679">
        <f>industrie!J18</f>
        <v>608.9637051422136</v>
      </c>
      <c r="L13" s="679">
        <f>industrie!K18</f>
        <v>0</v>
      </c>
      <c r="M13" s="679">
        <f>industrie!L18</f>
        <v>0</v>
      </c>
      <c r="N13" s="679">
        <f>industrie!M18</f>
        <v>0</v>
      </c>
      <c r="O13" s="679">
        <f>industrie!N18</f>
        <v>3069.1002296988881</v>
      </c>
      <c r="P13" s="679">
        <f>industrie!O18</f>
        <v>0</v>
      </c>
      <c r="Q13" s="680">
        <f>industrie!P18</f>
        <v>0</v>
      </c>
      <c r="R13" s="682">
        <f>SUM(C13:Q13)</f>
        <v>313082.24520591588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172660.12112298704</v>
      </c>
      <c r="D16" s="715">
        <f t="shared" ref="D16:R16" ca="1" si="0">SUM(D9:D15)</f>
        <v>0</v>
      </c>
      <c r="E16" s="715">
        <f t="shared" ca="1" si="0"/>
        <v>372856.82736082003</v>
      </c>
      <c r="F16" s="715">
        <f t="shared" si="0"/>
        <v>6709.0085257583996</v>
      </c>
      <c r="G16" s="715">
        <f t="shared" ca="1" si="0"/>
        <v>48581.935283139799</v>
      </c>
      <c r="H16" s="715">
        <f t="shared" si="0"/>
        <v>0</v>
      </c>
      <c r="I16" s="715">
        <f t="shared" si="0"/>
        <v>0</v>
      </c>
      <c r="J16" s="715">
        <f t="shared" si="0"/>
        <v>0</v>
      </c>
      <c r="K16" s="715">
        <f t="shared" si="0"/>
        <v>715.00517807909955</v>
      </c>
      <c r="L16" s="715">
        <f t="shared" si="0"/>
        <v>0</v>
      </c>
      <c r="M16" s="715">
        <f t="shared" ca="1" si="0"/>
        <v>0</v>
      </c>
      <c r="N16" s="715">
        <f t="shared" si="0"/>
        <v>0</v>
      </c>
      <c r="O16" s="715">
        <f t="shared" ca="1" si="0"/>
        <v>20348.953589344608</v>
      </c>
      <c r="P16" s="715">
        <f t="shared" si="0"/>
        <v>260.82787106676824</v>
      </c>
      <c r="Q16" s="715">
        <f t="shared" si="0"/>
        <v>1200.2180699164421</v>
      </c>
      <c r="R16" s="715">
        <f t="shared" ca="1" si="0"/>
        <v>623332.89700111211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26.748269168258066</v>
      </c>
      <c r="D19" s="679">
        <f>transport!C54</f>
        <v>0</v>
      </c>
      <c r="E19" s="679">
        <f>transport!D54</f>
        <v>0</v>
      </c>
      <c r="F19" s="679">
        <f>transport!E54</f>
        <v>0</v>
      </c>
      <c r="G19" s="679">
        <f>transport!F54</f>
        <v>0</v>
      </c>
      <c r="H19" s="679">
        <f>transport!G54</f>
        <v>1937.9523875377938</v>
      </c>
      <c r="I19" s="679">
        <f>transport!H54</f>
        <v>0</v>
      </c>
      <c r="J19" s="679">
        <f>transport!I54</f>
        <v>0</v>
      </c>
      <c r="K19" s="679">
        <f>transport!J54</f>
        <v>0</v>
      </c>
      <c r="L19" s="679">
        <f>transport!K54</f>
        <v>0</v>
      </c>
      <c r="M19" s="679">
        <f>transport!L54</f>
        <v>0</v>
      </c>
      <c r="N19" s="679">
        <f>transport!M54</f>
        <v>109.61635826337732</v>
      </c>
      <c r="O19" s="679">
        <f>transport!N54</f>
        <v>0</v>
      </c>
      <c r="P19" s="679">
        <f>transport!O54</f>
        <v>0</v>
      </c>
      <c r="Q19" s="680">
        <f>transport!P54</f>
        <v>0</v>
      </c>
      <c r="R19" s="682">
        <f>SUM(C19:Q19)</f>
        <v>2074.3170149694292</v>
      </c>
      <c r="S19" s="67"/>
    </row>
    <row r="20" spans="1:19" s="442" customFormat="1">
      <c r="A20" s="800" t="s">
        <v>295</v>
      </c>
      <c r="B20" s="805"/>
      <c r="C20" s="679">
        <f>transport!B14</f>
        <v>269.80571115328735</v>
      </c>
      <c r="D20" s="679">
        <f>transport!C14</f>
        <v>0</v>
      </c>
      <c r="E20" s="679">
        <f>transport!D14</f>
        <v>454.95618938815369</v>
      </c>
      <c r="F20" s="679">
        <f>transport!E14</f>
        <v>411.80052707006422</v>
      </c>
      <c r="G20" s="679">
        <f>transport!F14</f>
        <v>0</v>
      </c>
      <c r="H20" s="679">
        <f>transport!G14</f>
        <v>263975.2763857572</v>
      </c>
      <c r="I20" s="679">
        <f>transport!H14</f>
        <v>40799.728474937394</v>
      </c>
      <c r="J20" s="679">
        <f>transport!I14</f>
        <v>0</v>
      </c>
      <c r="K20" s="679">
        <f>transport!J14</f>
        <v>0</v>
      </c>
      <c r="L20" s="679">
        <f>transport!K14</f>
        <v>0</v>
      </c>
      <c r="M20" s="679">
        <f>transport!L14</f>
        <v>0</v>
      </c>
      <c r="N20" s="679">
        <f>transport!M14</f>
        <v>17917.341622438918</v>
      </c>
      <c r="O20" s="679">
        <f>transport!N14</f>
        <v>0</v>
      </c>
      <c r="P20" s="679">
        <f>transport!O14</f>
        <v>0</v>
      </c>
      <c r="Q20" s="680">
        <f>transport!P14</f>
        <v>0</v>
      </c>
      <c r="R20" s="682">
        <f>SUM(C20:Q20)</f>
        <v>323828.908910745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296.5539803215454</v>
      </c>
      <c r="D22" s="803">
        <f t="shared" ref="D22:R22" si="1">SUM(D18:D21)</f>
        <v>0</v>
      </c>
      <c r="E22" s="803">
        <f t="shared" si="1"/>
        <v>454.95618938815369</v>
      </c>
      <c r="F22" s="803">
        <f t="shared" si="1"/>
        <v>411.80052707006422</v>
      </c>
      <c r="G22" s="803">
        <f t="shared" si="1"/>
        <v>0</v>
      </c>
      <c r="H22" s="803">
        <f t="shared" si="1"/>
        <v>265913.22877329501</v>
      </c>
      <c r="I22" s="803">
        <f t="shared" si="1"/>
        <v>40799.728474937394</v>
      </c>
      <c r="J22" s="803">
        <f t="shared" si="1"/>
        <v>0</v>
      </c>
      <c r="K22" s="803">
        <f t="shared" si="1"/>
        <v>0</v>
      </c>
      <c r="L22" s="803">
        <f t="shared" si="1"/>
        <v>0</v>
      </c>
      <c r="M22" s="803">
        <f t="shared" si="1"/>
        <v>0</v>
      </c>
      <c r="N22" s="803">
        <f t="shared" si="1"/>
        <v>18026.957980702296</v>
      </c>
      <c r="O22" s="803">
        <f t="shared" si="1"/>
        <v>0</v>
      </c>
      <c r="P22" s="803">
        <f t="shared" si="1"/>
        <v>0</v>
      </c>
      <c r="Q22" s="803">
        <f t="shared" si="1"/>
        <v>0</v>
      </c>
      <c r="R22" s="803">
        <f t="shared" si="1"/>
        <v>325903.22592571442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312.718008</v>
      </c>
      <c r="D24" s="679">
        <f>+landbouw!C8</f>
        <v>0</v>
      </c>
      <c r="E24" s="679">
        <f>+landbouw!D8</f>
        <v>111.32580694399999</v>
      </c>
      <c r="F24" s="679">
        <f>+landbouw!E8</f>
        <v>9.7598259080028651</v>
      </c>
      <c r="G24" s="679">
        <f>+landbouw!F8</f>
        <v>1105.1800822384246</v>
      </c>
      <c r="H24" s="679">
        <f>+landbouw!G8</f>
        <v>0</v>
      </c>
      <c r="I24" s="679">
        <f>+landbouw!H8</f>
        <v>0</v>
      </c>
      <c r="J24" s="679">
        <f>+landbouw!I8</f>
        <v>0</v>
      </c>
      <c r="K24" s="679">
        <f>+landbouw!J8</f>
        <v>86.155979884379306</v>
      </c>
      <c r="L24" s="679">
        <f>+landbouw!K8</f>
        <v>0</v>
      </c>
      <c r="M24" s="679">
        <f>+landbouw!L8</f>
        <v>0</v>
      </c>
      <c r="N24" s="679">
        <f>+landbouw!M8</f>
        <v>0</v>
      </c>
      <c r="O24" s="679">
        <f>+landbouw!N8</f>
        <v>0</v>
      </c>
      <c r="P24" s="679">
        <f>+landbouw!O8</f>
        <v>0</v>
      </c>
      <c r="Q24" s="680">
        <f>+landbouw!P8</f>
        <v>0</v>
      </c>
      <c r="R24" s="682">
        <f>SUM(C24:Q24)</f>
        <v>1625.1397029748068</v>
      </c>
      <c r="S24" s="67"/>
    </row>
    <row r="25" spans="1:19" s="442" customFormat="1" ht="15" thickBot="1">
      <c r="A25" s="822" t="s">
        <v>708</v>
      </c>
      <c r="B25" s="941"/>
      <c r="C25" s="942">
        <f>IF(Onbekend_ele_kWh="---",0,Onbekend_ele_kWh)/1000+IF(REST_rest_ele_kWh="---",0,REST_rest_ele_kWh)/1000</f>
        <v>1326.312993</v>
      </c>
      <c r="D25" s="942"/>
      <c r="E25" s="942">
        <f>IF(onbekend_gas_kWh="---",0,onbekend_gas_kWh)/1000+IF(REST_rest_gas_kWh="---",0,REST_rest_gas_kWh)/1000</f>
        <v>4192.3851869999999</v>
      </c>
      <c r="F25" s="942"/>
      <c r="G25" s="942"/>
      <c r="H25" s="942"/>
      <c r="I25" s="942"/>
      <c r="J25" s="942"/>
      <c r="K25" s="942"/>
      <c r="L25" s="942"/>
      <c r="M25" s="942"/>
      <c r="N25" s="942"/>
      <c r="O25" s="942"/>
      <c r="P25" s="942"/>
      <c r="Q25" s="943"/>
      <c r="R25" s="682">
        <f>SUM(C25:Q25)</f>
        <v>5518.6981799999994</v>
      </c>
      <c r="S25" s="67"/>
    </row>
    <row r="26" spans="1:19" s="442" customFormat="1" ht="15.75" thickBot="1">
      <c r="A26" s="687" t="s">
        <v>709</v>
      </c>
      <c r="B26" s="808"/>
      <c r="C26" s="803">
        <f>SUM(C24:C25)</f>
        <v>1639.0310010000001</v>
      </c>
      <c r="D26" s="803">
        <f t="shared" ref="D26:R26" si="2">SUM(D24:D25)</f>
        <v>0</v>
      </c>
      <c r="E26" s="803">
        <f t="shared" si="2"/>
        <v>4303.7109939439997</v>
      </c>
      <c r="F26" s="803">
        <f t="shared" si="2"/>
        <v>9.7598259080028651</v>
      </c>
      <c r="G26" s="803">
        <f t="shared" si="2"/>
        <v>1105.1800822384246</v>
      </c>
      <c r="H26" s="803">
        <f t="shared" si="2"/>
        <v>0</v>
      </c>
      <c r="I26" s="803">
        <f t="shared" si="2"/>
        <v>0</v>
      </c>
      <c r="J26" s="803">
        <f t="shared" si="2"/>
        <v>0</v>
      </c>
      <c r="K26" s="803">
        <f t="shared" si="2"/>
        <v>86.155979884379306</v>
      </c>
      <c r="L26" s="803">
        <f t="shared" si="2"/>
        <v>0</v>
      </c>
      <c r="M26" s="803">
        <f t="shared" si="2"/>
        <v>0</v>
      </c>
      <c r="N26" s="803">
        <f t="shared" si="2"/>
        <v>0</v>
      </c>
      <c r="O26" s="803">
        <f t="shared" si="2"/>
        <v>0</v>
      </c>
      <c r="P26" s="803">
        <f t="shared" si="2"/>
        <v>0</v>
      </c>
      <c r="Q26" s="803">
        <f t="shared" si="2"/>
        <v>0</v>
      </c>
      <c r="R26" s="803">
        <f t="shared" si="2"/>
        <v>7143.8378829748062</v>
      </c>
      <c r="S26" s="67"/>
    </row>
    <row r="27" spans="1:19" s="442" customFormat="1" ht="17.25" thickTop="1" thickBot="1">
      <c r="A27" s="688" t="s">
        <v>109</v>
      </c>
      <c r="B27" s="795"/>
      <c r="C27" s="689">
        <f ca="1">C22+C16+C26</f>
        <v>174595.70610430857</v>
      </c>
      <c r="D27" s="689">
        <f t="shared" ref="D27:R27" ca="1" si="3">D22+D16+D26</f>
        <v>0</v>
      </c>
      <c r="E27" s="689">
        <f t="shared" ca="1" si="3"/>
        <v>377615.49454415223</v>
      </c>
      <c r="F27" s="689">
        <f t="shared" si="3"/>
        <v>7130.568878736467</v>
      </c>
      <c r="G27" s="689">
        <f t="shared" ca="1" si="3"/>
        <v>49687.115365378224</v>
      </c>
      <c r="H27" s="689">
        <f t="shared" si="3"/>
        <v>265913.22877329501</v>
      </c>
      <c r="I27" s="689">
        <f t="shared" si="3"/>
        <v>40799.728474937394</v>
      </c>
      <c r="J27" s="689">
        <f t="shared" si="3"/>
        <v>0</v>
      </c>
      <c r="K27" s="689">
        <f t="shared" si="3"/>
        <v>801.1611579634789</v>
      </c>
      <c r="L27" s="689">
        <f t="shared" si="3"/>
        <v>0</v>
      </c>
      <c r="M27" s="689">
        <f t="shared" ca="1" si="3"/>
        <v>0</v>
      </c>
      <c r="N27" s="689">
        <f t="shared" si="3"/>
        <v>18026.957980702296</v>
      </c>
      <c r="O27" s="689">
        <f t="shared" ca="1" si="3"/>
        <v>20348.953589344608</v>
      </c>
      <c r="P27" s="689">
        <f t="shared" si="3"/>
        <v>260.82787106676824</v>
      </c>
      <c r="Q27" s="689">
        <f t="shared" si="3"/>
        <v>1200.2180699164421</v>
      </c>
      <c r="R27" s="689">
        <f t="shared" ca="1" si="3"/>
        <v>956379.96080980136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11083.325445544086</v>
      </c>
      <c r="D40" s="679">
        <f ca="1">tertiair!C20</f>
        <v>0</v>
      </c>
      <c r="E40" s="679">
        <f ca="1">tertiair!D20</f>
        <v>9313.9149964052285</v>
      </c>
      <c r="F40" s="679">
        <f>tertiair!E20</f>
        <v>194.60881948333062</v>
      </c>
      <c r="G40" s="679">
        <f ca="1">tertiair!F20</f>
        <v>1782.0696954125738</v>
      </c>
      <c r="H40" s="679">
        <f>tertiair!G20</f>
        <v>0</v>
      </c>
      <c r="I40" s="679">
        <f>tertiair!H20</f>
        <v>0</v>
      </c>
      <c r="J40" s="679">
        <f>tertiair!I20</f>
        <v>0</v>
      </c>
      <c r="K40" s="679">
        <f>tertiair!J20</f>
        <v>3.4735372266764632E-2</v>
      </c>
      <c r="L40" s="679">
        <f>tertiair!K20</f>
        <v>0</v>
      </c>
      <c r="M40" s="679">
        <f ca="1">tertiair!L20</f>
        <v>0</v>
      </c>
      <c r="N40" s="679">
        <f>tertiair!M20</f>
        <v>0</v>
      </c>
      <c r="O40" s="679">
        <f ca="1">tertiair!N20</f>
        <v>0</v>
      </c>
      <c r="P40" s="679">
        <f>tertiair!O20</f>
        <v>0</v>
      </c>
      <c r="Q40" s="762">
        <f>tertiair!P20</f>
        <v>0</v>
      </c>
      <c r="R40" s="841">
        <f t="shared" ca="1" si="4"/>
        <v>22373.953692217488</v>
      </c>
    </row>
    <row r="41" spans="1:18">
      <c r="A41" s="813" t="s">
        <v>213</v>
      </c>
      <c r="B41" s="820"/>
      <c r="C41" s="679">
        <f ca="1">huishoudens!B12</f>
        <v>6482.2874781995451</v>
      </c>
      <c r="D41" s="679">
        <f ca="1">huishoudens!C12</f>
        <v>0</v>
      </c>
      <c r="E41" s="679">
        <f>huishoudens!D12</f>
        <v>23074.576259605205</v>
      </c>
      <c r="F41" s="679">
        <f>huishoudens!E12</f>
        <v>373.41058615775864</v>
      </c>
      <c r="G41" s="679">
        <f>huishoudens!F12</f>
        <v>7080.6474928326788</v>
      </c>
      <c r="H41" s="679">
        <f>huishoudens!G12</f>
        <v>0</v>
      </c>
      <c r="I41" s="679">
        <f>huishoudens!H12</f>
        <v>0</v>
      </c>
      <c r="J41" s="679">
        <f>huishoudens!I12</f>
        <v>0</v>
      </c>
      <c r="K41" s="679">
        <f>huishoudens!J12</f>
        <v>37.503946047390841</v>
      </c>
      <c r="L41" s="679">
        <f>huishoudens!K12</f>
        <v>0</v>
      </c>
      <c r="M41" s="679">
        <f>huishoudens!L12</f>
        <v>0</v>
      </c>
      <c r="N41" s="679">
        <f>huishoudens!M12</f>
        <v>0</v>
      </c>
      <c r="O41" s="679">
        <f>huishoudens!N12</f>
        <v>0</v>
      </c>
      <c r="P41" s="679">
        <f>huishoudens!O12</f>
        <v>0</v>
      </c>
      <c r="Q41" s="762">
        <f>huishoudens!P12</f>
        <v>0</v>
      </c>
      <c r="R41" s="841">
        <f t="shared" ca="1" si="4"/>
        <v>37048.425762842584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14236.03823864247</v>
      </c>
      <c r="D43" s="679">
        <f ca="1">industrie!C22</f>
        <v>0</v>
      </c>
      <c r="E43" s="679">
        <f>industrie!D22</f>
        <v>42928.587870875213</v>
      </c>
      <c r="F43" s="679">
        <f>industrie!E22</f>
        <v>954.92552970606755</v>
      </c>
      <c r="G43" s="679">
        <f>industrie!F22</f>
        <v>4108.6595323530728</v>
      </c>
      <c r="H43" s="679">
        <f>industrie!G22</f>
        <v>0</v>
      </c>
      <c r="I43" s="679">
        <f>industrie!H22</f>
        <v>0</v>
      </c>
      <c r="J43" s="679">
        <f>industrie!I22</f>
        <v>0</v>
      </c>
      <c r="K43" s="679">
        <f>industrie!J22</f>
        <v>215.57315162034359</v>
      </c>
      <c r="L43" s="679">
        <f>industrie!K22</f>
        <v>0</v>
      </c>
      <c r="M43" s="679">
        <f>industrie!L22</f>
        <v>0</v>
      </c>
      <c r="N43" s="679">
        <f>industrie!M22</f>
        <v>0</v>
      </c>
      <c r="O43" s="679">
        <f>industrie!N22</f>
        <v>0</v>
      </c>
      <c r="P43" s="679">
        <f>industrie!O22</f>
        <v>0</v>
      </c>
      <c r="Q43" s="762">
        <f>industrie!P22</f>
        <v>0</v>
      </c>
      <c r="R43" s="840">
        <f t="shared" ca="1" si="4"/>
        <v>62443.784323197164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31801.651162386101</v>
      </c>
      <c r="D46" s="715">
        <f t="shared" ref="D46:Q46" ca="1" si="5">SUM(D39:D45)</f>
        <v>0</v>
      </c>
      <c r="E46" s="715">
        <f t="shared" ca="1" si="5"/>
        <v>75317.079126885656</v>
      </c>
      <c r="F46" s="715">
        <f t="shared" si="5"/>
        <v>1522.9449353471568</v>
      </c>
      <c r="G46" s="715">
        <f t="shared" ca="1" si="5"/>
        <v>12971.376720598326</v>
      </c>
      <c r="H46" s="715">
        <f t="shared" si="5"/>
        <v>0</v>
      </c>
      <c r="I46" s="715">
        <f t="shared" si="5"/>
        <v>0</v>
      </c>
      <c r="J46" s="715">
        <f t="shared" si="5"/>
        <v>0</v>
      </c>
      <c r="K46" s="715">
        <f t="shared" si="5"/>
        <v>253.11183304000122</v>
      </c>
      <c r="L46" s="715">
        <f t="shared" si="5"/>
        <v>0</v>
      </c>
      <c r="M46" s="715">
        <f t="shared" ca="1" si="5"/>
        <v>0</v>
      </c>
      <c r="N46" s="715">
        <f t="shared" si="5"/>
        <v>0</v>
      </c>
      <c r="O46" s="715">
        <f t="shared" ca="1" si="5"/>
        <v>0</v>
      </c>
      <c r="P46" s="715">
        <f t="shared" si="5"/>
        <v>0</v>
      </c>
      <c r="Q46" s="715">
        <f t="shared" si="5"/>
        <v>0</v>
      </c>
      <c r="R46" s="715">
        <f ca="1">SUM(R39:R45)</f>
        <v>121866.16377825724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4.9266681834459858</v>
      </c>
      <c r="D49" s="679">
        <f ca="1">transport!C58</f>
        <v>0</v>
      </c>
      <c r="E49" s="679">
        <f>transport!D58</f>
        <v>0</v>
      </c>
      <c r="F49" s="679">
        <f>transport!E58</f>
        <v>0</v>
      </c>
      <c r="G49" s="679">
        <f>transport!F58</f>
        <v>0</v>
      </c>
      <c r="H49" s="679">
        <f>transport!G58</f>
        <v>517.43328747259102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522.35995565603696</v>
      </c>
    </row>
    <row r="50" spans="1:18">
      <c r="A50" s="816" t="s">
        <v>295</v>
      </c>
      <c r="B50" s="826"/>
      <c r="C50" s="685">
        <f ca="1">transport!B18</f>
        <v>49.69455049556327</v>
      </c>
      <c r="D50" s="685">
        <f>transport!C18</f>
        <v>0</v>
      </c>
      <c r="E50" s="685">
        <f>transport!D18</f>
        <v>91.90115025640705</v>
      </c>
      <c r="F50" s="685">
        <f>transport!E18</f>
        <v>93.478719644904587</v>
      </c>
      <c r="G50" s="685">
        <f>transport!F18</f>
        <v>0</v>
      </c>
      <c r="H50" s="685">
        <f>transport!G18</f>
        <v>70481.398794997178</v>
      </c>
      <c r="I50" s="685">
        <f>transport!H18</f>
        <v>10159.13239025941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80875.605605653473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54.621218679009253</v>
      </c>
      <c r="D52" s="715">
        <f t="shared" ref="D52:Q52" ca="1" si="6">SUM(D48:D51)</f>
        <v>0</v>
      </c>
      <c r="E52" s="715">
        <f t="shared" si="6"/>
        <v>91.90115025640705</v>
      </c>
      <c r="F52" s="715">
        <f t="shared" si="6"/>
        <v>93.478719644904587</v>
      </c>
      <c r="G52" s="715">
        <f t="shared" si="6"/>
        <v>0</v>
      </c>
      <c r="H52" s="715">
        <f t="shared" si="6"/>
        <v>70998.832082469773</v>
      </c>
      <c r="I52" s="715">
        <f t="shared" si="6"/>
        <v>10159.13239025941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81397.965561309509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57.598413217423889</v>
      </c>
      <c r="D54" s="685">
        <f ca="1">+landbouw!C12</f>
        <v>0</v>
      </c>
      <c r="E54" s="685">
        <f>+landbouw!D12</f>
        <v>22.487813002688</v>
      </c>
      <c r="F54" s="685">
        <f>+landbouw!E12</f>
        <v>2.2154804811166504</v>
      </c>
      <c r="G54" s="685">
        <f>+landbouw!F12</f>
        <v>295.08308195765937</v>
      </c>
      <c r="H54" s="685">
        <f>+landbouw!G12</f>
        <v>0</v>
      </c>
      <c r="I54" s="685">
        <f>+landbouw!H12</f>
        <v>0</v>
      </c>
      <c r="J54" s="685">
        <f>+landbouw!I12</f>
        <v>0</v>
      </c>
      <c r="K54" s="685">
        <f>+landbouw!J12</f>
        <v>30.499216879070271</v>
      </c>
      <c r="L54" s="685">
        <f>+landbouw!K12</f>
        <v>0</v>
      </c>
      <c r="M54" s="685">
        <f>+landbouw!L12</f>
        <v>0</v>
      </c>
      <c r="N54" s="685">
        <f>+landbouw!M12</f>
        <v>0</v>
      </c>
      <c r="O54" s="685">
        <f>+landbouw!N12</f>
        <v>0</v>
      </c>
      <c r="P54" s="685">
        <f>+landbouw!O12</f>
        <v>0</v>
      </c>
      <c r="Q54" s="686">
        <f>+landbouw!P12</f>
        <v>0</v>
      </c>
      <c r="R54" s="714">
        <f ca="1">SUM(C54:Q54)</f>
        <v>407.88400553795822</v>
      </c>
    </row>
    <row r="55" spans="1:18" ht="15" thickBot="1">
      <c r="A55" s="816" t="s">
        <v>708</v>
      </c>
      <c r="B55" s="826"/>
      <c r="C55" s="685">
        <f ca="1">C25*'EF ele_warmte'!B12</f>
        <v>244.28885408624194</v>
      </c>
      <c r="D55" s="685"/>
      <c r="E55" s="685">
        <f>E25*EF_CO2_aardgas</f>
        <v>846.861807774</v>
      </c>
      <c r="F55" s="685"/>
      <c r="G55" s="685"/>
      <c r="H55" s="685"/>
      <c r="I55" s="685"/>
      <c r="J55" s="685"/>
      <c r="K55" s="685"/>
      <c r="L55" s="685"/>
      <c r="M55" s="685"/>
      <c r="N55" s="685"/>
      <c r="O55" s="685"/>
      <c r="P55" s="685"/>
      <c r="Q55" s="686"/>
      <c r="R55" s="714">
        <f ca="1">SUM(C55:Q55)</f>
        <v>1091.1506618602421</v>
      </c>
    </row>
    <row r="56" spans="1:18" ht="15.75" thickBot="1">
      <c r="A56" s="814" t="s">
        <v>709</v>
      </c>
      <c r="B56" s="827"/>
      <c r="C56" s="715">
        <f ca="1">SUM(C54:C55)</f>
        <v>301.88726730366585</v>
      </c>
      <c r="D56" s="715">
        <f t="shared" ref="D56:Q56" ca="1" si="7">SUM(D54:D55)</f>
        <v>0</v>
      </c>
      <c r="E56" s="715">
        <f t="shared" si="7"/>
        <v>869.34962077668797</v>
      </c>
      <c r="F56" s="715">
        <f t="shared" si="7"/>
        <v>2.2154804811166504</v>
      </c>
      <c r="G56" s="715">
        <f t="shared" si="7"/>
        <v>295.08308195765937</v>
      </c>
      <c r="H56" s="715">
        <f t="shared" si="7"/>
        <v>0</v>
      </c>
      <c r="I56" s="715">
        <f t="shared" si="7"/>
        <v>0</v>
      </c>
      <c r="J56" s="715">
        <f t="shared" si="7"/>
        <v>0</v>
      </c>
      <c r="K56" s="715">
        <f t="shared" si="7"/>
        <v>30.499216879070271</v>
      </c>
      <c r="L56" s="715">
        <f t="shared" si="7"/>
        <v>0</v>
      </c>
      <c r="M56" s="715">
        <f t="shared" si="7"/>
        <v>0</v>
      </c>
      <c r="N56" s="715">
        <f t="shared" si="7"/>
        <v>0</v>
      </c>
      <c r="O56" s="715">
        <f t="shared" si="7"/>
        <v>0</v>
      </c>
      <c r="P56" s="715">
        <f t="shared" si="7"/>
        <v>0</v>
      </c>
      <c r="Q56" s="716">
        <f t="shared" si="7"/>
        <v>0</v>
      </c>
      <c r="R56" s="717">
        <f ca="1">SUM(R54:R55)</f>
        <v>1499.0346673982003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32158.159648368779</v>
      </c>
      <c r="D61" s="723">
        <f t="shared" ref="D61:Q61" ca="1" si="8">D46+D52+D56</f>
        <v>0</v>
      </c>
      <c r="E61" s="723">
        <f t="shared" ca="1" si="8"/>
        <v>76278.329897918753</v>
      </c>
      <c r="F61" s="723">
        <f t="shared" si="8"/>
        <v>1618.6391354731782</v>
      </c>
      <c r="G61" s="723">
        <f t="shared" ca="1" si="8"/>
        <v>13266.459802555984</v>
      </c>
      <c r="H61" s="723">
        <f t="shared" si="8"/>
        <v>70998.832082469773</v>
      </c>
      <c r="I61" s="723">
        <f t="shared" si="8"/>
        <v>10159.13239025941</v>
      </c>
      <c r="J61" s="723">
        <f t="shared" si="8"/>
        <v>0</v>
      </c>
      <c r="K61" s="723">
        <f t="shared" si="8"/>
        <v>283.61104991907149</v>
      </c>
      <c r="L61" s="723">
        <f t="shared" si="8"/>
        <v>0</v>
      </c>
      <c r="M61" s="723">
        <f t="shared" ca="1" si="8"/>
        <v>0</v>
      </c>
      <c r="N61" s="723">
        <f t="shared" si="8"/>
        <v>0</v>
      </c>
      <c r="O61" s="723">
        <f t="shared" ca="1" si="8"/>
        <v>0</v>
      </c>
      <c r="P61" s="723">
        <f t="shared" si="8"/>
        <v>0</v>
      </c>
      <c r="Q61" s="723">
        <f t="shared" si="8"/>
        <v>0</v>
      </c>
      <c r="R61" s="723">
        <f ca="1">R46+R52+R56</f>
        <v>204763.16400696494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0.18418642912762445</v>
      </c>
      <c r="D63" s="769">
        <f t="shared" ca="1" si="9"/>
        <v>0</v>
      </c>
      <c r="E63" s="967">
        <f t="shared" ca="1" si="9"/>
        <v>0.20200000000000001</v>
      </c>
      <c r="F63" s="769">
        <f t="shared" si="9"/>
        <v>0.22700000000000001</v>
      </c>
      <c r="G63" s="769">
        <f t="shared" ca="1" si="9"/>
        <v>0.26699999999999996</v>
      </c>
      <c r="H63" s="769">
        <f t="shared" si="9"/>
        <v>0.26700000000000002</v>
      </c>
      <c r="I63" s="769">
        <f t="shared" si="9"/>
        <v>0.24899999999999997</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13266.609905342551</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15817.061590962518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29083.671496305069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35194.164460987027</v>
      </c>
      <c r="C4" s="446">
        <f>huishoudens!C8</f>
        <v>0</v>
      </c>
      <c r="D4" s="446">
        <f>huishoudens!D8</f>
        <v>114230.57554260001</v>
      </c>
      <c r="E4" s="446">
        <f>huishoudens!E8</f>
        <v>1644.9805557610512</v>
      </c>
      <c r="F4" s="446">
        <f>huishoudens!F8</f>
        <v>26519.278999373328</v>
      </c>
      <c r="G4" s="446">
        <f>huishoudens!G8</f>
        <v>0</v>
      </c>
      <c r="H4" s="446">
        <f>huishoudens!H8</f>
        <v>0</v>
      </c>
      <c r="I4" s="446">
        <f>huishoudens!I8</f>
        <v>0</v>
      </c>
      <c r="J4" s="446">
        <f>huishoudens!J8</f>
        <v>105.94335041635831</v>
      </c>
      <c r="K4" s="446">
        <f>huishoudens!K8</f>
        <v>0</v>
      </c>
      <c r="L4" s="446">
        <f>huishoudens!L8</f>
        <v>0</v>
      </c>
      <c r="M4" s="446">
        <f>huishoudens!M8</f>
        <v>0</v>
      </c>
      <c r="N4" s="446">
        <f>huishoudens!N8</f>
        <v>13416.623288882231</v>
      </c>
      <c r="O4" s="446">
        <f>huishoudens!O8</f>
        <v>255.9306103009271</v>
      </c>
      <c r="P4" s="447">
        <f>huishoudens!P8</f>
        <v>937.52237838396695</v>
      </c>
      <c r="Q4" s="448">
        <f>SUM(B4:P4)</f>
        <v>192305.01918670486</v>
      </c>
    </row>
    <row r="5" spans="1:17">
      <c r="A5" s="445" t="s">
        <v>149</v>
      </c>
      <c r="B5" s="446">
        <f ca="1">tertiair!B16</f>
        <v>58620.277472000009</v>
      </c>
      <c r="C5" s="446">
        <f ca="1">tertiair!C16</f>
        <v>0</v>
      </c>
      <c r="D5" s="446">
        <f ca="1">tertiair!D16</f>
        <v>46108.490081213997</v>
      </c>
      <c r="E5" s="446">
        <f>tertiair!E16</f>
        <v>857.30757481643445</v>
      </c>
      <c r="F5" s="446">
        <f ca="1">tertiair!F16</f>
        <v>6674.4183348785527</v>
      </c>
      <c r="G5" s="446">
        <f>tertiair!G16</f>
        <v>0</v>
      </c>
      <c r="H5" s="446">
        <f>tertiair!H16</f>
        <v>0</v>
      </c>
      <c r="I5" s="446">
        <f>tertiair!I16</f>
        <v>0</v>
      </c>
      <c r="J5" s="446">
        <f>tertiair!J16</f>
        <v>9.8122520527583718E-2</v>
      </c>
      <c r="K5" s="446">
        <f>tertiair!K16</f>
        <v>0</v>
      </c>
      <c r="L5" s="446">
        <f ca="1">tertiair!L16</f>
        <v>0</v>
      </c>
      <c r="M5" s="446">
        <f>tertiair!M16</f>
        <v>0</v>
      </c>
      <c r="N5" s="446">
        <f ca="1">tertiair!N16</f>
        <v>3863.2300707634899</v>
      </c>
      <c r="O5" s="446">
        <f>tertiair!O16</f>
        <v>4.8972607658411542</v>
      </c>
      <c r="P5" s="447">
        <f>tertiair!P16</f>
        <v>262.69569153247511</v>
      </c>
      <c r="Q5" s="445">
        <f t="shared" ref="Q5:Q14" ca="1" si="0">SUM(B5:P5)</f>
        <v>116391.41460849134</v>
      </c>
    </row>
    <row r="6" spans="1:17">
      <c r="A6" s="445" t="s">
        <v>187</v>
      </c>
      <c r="B6" s="446">
        <f>'openbare verlichting'!B8</f>
        <v>1554.2180000000001</v>
      </c>
      <c r="C6" s="446"/>
      <c r="D6" s="446"/>
      <c r="E6" s="446"/>
      <c r="F6" s="446"/>
      <c r="G6" s="446"/>
      <c r="H6" s="446"/>
      <c r="I6" s="446"/>
      <c r="J6" s="446"/>
      <c r="K6" s="446"/>
      <c r="L6" s="446"/>
      <c r="M6" s="446"/>
      <c r="N6" s="446"/>
      <c r="O6" s="446"/>
      <c r="P6" s="447"/>
      <c r="Q6" s="445">
        <f t="shared" si="0"/>
        <v>1554.2180000000001</v>
      </c>
    </row>
    <row r="7" spans="1:17">
      <c r="A7" s="445" t="s">
        <v>105</v>
      </c>
      <c r="B7" s="446">
        <f>landbouw!B8</f>
        <v>312.718008</v>
      </c>
      <c r="C7" s="446">
        <f>landbouw!C8</f>
        <v>0</v>
      </c>
      <c r="D7" s="446">
        <f>landbouw!D8</f>
        <v>111.32580694399999</v>
      </c>
      <c r="E7" s="446">
        <f>landbouw!E8</f>
        <v>9.7598259080028651</v>
      </c>
      <c r="F7" s="446">
        <f>landbouw!F8</f>
        <v>1105.1800822384246</v>
      </c>
      <c r="G7" s="446">
        <f>landbouw!G8</f>
        <v>0</v>
      </c>
      <c r="H7" s="446">
        <f>landbouw!H8</f>
        <v>0</v>
      </c>
      <c r="I7" s="446">
        <f>landbouw!I8</f>
        <v>0</v>
      </c>
      <c r="J7" s="446">
        <f>landbouw!J8</f>
        <v>86.155979884379306</v>
      </c>
      <c r="K7" s="446">
        <f>landbouw!K8</f>
        <v>0</v>
      </c>
      <c r="L7" s="446">
        <f>landbouw!L8</f>
        <v>0</v>
      </c>
      <c r="M7" s="446">
        <f>landbouw!M8</f>
        <v>0</v>
      </c>
      <c r="N7" s="446">
        <f>landbouw!N8</f>
        <v>0</v>
      </c>
      <c r="O7" s="446">
        <f>landbouw!O8</f>
        <v>0</v>
      </c>
      <c r="P7" s="447">
        <f>landbouw!P8</f>
        <v>0</v>
      </c>
      <c r="Q7" s="445">
        <f t="shared" si="0"/>
        <v>1625.1397029748068</v>
      </c>
    </row>
    <row r="8" spans="1:17">
      <c r="A8" s="445" t="s">
        <v>612</v>
      </c>
      <c r="B8" s="446">
        <f>industrie!B18</f>
        <v>77291.461190000002</v>
      </c>
      <c r="C8" s="446">
        <f>industrie!C18</f>
        <v>0</v>
      </c>
      <c r="D8" s="446">
        <f>industrie!D18</f>
        <v>212517.76173700599</v>
      </c>
      <c r="E8" s="446">
        <f>industrie!E18</f>
        <v>4206.7203951809142</v>
      </c>
      <c r="F8" s="446">
        <f>industrie!F18</f>
        <v>15388.237948887912</v>
      </c>
      <c r="G8" s="446">
        <f>industrie!G18</f>
        <v>0</v>
      </c>
      <c r="H8" s="446">
        <f>industrie!H18</f>
        <v>0</v>
      </c>
      <c r="I8" s="446">
        <f>industrie!I18</f>
        <v>0</v>
      </c>
      <c r="J8" s="446">
        <f>industrie!J18</f>
        <v>608.9637051422136</v>
      </c>
      <c r="K8" s="446">
        <f>industrie!K18</f>
        <v>0</v>
      </c>
      <c r="L8" s="446">
        <f>industrie!L18</f>
        <v>0</v>
      </c>
      <c r="M8" s="446">
        <f>industrie!M18</f>
        <v>0</v>
      </c>
      <c r="N8" s="446">
        <f>industrie!N18</f>
        <v>3069.1002296988881</v>
      </c>
      <c r="O8" s="446">
        <f>industrie!O18</f>
        <v>0</v>
      </c>
      <c r="P8" s="447">
        <f>industrie!P18</f>
        <v>0</v>
      </c>
      <c r="Q8" s="445">
        <f t="shared" si="0"/>
        <v>313082.24520591588</v>
      </c>
    </row>
    <row r="9" spans="1:17" s="451" customFormat="1">
      <c r="A9" s="449" t="s">
        <v>538</v>
      </c>
      <c r="B9" s="450">
        <f>transport!B14</f>
        <v>269.80571115328735</v>
      </c>
      <c r="C9" s="450">
        <f>transport!C14</f>
        <v>0</v>
      </c>
      <c r="D9" s="450">
        <f>transport!D14</f>
        <v>454.95618938815369</v>
      </c>
      <c r="E9" s="450">
        <f>transport!E14</f>
        <v>411.80052707006422</v>
      </c>
      <c r="F9" s="450">
        <f>transport!F14</f>
        <v>0</v>
      </c>
      <c r="G9" s="450">
        <f>transport!G14</f>
        <v>263975.2763857572</v>
      </c>
      <c r="H9" s="450">
        <f>transport!H14</f>
        <v>40799.728474937394</v>
      </c>
      <c r="I9" s="450">
        <f>transport!I14</f>
        <v>0</v>
      </c>
      <c r="J9" s="450">
        <f>transport!J14</f>
        <v>0</v>
      </c>
      <c r="K9" s="450">
        <f>transport!K14</f>
        <v>0</v>
      </c>
      <c r="L9" s="450">
        <f>transport!L14</f>
        <v>0</v>
      </c>
      <c r="M9" s="450">
        <f>transport!M14</f>
        <v>17917.341622438918</v>
      </c>
      <c r="N9" s="450">
        <f>transport!N14</f>
        <v>0</v>
      </c>
      <c r="O9" s="450">
        <f>transport!O14</f>
        <v>0</v>
      </c>
      <c r="P9" s="450">
        <f>transport!P14</f>
        <v>0</v>
      </c>
      <c r="Q9" s="449">
        <f>SUM(B9:P9)</f>
        <v>323828.908910745</v>
      </c>
    </row>
    <row r="10" spans="1:17">
      <c r="A10" s="445" t="s">
        <v>528</v>
      </c>
      <c r="B10" s="446">
        <f>transport!B54</f>
        <v>26.748269168258066</v>
      </c>
      <c r="C10" s="446">
        <f>transport!C54</f>
        <v>0</v>
      </c>
      <c r="D10" s="446">
        <f>transport!D54</f>
        <v>0</v>
      </c>
      <c r="E10" s="446">
        <f>transport!E54</f>
        <v>0</v>
      </c>
      <c r="F10" s="446">
        <f>transport!F54</f>
        <v>0</v>
      </c>
      <c r="G10" s="446">
        <f>transport!G54</f>
        <v>1937.9523875377938</v>
      </c>
      <c r="H10" s="446">
        <f>transport!H54</f>
        <v>0</v>
      </c>
      <c r="I10" s="446">
        <f>transport!I54</f>
        <v>0</v>
      </c>
      <c r="J10" s="446">
        <f>transport!J54</f>
        <v>0</v>
      </c>
      <c r="K10" s="446">
        <f>transport!K54</f>
        <v>0</v>
      </c>
      <c r="L10" s="446">
        <f>transport!L54</f>
        <v>0</v>
      </c>
      <c r="M10" s="446">
        <f>transport!M54</f>
        <v>109.61635826337732</v>
      </c>
      <c r="N10" s="446">
        <f>transport!N54</f>
        <v>0</v>
      </c>
      <c r="O10" s="446">
        <f>transport!O54</f>
        <v>0</v>
      </c>
      <c r="P10" s="447">
        <f>transport!P54</f>
        <v>0</v>
      </c>
      <c r="Q10" s="445">
        <f t="shared" si="0"/>
        <v>2074.3170149694292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1326.312993</v>
      </c>
      <c r="C14" s="453"/>
      <c r="D14" s="453">
        <f>'SEAP template'!E25</f>
        <v>4192.3851869999999</v>
      </c>
      <c r="E14" s="453"/>
      <c r="F14" s="453"/>
      <c r="G14" s="453"/>
      <c r="H14" s="453"/>
      <c r="I14" s="453"/>
      <c r="J14" s="453"/>
      <c r="K14" s="453"/>
      <c r="L14" s="453"/>
      <c r="M14" s="453"/>
      <c r="N14" s="453"/>
      <c r="O14" s="453"/>
      <c r="P14" s="454"/>
      <c r="Q14" s="445">
        <f t="shared" si="0"/>
        <v>5518.6981799999994</v>
      </c>
    </row>
    <row r="15" spans="1:17" s="457" customFormat="1">
      <c r="A15" s="455" t="s">
        <v>532</v>
      </c>
      <c r="B15" s="456">
        <f ca="1">SUM(B4:B14)</f>
        <v>174595.70610430857</v>
      </c>
      <c r="C15" s="456">
        <f t="shared" ref="C15:Q15" ca="1" si="1">SUM(C4:C14)</f>
        <v>0</v>
      </c>
      <c r="D15" s="456">
        <f t="shared" ca="1" si="1"/>
        <v>377615.49454415211</v>
      </c>
      <c r="E15" s="456">
        <f t="shared" si="1"/>
        <v>7130.5688787364661</v>
      </c>
      <c r="F15" s="456">
        <f t="shared" ca="1" si="1"/>
        <v>49687.115365378224</v>
      </c>
      <c r="G15" s="456">
        <f t="shared" si="1"/>
        <v>265913.22877329501</v>
      </c>
      <c r="H15" s="456">
        <f t="shared" si="1"/>
        <v>40799.728474937394</v>
      </c>
      <c r="I15" s="456">
        <f t="shared" si="1"/>
        <v>0</v>
      </c>
      <c r="J15" s="456">
        <f t="shared" si="1"/>
        <v>801.16115796347879</v>
      </c>
      <c r="K15" s="456">
        <f t="shared" si="1"/>
        <v>0</v>
      </c>
      <c r="L15" s="456">
        <f t="shared" ca="1" si="1"/>
        <v>0</v>
      </c>
      <c r="M15" s="456">
        <f t="shared" si="1"/>
        <v>18026.957980702296</v>
      </c>
      <c r="N15" s="456">
        <f t="shared" ca="1" si="1"/>
        <v>20348.953589344608</v>
      </c>
      <c r="O15" s="456">
        <f t="shared" si="1"/>
        <v>260.82787106676824</v>
      </c>
      <c r="P15" s="456">
        <f t="shared" si="1"/>
        <v>1200.2180699164421</v>
      </c>
      <c r="Q15" s="456">
        <f t="shared" ca="1" si="1"/>
        <v>956379.96080980136</v>
      </c>
    </row>
    <row r="17" spans="1:17">
      <c r="A17" s="458" t="s">
        <v>533</v>
      </c>
      <c r="B17" s="774">
        <f ca="1">huishoudens!B10</f>
        <v>0.18418642912762442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6482.2874781995451</v>
      </c>
      <c r="C22" s="446">
        <f t="shared" ref="C22:C32" ca="1" si="3">C4*$C$17</f>
        <v>0</v>
      </c>
      <c r="D22" s="446">
        <f t="shared" ref="D22:D32" si="4">D4*$D$17</f>
        <v>23074.576259605205</v>
      </c>
      <c r="E22" s="446">
        <f t="shared" ref="E22:E32" si="5">E4*$E$17</f>
        <v>373.41058615775864</v>
      </c>
      <c r="F22" s="446">
        <f t="shared" ref="F22:F32" si="6">F4*$F$17</f>
        <v>7080.6474928326788</v>
      </c>
      <c r="G22" s="446">
        <f t="shared" ref="G22:G32" si="7">G4*$G$17</f>
        <v>0</v>
      </c>
      <c r="H22" s="446">
        <f t="shared" ref="H22:H32" si="8">H4*$H$17</f>
        <v>0</v>
      </c>
      <c r="I22" s="446">
        <f t="shared" ref="I22:I32" si="9">I4*$I$17</f>
        <v>0</v>
      </c>
      <c r="J22" s="446">
        <f t="shared" ref="J22:J32" si="10">J4*$J$17</f>
        <v>37.503946047390841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37048.425762842584</v>
      </c>
    </row>
    <row r="23" spans="1:17">
      <c r="A23" s="445" t="s">
        <v>149</v>
      </c>
      <c r="B23" s="446">
        <f t="shared" ca="1" si="2"/>
        <v>10797.059582038208</v>
      </c>
      <c r="C23" s="446">
        <f t="shared" ca="1" si="3"/>
        <v>0</v>
      </c>
      <c r="D23" s="446">
        <f t="shared" ca="1" si="4"/>
        <v>9313.9149964052285</v>
      </c>
      <c r="E23" s="446">
        <f t="shared" si="5"/>
        <v>194.60881948333062</v>
      </c>
      <c r="F23" s="446">
        <f t="shared" ca="1" si="6"/>
        <v>1782.0696954125738</v>
      </c>
      <c r="G23" s="446">
        <f t="shared" si="7"/>
        <v>0</v>
      </c>
      <c r="H23" s="446">
        <f t="shared" si="8"/>
        <v>0</v>
      </c>
      <c r="I23" s="446">
        <f t="shared" si="9"/>
        <v>0</v>
      </c>
      <c r="J23" s="446">
        <f t="shared" si="10"/>
        <v>3.4735372266764632E-2</v>
      </c>
      <c r="K23" s="446">
        <f t="shared" si="11"/>
        <v>0</v>
      </c>
      <c r="L23" s="446">
        <f t="shared" ca="1" si="12"/>
        <v>0</v>
      </c>
      <c r="M23" s="446">
        <f t="shared" si="13"/>
        <v>0</v>
      </c>
      <c r="N23" s="446">
        <f t="shared" ca="1" si="14"/>
        <v>0</v>
      </c>
      <c r="O23" s="446">
        <f t="shared" si="15"/>
        <v>0</v>
      </c>
      <c r="P23" s="447">
        <f t="shared" si="16"/>
        <v>0</v>
      </c>
      <c r="Q23" s="445">
        <f t="shared" ref="Q23:Q31" ca="1" si="17">SUM(B23:P23)</f>
        <v>22087.687828711609</v>
      </c>
    </row>
    <row r="24" spans="1:17">
      <c r="A24" s="445" t="s">
        <v>187</v>
      </c>
      <c r="B24" s="446">
        <f t="shared" ca="1" si="2"/>
        <v>286.2658635058782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286.2658635058782</v>
      </c>
    </row>
    <row r="25" spans="1:17">
      <c r="A25" s="445" t="s">
        <v>105</v>
      </c>
      <c r="B25" s="446">
        <f t="shared" ca="1" si="2"/>
        <v>57.598413217423889</v>
      </c>
      <c r="C25" s="446">
        <f t="shared" ca="1" si="3"/>
        <v>0</v>
      </c>
      <c r="D25" s="446">
        <f t="shared" si="4"/>
        <v>22.487813002688</v>
      </c>
      <c r="E25" s="446">
        <f t="shared" si="5"/>
        <v>2.2154804811166504</v>
      </c>
      <c r="F25" s="446">
        <f t="shared" si="6"/>
        <v>295.08308195765937</v>
      </c>
      <c r="G25" s="446">
        <f t="shared" si="7"/>
        <v>0</v>
      </c>
      <c r="H25" s="446">
        <f t="shared" si="8"/>
        <v>0</v>
      </c>
      <c r="I25" s="446">
        <f t="shared" si="9"/>
        <v>0</v>
      </c>
      <c r="J25" s="446">
        <f t="shared" si="10"/>
        <v>30.499216879070271</v>
      </c>
      <c r="K25" s="446">
        <f t="shared" si="11"/>
        <v>0</v>
      </c>
      <c r="L25" s="446">
        <f t="shared" si="12"/>
        <v>0</v>
      </c>
      <c r="M25" s="446">
        <f t="shared" si="13"/>
        <v>0</v>
      </c>
      <c r="N25" s="446">
        <f t="shared" si="14"/>
        <v>0</v>
      </c>
      <c r="O25" s="446">
        <f t="shared" si="15"/>
        <v>0</v>
      </c>
      <c r="P25" s="447">
        <f t="shared" si="16"/>
        <v>0</v>
      </c>
      <c r="Q25" s="445">
        <f t="shared" ca="1" si="17"/>
        <v>407.88400553795822</v>
      </c>
    </row>
    <row r="26" spans="1:17">
      <c r="A26" s="445" t="s">
        <v>612</v>
      </c>
      <c r="B26" s="446">
        <f t="shared" ca="1" si="2"/>
        <v>14236.03823864247</v>
      </c>
      <c r="C26" s="446">
        <f t="shared" ca="1" si="3"/>
        <v>0</v>
      </c>
      <c r="D26" s="446">
        <f t="shared" si="4"/>
        <v>42928.587870875213</v>
      </c>
      <c r="E26" s="446">
        <f t="shared" si="5"/>
        <v>954.92552970606755</v>
      </c>
      <c r="F26" s="446">
        <f t="shared" si="6"/>
        <v>4108.6595323530728</v>
      </c>
      <c r="G26" s="446">
        <f t="shared" si="7"/>
        <v>0</v>
      </c>
      <c r="H26" s="446">
        <f t="shared" si="8"/>
        <v>0</v>
      </c>
      <c r="I26" s="446">
        <f t="shared" si="9"/>
        <v>0</v>
      </c>
      <c r="J26" s="446">
        <f t="shared" si="10"/>
        <v>215.57315162034359</v>
      </c>
      <c r="K26" s="446">
        <f t="shared" si="11"/>
        <v>0</v>
      </c>
      <c r="L26" s="446">
        <f t="shared" si="12"/>
        <v>0</v>
      </c>
      <c r="M26" s="446">
        <f t="shared" si="13"/>
        <v>0</v>
      </c>
      <c r="N26" s="446">
        <f t="shared" si="14"/>
        <v>0</v>
      </c>
      <c r="O26" s="446">
        <f t="shared" si="15"/>
        <v>0</v>
      </c>
      <c r="P26" s="447">
        <f t="shared" si="16"/>
        <v>0</v>
      </c>
      <c r="Q26" s="445">
        <f t="shared" ca="1" si="17"/>
        <v>62443.784323197164</v>
      </c>
    </row>
    <row r="27" spans="1:17" s="451" customFormat="1">
      <c r="A27" s="449" t="s">
        <v>538</v>
      </c>
      <c r="B27" s="768">
        <f t="shared" ca="1" si="2"/>
        <v>49.69455049556327</v>
      </c>
      <c r="C27" s="450">
        <f t="shared" ca="1" si="3"/>
        <v>0</v>
      </c>
      <c r="D27" s="450">
        <f t="shared" si="4"/>
        <v>91.90115025640705</v>
      </c>
      <c r="E27" s="450">
        <f t="shared" si="5"/>
        <v>93.478719644904587</v>
      </c>
      <c r="F27" s="450">
        <f t="shared" si="6"/>
        <v>0</v>
      </c>
      <c r="G27" s="450">
        <f t="shared" si="7"/>
        <v>70481.398794997178</v>
      </c>
      <c r="H27" s="450">
        <f t="shared" si="8"/>
        <v>10159.13239025941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80875.605605653473</v>
      </c>
    </row>
    <row r="28" spans="1:17" ht="16.5" customHeight="1">
      <c r="A28" s="445" t="s">
        <v>528</v>
      </c>
      <c r="B28" s="446">
        <f t="shared" ca="1" si="2"/>
        <v>4.9266681834459858</v>
      </c>
      <c r="C28" s="446">
        <f t="shared" ca="1" si="3"/>
        <v>0</v>
      </c>
      <c r="D28" s="446">
        <f t="shared" si="4"/>
        <v>0</v>
      </c>
      <c r="E28" s="446">
        <f t="shared" si="5"/>
        <v>0</v>
      </c>
      <c r="F28" s="446">
        <f t="shared" si="6"/>
        <v>0</v>
      </c>
      <c r="G28" s="446">
        <f t="shared" si="7"/>
        <v>517.43328747259102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522.35995565603696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244.28885408624194</v>
      </c>
      <c r="C32" s="446">
        <f t="shared" ca="1" si="3"/>
        <v>0</v>
      </c>
      <c r="D32" s="446">
        <f t="shared" si="4"/>
        <v>846.861807774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1091.1506618602421</v>
      </c>
    </row>
    <row r="33" spans="1:17" s="457" customFormat="1">
      <c r="A33" s="455" t="s">
        <v>532</v>
      </c>
      <c r="B33" s="456">
        <f ca="1">SUM(B22:B32)</f>
        <v>32158.159648368775</v>
      </c>
      <c r="C33" s="456">
        <f t="shared" ref="C33:Q33" ca="1" si="19">SUM(C22:C32)</f>
        <v>0</v>
      </c>
      <c r="D33" s="456">
        <f t="shared" ca="1" si="19"/>
        <v>76278.329897918738</v>
      </c>
      <c r="E33" s="456">
        <f t="shared" si="19"/>
        <v>1618.6391354731782</v>
      </c>
      <c r="F33" s="456">
        <f t="shared" ca="1" si="19"/>
        <v>13266.459802555984</v>
      </c>
      <c r="G33" s="456">
        <f t="shared" si="19"/>
        <v>70998.832082469773</v>
      </c>
      <c r="H33" s="456">
        <f t="shared" si="19"/>
        <v>10159.13239025941</v>
      </c>
      <c r="I33" s="456">
        <f t="shared" si="19"/>
        <v>0</v>
      </c>
      <c r="J33" s="456">
        <f t="shared" si="19"/>
        <v>283.61104991907149</v>
      </c>
      <c r="K33" s="456">
        <f t="shared" si="19"/>
        <v>0</v>
      </c>
      <c r="L33" s="456">
        <f t="shared" ca="1" si="19"/>
        <v>0</v>
      </c>
      <c r="M33" s="456">
        <f t="shared" si="19"/>
        <v>0</v>
      </c>
      <c r="N33" s="456">
        <f t="shared" ca="1" si="19"/>
        <v>0</v>
      </c>
      <c r="O33" s="456">
        <f t="shared" si="19"/>
        <v>0</v>
      </c>
      <c r="P33" s="456">
        <f t="shared" si="19"/>
        <v>0</v>
      </c>
      <c r="Q33" s="456">
        <f t="shared" ca="1" si="19"/>
        <v>204763.16400696494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13266.609905342551</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15817.061590962518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29083.671496305069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0.18418642912762442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0.18418642912762442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0.18418642912762442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0.18418642912762442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10510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670.91</v>
      </c>
      <c r="C14" s="326"/>
      <c r="D14" s="326"/>
      <c r="E14" s="326"/>
      <c r="F14" s="326"/>
    </row>
    <row r="15" spans="1:6">
      <c r="A15" s="1296" t="s">
        <v>177</v>
      </c>
      <c r="B15" s="1297">
        <v>6</v>
      </c>
      <c r="C15" s="326"/>
      <c r="D15" s="326"/>
      <c r="E15" s="326"/>
      <c r="F15" s="326"/>
    </row>
    <row r="16" spans="1:6">
      <c r="A16" s="1296" t="s">
        <v>6</v>
      </c>
      <c r="B16" s="1297">
        <v>338</v>
      </c>
      <c r="C16" s="326"/>
      <c r="D16" s="326"/>
      <c r="E16" s="326"/>
      <c r="F16" s="326"/>
    </row>
    <row r="17" spans="1:6">
      <c r="A17" s="1296" t="s">
        <v>7</v>
      </c>
      <c r="B17" s="1297">
        <v>140</v>
      </c>
      <c r="C17" s="326"/>
      <c r="D17" s="326"/>
      <c r="E17" s="326"/>
      <c r="F17" s="326"/>
    </row>
    <row r="18" spans="1:6">
      <c r="A18" s="1296" t="s">
        <v>8</v>
      </c>
      <c r="B18" s="1297">
        <v>299</v>
      </c>
      <c r="C18" s="326"/>
      <c r="D18" s="326"/>
      <c r="E18" s="326"/>
      <c r="F18" s="326"/>
    </row>
    <row r="19" spans="1:6">
      <c r="A19" s="1296" t="s">
        <v>9</v>
      </c>
      <c r="B19" s="1297">
        <v>281</v>
      </c>
      <c r="C19" s="326"/>
      <c r="D19" s="326"/>
      <c r="E19" s="326"/>
      <c r="F19" s="326"/>
    </row>
    <row r="20" spans="1:6">
      <c r="A20" s="1296" t="s">
        <v>10</v>
      </c>
      <c r="B20" s="1297">
        <v>287</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5</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0</v>
      </c>
      <c r="C29" s="326"/>
      <c r="D29" s="326"/>
      <c r="E29" s="326"/>
      <c r="F29" s="326"/>
    </row>
    <row r="30" spans="1:6">
      <c r="A30" s="1291" t="s">
        <v>690</v>
      </c>
      <c r="B30" s="1299">
        <v>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5384.9049999999997</v>
      </c>
    </row>
    <row r="37" spans="1:6">
      <c r="A37" s="1296" t="s">
        <v>24</v>
      </c>
      <c r="B37" s="1296" t="s">
        <v>27</v>
      </c>
      <c r="C37" s="1297">
        <v>0</v>
      </c>
      <c r="D37" s="1297">
        <v>0</v>
      </c>
      <c r="E37" s="1297">
        <v>0</v>
      </c>
      <c r="F37" s="1297">
        <v>0</v>
      </c>
    </row>
    <row r="38" spans="1:6">
      <c r="A38" s="1296" t="s">
        <v>24</v>
      </c>
      <c r="B38" s="1296" t="s">
        <v>28</v>
      </c>
      <c r="C38" s="1297">
        <v>1</v>
      </c>
      <c r="D38" s="1297">
        <v>15299.682000000001</v>
      </c>
      <c r="E38" s="1297">
        <v>4</v>
      </c>
      <c r="F38" s="1297">
        <v>39516.237000000001</v>
      </c>
    </row>
    <row r="39" spans="1:6">
      <c r="A39" s="1296" t="s">
        <v>29</v>
      </c>
      <c r="B39" s="1296" t="s">
        <v>30</v>
      </c>
      <c r="C39" s="1297">
        <v>8962</v>
      </c>
      <c r="D39" s="1297">
        <v>126641436.3</v>
      </c>
      <c r="E39" s="1297">
        <v>10439</v>
      </c>
      <c r="F39" s="1297">
        <v>32021088.73</v>
      </c>
    </row>
    <row r="40" spans="1:6">
      <c r="A40" s="1296" t="s">
        <v>29</v>
      </c>
      <c r="B40" s="1296" t="s">
        <v>28</v>
      </c>
      <c r="C40" s="1297">
        <v>0</v>
      </c>
      <c r="D40" s="1297">
        <v>0</v>
      </c>
      <c r="E40" s="1297">
        <v>0</v>
      </c>
      <c r="F40" s="1297">
        <v>0</v>
      </c>
    </row>
    <row r="41" spans="1:6">
      <c r="A41" s="1296" t="s">
        <v>31</v>
      </c>
      <c r="B41" s="1296" t="s">
        <v>32</v>
      </c>
      <c r="C41" s="1297">
        <v>100</v>
      </c>
      <c r="D41" s="1297">
        <v>6043581.4620000003</v>
      </c>
      <c r="E41" s="1297">
        <v>280</v>
      </c>
      <c r="F41" s="1297">
        <v>3040159.1660000002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10</v>
      </c>
      <c r="D44" s="1297">
        <v>9827521.5260000005</v>
      </c>
      <c r="E44" s="1297">
        <v>23</v>
      </c>
      <c r="F44" s="1297">
        <v>2725888.835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66725.679000000004</v>
      </c>
      <c r="E47" s="1297">
        <v>6</v>
      </c>
      <c r="F47" s="1297">
        <v>199405.897</v>
      </c>
    </row>
    <row r="48" spans="1:6">
      <c r="A48" s="1296" t="s">
        <v>31</v>
      </c>
      <c r="B48" s="1296" t="s">
        <v>28</v>
      </c>
      <c r="C48" s="1297">
        <v>29</v>
      </c>
      <c r="D48" s="1297">
        <v>218875251.59999999</v>
      </c>
      <c r="E48" s="1297">
        <v>42</v>
      </c>
      <c r="F48" s="1297">
        <v>70740922.829999998</v>
      </c>
    </row>
    <row r="49" spans="1:6">
      <c r="A49" s="1296" t="s">
        <v>31</v>
      </c>
      <c r="B49" s="1296" t="s">
        <v>39</v>
      </c>
      <c r="C49" s="1297">
        <v>0</v>
      </c>
      <c r="D49" s="1297">
        <v>0</v>
      </c>
      <c r="E49" s="1297">
        <v>0</v>
      </c>
      <c r="F49" s="1297">
        <v>0</v>
      </c>
    </row>
    <row r="50" spans="1:6">
      <c r="A50" s="1296" t="s">
        <v>31</v>
      </c>
      <c r="B50" s="1296" t="s">
        <v>40</v>
      </c>
      <c r="C50" s="1297">
        <v>10</v>
      </c>
      <c r="D50" s="1297">
        <v>794194.38600000006</v>
      </c>
      <c r="E50" s="1297">
        <v>15</v>
      </c>
      <c r="F50" s="1297">
        <v>585084.46200000006</v>
      </c>
    </row>
    <row r="51" spans="1:6">
      <c r="A51" s="1296" t="s">
        <v>41</v>
      </c>
      <c r="B51" s="1296" t="s">
        <v>42</v>
      </c>
      <c r="C51" s="1297">
        <v>0</v>
      </c>
      <c r="D51" s="1297">
        <v>0</v>
      </c>
      <c r="E51" s="1297">
        <v>26</v>
      </c>
      <c r="F51" s="1297">
        <v>281999.61</v>
      </c>
    </row>
    <row r="52" spans="1:6">
      <c r="A52" s="1296" t="s">
        <v>41</v>
      </c>
      <c r="B52" s="1296" t="s">
        <v>28</v>
      </c>
      <c r="C52" s="1297">
        <v>6</v>
      </c>
      <c r="D52" s="1297">
        <v>123421.072</v>
      </c>
      <c r="E52" s="1297">
        <v>5</v>
      </c>
      <c r="F52" s="1297">
        <v>30718.398000000001</v>
      </c>
    </row>
    <row r="53" spans="1:6">
      <c r="A53" s="1296" t="s">
        <v>43</v>
      </c>
      <c r="B53" s="1296" t="s">
        <v>44</v>
      </c>
      <c r="C53" s="1297">
        <v>202</v>
      </c>
      <c r="D53" s="1297">
        <v>4192385.1869999999</v>
      </c>
      <c r="E53" s="1297">
        <v>361</v>
      </c>
      <c r="F53" s="1297">
        <v>1326312.993</v>
      </c>
    </row>
    <row r="54" spans="1:6">
      <c r="A54" s="1296" t="s">
        <v>45</v>
      </c>
      <c r="B54" s="1296" t="s">
        <v>46</v>
      </c>
      <c r="C54" s="1297">
        <v>0</v>
      </c>
      <c r="D54" s="1297">
        <v>0</v>
      </c>
      <c r="E54" s="1297">
        <v>1</v>
      </c>
      <c r="F54" s="1297">
        <v>1554218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52</v>
      </c>
      <c r="D57" s="1297">
        <v>1472707.5</v>
      </c>
      <c r="E57" s="1297">
        <v>123</v>
      </c>
      <c r="F57" s="1297">
        <v>4654582.6220000004</v>
      </c>
    </row>
    <row r="58" spans="1:6">
      <c r="A58" s="1296" t="s">
        <v>48</v>
      </c>
      <c r="B58" s="1296" t="s">
        <v>50</v>
      </c>
      <c r="C58" s="1297">
        <v>53</v>
      </c>
      <c r="D58" s="1297">
        <v>4114811.9929999998</v>
      </c>
      <c r="E58" s="1297">
        <v>55</v>
      </c>
      <c r="F58" s="1297">
        <v>1171566.2279999999</v>
      </c>
    </row>
    <row r="59" spans="1:6">
      <c r="A59" s="1296" t="s">
        <v>48</v>
      </c>
      <c r="B59" s="1296" t="s">
        <v>51</v>
      </c>
      <c r="C59" s="1297">
        <v>149</v>
      </c>
      <c r="D59" s="1297">
        <v>11063454</v>
      </c>
      <c r="E59" s="1297">
        <v>251</v>
      </c>
      <c r="F59" s="1297">
        <v>19428016.02</v>
      </c>
    </row>
    <row r="60" spans="1:6">
      <c r="A60" s="1296" t="s">
        <v>48</v>
      </c>
      <c r="B60" s="1296" t="s">
        <v>52</v>
      </c>
      <c r="C60" s="1297">
        <v>65</v>
      </c>
      <c r="D60" s="1297">
        <v>2769664.8939999999</v>
      </c>
      <c r="E60" s="1297">
        <v>78</v>
      </c>
      <c r="F60" s="1297">
        <v>1964482.0460000001</v>
      </c>
    </row>
    <row r="61" spans="1:6">
      <c r="A61" s="1296" t="s">
        <v>48</v>
      </c>
      <c r="B61" s="1296" t="s">
        <v>53</v>
      </c>
      <c r="C61" s="1297">
        <v>287</v>
      </c>
      <c r="D61" s="1297">
        <v>16116727.32</v>
      </c>
      <c r="E61" s="1297">
        <v>492</v>
      </c>
      <c r="F61" s="1297">
        <v>21185449.030000001</v>
      </c>
    </row>
    <row r="62" spans="1:6">
      <c r="A62" s="1296" t="s">
        <v>48</v>
      </c>
      <c r="B62" s="1296" t="s">
        <v>54</v>
      </c>
      <c r="C62" s="1297">
        <v>4</v>
      </c>
      <c r="D62" s="1297">
        <v>1724058.17</v>
      </c>
      <c r="E62" s="1297">
        <v>7</v>
      </c>
      <c r="F62" s="1297">
        <v>246654.18299999999</v>
      </c>
    </row>
    <row r="63" spans="1:6">
      <c r="A63" s="1296" t="s">
        <v>48</v>
      </c>
      <c r="B63" s="1296" t="s">
        <v>28</v>
      </c>
      <c r="C63" s="1297">
        <v>108</v>
      </c>
      <c r="D63" s="1297">
        <v>13856636.08</v>
      </c>
      <c r="E63" s="1297">
        <v>112</v>
      </c>
      <c r="F63" s="1297">
        <v>9969527.3430000003</v>
      </c>
    </row>
    <row r="64" spans="1:6">
      <c r="A64" s="1296" t="s">
        <v>55</v>
      </c>
      <c r="B64" s="1296" t="s">
        <v>56</v>
      </c>
      <c r="C64" s="1297">
        <v>0</v>
      </c>
      <c r="D64" s="1297">
        <v>0</v>
      </c>
      <c r="E64" s="1297">
        <v>0</v>
      </c>
      <c r="F64" s="1297">
        <v>0</v>
      </c>
    </row>
    <row r="65" spans="1:6">
      <c r="A65" s="1296" t="s">
        <v>55</v>
      </c>
      <c r="B65" s="1296" t="s">
        <v>28</v>
      </c>
      <c r="C65" s="1297">
        <v>3</v>
      </c>
      <c r="D65" s="1297">
        <v>73099.797999999995</v>
      </c>
      <c r="E65" s="1297">
        <v>3</v>
      </c>
      <c r="F65" s="1297">
        <v>35868.025999999998</v>
      </c>
    </row>
    <row r="66" spans="1:6">
      <c r="A66" s="1296" t="s">
        <v>55</v>
      </c>
      <c r="B66" s="1296" t="s">
        <v>57</v>
      </c>
      <c r="C66" s="1297">
        <v>0</v>
      </c>
      <c r="D66" s="1297">
        <v>0</v>
      </c>
      <c r="E66" s="1297">
        <v>8</v>
      </c>
      <c r="F66" s="1297">
        <v>143969.122</v>
      </c>
    </row>
    <row r="67" spans="1:6">
      <c r="A67" s="1296" t="s">
        <v>55</v>
      </c>
      <c r="B67" s="1296" t="s">
        <v>58</v>
      </c>
      <c r="C67" s="1297">
        <v>0</v>
      </c>
      <c r="D67" s="1297">
        <v>0</v>
      </c>
      <c r="E67" s="1297">
        <v>0</v>
      </c>
      <c r="F67" s="1297">
        <v>0</v>
      </c>
    </row>
    <row r="68" spans="1:6">
      <c r="A68" s="1291" t="s">
        <v>55</v>
      </c>
      <c r="B68" s="1291" t="s">
        <v>59</v>
      </c>
      <c r="C68" s="1299">
        <v>4</v>
      </c>
      <c r="D68" s="1299">
        <v>101808.765</v>
      </c>
      <c r="E68" s="1299">
        <v>13</v>
      </c>
      <c r="F68" s="1299">
        <v>111401.66499999999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153771060</v>
      </c>
      <c r="E73" s="444"/>
      <c r="F73" s="326"/>
    </row>
    <row r="74" spans="1:6">
      <c r="A74" s="1296" t="s">
        <v>63</v>
      </c>
      <c r="B74" s="1296" t="s">
        <v>633</v>
      </c>
      <c r="C74" s="1309" t="s">
        <v>635</v>
      </c>
      <c r="D74" s="1297">
        <v>35062827.5</v>
      </c>
      <c r="E74" s="444"/>
      <c r="F74" s="326"/>
    </row>
    <row r="75" spans="1:6">
      <c r="A75" s="1296" t="s">
        <v>64</v>
      </c>
      <c r="B75" s="1296" t="s">
        <v>632</v>
      </c>
      <c r="C75" s="1309" t="s">
        <v>636</v>
      </c>
      <c r="D75" s="1297">
        <v>49148314</v>
      </c>
      <c r="E75" s="444"/>
      <c r="F75" s="326"/>
    </row>
    <row r="76" spans="1:6">
      <c r="A76" s="1296" t="s">
        <v>64</v>
      </c>
      <c r="B76" s="1296" t="s">
        <v>633</v>
      </c>
      <c r="C76" s="1309" t="s">
        <v>637</v>
      </c>
      <c r="D76" s="1297">
        <v>7496148.5</v>
      </c>
      <c r="E76" s="444"/>
      <c r="F76" s="326"/>
    </row>
    <row r="77" spans="1:6">
      <c r="A77" s="1296" t="s">
        <v>65</v>
      </c>
      <c r="B77" s="1296" t="s">
        <v>632</v>
      </c>
      <c r="C77" s="1309" t="s">
        <v>638</v>
      </c>
      <c r="D77" s="1297">
        <v>61473739</v>
      </c>
      <c r="E77" s="444"/>
      <c r="F77" s="326"/>
    </row>
    <row r="78" spans="1:6">
      <c r="A78" s="1291" t="s">
        <v>65</v>
      </c>
      <c r="B78" s="1291" t="s">
        <v>633</v>
      </c>
      <c r="C78" s="1291" t="s">
        <v>639</v>
      </c>
      <c r="D78" s="1299">
        <v>9130544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568405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13266.609905342551</v>
      </c>
      <c r="C90" s="326"/>
      <c r="D90" s="326"/>
      <c r="E90" s="326"/>
      <c r="F90" s="326"/>
    </row>
    <row r="91" spans="1:6">
      <c r="A91" s="1296" t="s">
        <v>67</v>
      </c>
      <c r="B91" s="1297">
        <v>3173.075730987031</v>
      </c>
      <c r="C91" s="326"/>
      <c r="D91" s="326"/>
      <c r="E91" s="326"/>
      <c r="F91" s="326"/>
    </row>
    <row r="92" spans="1:6">
      <c r="A92" s="1291" t="s">
        <v>68</v>
      </c>
      <c r="B92" s="1292">
        <v>12643.985859975486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6495</v>
      </c>
      <c r="C97" s="326"/>
      <c r="D97" s="326"/>
      <c r="E97" s="326"/>
      <c r="F97" s="326"/>
    </row>
    <row r="98" spans="1:6">
      <c r="A98" s="1296" t="s">
        <v>71</v>
      </c>
      <c r="B98" s="1297">
        <v>10</v>
      </c>
      <c r="C98" s="326"/>
      <c r="D98" s="326"/>
      <c r="E98" s="326"/>
      <c r="F98" s="326"/>
    </row>
    <row r="99" spans="1:6">
      <c r="A99" s="1296" t="s">
        <v>72</v>
      </c>
      <c r="B99" s="1297">
        <v>27</v>
      </c>
      <c r="C99" s="326"/>
      <c r="D99" s="326"/>
      <c r="E99" s="326"/>
      <c r="F99" s="326"/>
    </row>
    <row r="100" spans="1:6">
      <c r="A100" s="1296" t="s">
        <v>73</v>
      </c>
      <c r="B100" s="1297">
        <v>410</v>
      </c>
      <c r="C100" s="326"/>
      <c r="D100" s="326"/>
      <c r="E100" s="326"/>
      <c r="F100" s="326"/>
    </row>
    <row r="101" spans="1:6">
      <c r="A101" s="1296" t="s">
        <v>74</v>
      </c>
      <c r="B101" s="1297">
        <v>70</v>
      </c>
      <c r="C101" s="326"/>
      <c r="D101" s="326"/>
      <c r="E101" s="326"/>
      <c r="F101" s="326"/>
    </row>
    <row r="102" spans="1:6">
      <c r="A102" s="1296" t="s">
        <v>75</v>
      </c>
      <c r="B102" s="1297">
        <v>123</v>
      </c>
      <c r="C102" s="326"/>
      <c r="D102" s="326"/>
      <c r="E102" s="326"/>
      <c r="F102" s="326"/>
    </row>
    <row r="103" spans="1:6">
      <c r="A103" s="1296" t="s">
        <v>76</v>
      </c>
      <c r="B103" s="1297">
        <v>180</v>
      </c>
      <c r="C103" s="326"/>
      <c r="D103" s="326"/>
      <c r="E103" s="326"/>
      <c r="F103" s="326"/>
    </row>
    <row r="104" spans="1:6">
      <c r="A104" s="1296" t="s">
        <v>77</v>
      </c>
      <c r="B104" s="1297">
        <v>1800</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3</v>
      </c>
      <c r="C121" s="1297">
        <v>0</v>
      </c>
      <c r="D121" s="326"/>
      <c r="E121" s="326"/>
      <c r="F121" s="326"/>
    </row>
    <row r="122" spans="1:6">
      <c r="A122" s="1296" t="s">
        <v>86</v>
      </c>
      <c r="B122" s="1297">
        <v>1</v>
      </c>
      <c r="C122" s="1297">
        <v>0</v>
      </c>
      <c r="D122" s="326"/>
      <c r="E122" s="326"/>
      <c r="F122" s="326"/>
    </row>
    <row r="123" spans="1:6">
      <c r="A123" s="1296" t="s">
        <v>87</v>
      </c>
      <c r="B123" s="1297">
        <v>70</v>
      </c>
      <c r="C123" s="1297">
        <v>20</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109</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18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174595.70610430857</v>
      </c>
      <c r="C3" s="43" t="s">
        <v>163</v>
      </c>
      <c r="D3" s="43"/>
      <c r="E3" s="154"/>
      <c r="F3" s="43"/>
      <c r="G3" s="43"/>
      <c r="H3" s="43"/>
      <c r="I3" s="43"/>
      <c r="J3" s="43"/>
      <c r="K3" s="96"/>
    </row>
    <row r="4" spans="1:11">
      <c r="A4" s="352" t="s">
        <v>164</v>
      </c>
      <c r="B4" s="49">
        <f>IF(ISERROR('SEAP template'!B78+'SEAP template'!C78),0,'SEAP template'!B78+'SEAP template'!C78)</f>
        <v>29083.671496305069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0.18418642912762442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1554.2180000000001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1554.2180000000001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0.18418642912762442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286.2658635058782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32021.088729999999</v>
      </c>
      <c r="C5" s="17">
        <f>IF(ISERROR('Eigen informatie GS &amp; warmtenet'!B59),0,'Eigen informatie GS &amp; warmtenet'!B59)</f>
        <v>0</v>
      </c>
      <c r="D5" s="30">
        <f>(SUM(HH_hh_gas_kWh,HH_rest_gas_kWh)/1000)*0.902</f>
        <v>114230.57554260001</v>
      </c>
      <c r="E5" s="17">
        <f>B32*B41</f>
        <v>1644.9805557610512</v>
      </c>
      <c r="F5" s="17">
        <f>B36*B45</f>
        <v>26519.278999373328</v>
      </c>
      <c r="G5" s="18"/>
      <c r="H5" s="17"/>
      <c r="I5" s="17"/>
      <c r="J5" s="17">
        <f>B35*B44+C35*C44</f>
        <v>105.94335041635831</v>
      </c>
      <c r="K5" s="17"/>
      <c r="L5" s="17"/>
      <c r="M5" s="17"/>
      <c r="N5" s="17">
        <f>B34*B43+C34*C43</f>
        <v>13416.623288882231</v>
      </c>
      <c r="O5" s="17">
        <f>B52*B53*B54</f>
        <v>255.9306103009271</v>
      </c>
      <c r="P5" s="17">
        <f>B60*B61*B62/1000-B60*B61*B62/1000/B63</f>
        <v>937.52237838396695</v>
      </c>
    </row>
    <row r="6" spans="1:16">
      <c r="A6" s="16" t="s">
        <v>598</v>
      </c>
      <c r="B6" s="776">
        <f>kWh_PV_kleiner_dan_10kW</f>
        <v>3173.075730987031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35194.164460987027</v>
      </c>
      <c r="C8" s="21">
        <f>C5</f>
        <v>0</v>
      </c>
      <c r="D8" s="21">
        <f>D5</f>
        <v>114230.57554260001</v>
      </c>
      <c r="E8" s="21">
        <f>E5</f>
        <v>1644.9805557610512</v>
      </c>
      <c r="F8" s="21">
        <f>F5</f>
        <v>26519.278999373328</v>
      </c>
      <c r="G8" s="21"/>
      <c r="H8" s="21"/>
      <c r="I8" s="21"/>
      <c r="J8" s="21">
        <f>J5</f>
        <v>105.94335041635831</v>
      </c>
      <c r="K8" s="21"/>
      <c r="L8" s="21">
        <f>L5</f>
        <v>0</v>
      </c>
      <c r="M8" s="21">
        <f>M5</f>
        <v>0</v>
      </c>
      <c r="N8" s="21">
        <f>N5</f>
        <v>13416.623288882231</v>
      </c>
      <c r="O8" s="21">
        <f>O5</f>
        <v>255.9306103009271</v>
      </c>
      <c r="P8" s="21">
        <f>P5</f>
        <v>937.52237838396695</v>
      </c>
    </row>
    <row r="9" spans="1:16">
      <c r="B9" s="19"/>
      <c r="C9" s="19"/>
      <c r="D9" s="256"/>
      <c r="E9" s="19"/>
      <c r="F9" s="19"/>
      <c r="G9" s="19"/>
      <c r="H9" s="19"/>
      <c r="I9" s="19"/>
      <c r="J9" s="19"/>
      <c r="K9" s="19"/>
      <c r="L9" s="19"/>
      <c r="M9" s="19"/>
      <c r="N9" s="19"/>
      <c r="O9" s="19"/>
      <c r="P9" s="19"/>
    </row>
    <row r="10" spans="1:16">
      <c r="A10" s="24" t="s">
        <v>207</v>
      </c>
      <c r="B10" s="25">
        <f ca="1">'EF ele_warmte'!B12</f>
        <v>0.18418642912762442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6482.2874781995451</v>
      </c>
      <c r="C12" s="23">
        <f ca="1">C10*C8</f>
        <v>0</v>
      </c>
      <c r="D12" s="23">
        <f>D8*D10</f>
        <v>23074.576259605205</v>
      </c>
      <c r="E12" s="23">
        <f>E10*E8</f>
        <v>373.41058615775864</v>
      </c>
      <c r="F12" s="23">
        <f>F10*F8</f>
        <v>7080.6474928326788</v>
      </c>
      <c r="G12" s="23"/>
      <c r="H12" s="23"/>
      <c r="I12" s="23"/>
      <c r="J12" s="23">
        <f>J10*J8</f>
        <v>37.503946047390841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10510</v>
      </c>
      <c r="C26" s="36"/>
      <c r="D26" s="226"/>
    </row>
    <row r="27" spans="1:7" s="15" customFormat="1">
      <c r="A27" s="228" t="s">
        <v>800</v>
      </c>
      <c r="B27" s="37">
        <f>SUM(HH_hh_gas_aantal,HH_rest_gas_aantal)</f>
        <v>8962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8513.9</v>
      </c>
      <c r="C31" s="166" t="s">
        <v>104</v>
      </c>
      <c r="D31" s="231"/>
      <c r="G31" s="15"/>
    </row>
    <row r="32" spans="1:7">
      <c r="A32" s="169" t="s">
        <v>72</v>
      </c>
      <c r="B32" s="166">
        <f>IF((B21*($B$26-($B$27-0.05*$B$27)-$B$60))&lt;0,0,B21*($B$26-($B$27-0.05*$B$27)-$B$60))</f>
        <v>30.275591429202869</v>
      </c>
      <c r="C32" s="166" t="s">
        <v>104</v>
      </c>
      <c r="D32" s="231"/>
      <c r="G32" s="15"/>
    </row>
    <row r="33" spans="1:7">
      <c r="A33" s="169" t="s">
        <v>73</v>
      </c>
      <c r="B33" s="166">
        <f>IF((B22*($B$26-($B$27-0.05*$B$27)-$B$60))&lt;0,0,B22*($B$26-($B$27-0.05*$B$27)-$B$60))</f>
        <v>491.6156433432987</v>
      </c>
      <c r="C33" s="166" t="s">
        <v>104</v>
      </c>
      <c r="D33" s="231"/>
      <c r="G33" s="15"/>
    </row>
    <row r="34" spans="1:7">
      <c r="A34" s="169" t="s">
        <v>74</v>
      </c>
      <c r="B34" s="166">
        <f>IF((B24*($B$26-($B$27-0.05*$B$27)-$B$60))&lt;0,0,B24*($B$26-($B$27-0.05*$B$27)-$B$60))</f>
        <v>94.249297857606379</v>
      </c>
      <c r="C34" s="166">
        <f>B26*C24</f>
        <v>2153.5614273667793</v>
      </c>
      <c r="D34" s="231"/>
      <c r="G34" s="15"/>
    </row>
    <row r="35" spans="1:7">
      <c r="A35" s="169" t="s">
        <v>76</v>
      </c>
      <c r="B35" s="166">
        <f>IF((B19*($B$26-($B$27-0.05*$B$27)-$B$60))&lt;0,0,B19*($B$26-($B$27-0.05*$B$27)-$B$60))</f>
        <v>13.16072741528888</v>
      </c>
      <c r="C35" s="166">
        <f>B35/2</f>
        <v>6.5803637076444401</v>
      </c>
      <c r="D35" s="232"/>
      <c r="G35" s="15"/>
    </row>
    <row r="36" spans="1:7">
      <c r="A36" s="169" t="s">
        <v>77</v>
      </c>
      <c r="B36" s="166">
        <f>IF((B18*($B$26-($B$27-0.05*$B$27)-$B$60))&lt;0,0,B18*($B$26-($B$27-0.05*$B$27)-$B$60))</f>
        <v>1277.7987399546032</v>
      </c>
      <c r="C36" s="166" t="s">
        <v>104</v>
      </c>
      <c r="D36" s="232"/>
      <c r="G36" s="15"/>
    </row>
    <row r="37" spans="1:7">
      <c r="A37" s="169" t="s">
        <v>78</v>
      </c>
      <c r="B37" s="166">
        <f>B60</f>
        <v>89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58620.277472000009</v>
      </c>
      <c r="C5" s="17">
        <f>IF(ISERROR('Eigen informatie GS &amp; warmtenet'!B60),0,'Eigen informatie GS &amp; warmtenet'!B60)</f>
        <v>0</v>
      </c>
      <c r="D5" s="30">
        <f>SUM(D6:D12)</f>
        <v>46108.490081213997</v>
      </c>
      <c r="E5" s="17">
        <f>SUM(E6:E12)</f>
        <v>857.30757481643445</v>
      </c>
      <c r="F5" s="17">
        <f>SUM(F6:F12)</f>
        <v>6674.4183348785527</v>
      </c>
      <c r="G5" s="18"/>
      <c r="H5" s="17"/>
      <c r="I5" s="17"/>
      <c r="J5" s="17">
        <f>SUM(J6:J12)</f>
        <v>9.8122520527583718E-2</v>
      </c>
      <c r="K5" s="17"/>
      <c r="L5" s="17"/>
      <c r="M5" s="17"/>
      <c r="N5" s="17">
        <f>SUM(N6:N12)</f>
        <v>3863.2300707634899</v>
      </c>
      <c r="O5" s="17">
        <f>B38*B39*B40</f>
        <v>4.8972607658411542</v>
      </c>
      <c r="P5" s="17">
        <f>B46*B47*B48/1000-B46*B47*B48/1000/B49</f>
        <v>262.69569153247511</v>
      </c>
      <c r="R5" s="32"/>
    </row>
    <row r="6" spans="1:18">
      <c r="A6" s="32" t="s">
        <v>53</v>
      </c>
      <c r="B6" s="37">
        <f>B26</f>
        <v>21185.44903</v>
      </c>
      <c r="C6" s="33"/>
      <c r="D6" s="37">
        <f>IF(ISERROR(TER_kantoor_gas_kWh/1000),0,TER_kantoor_gas_kWh/1000)*0.902</f>
        <v>14537.288042640001</v>
      </c>
      <c r="E6" s="33">
        <f>$C$26*'E Balans VL '!I12/100/3.6*1000000</f>
        <v>170.47251575431446</v>
      </c>
      <c r="F6" s="33">
        <f>$C$26*('E Balans VL '!L12+'E Balans VL '!N12)/100/3.6*1000000</f>
        <v>2590.1440077061648</v>
      </c>
      <c r="G6" s="34"/>
      <c r="H6" s="33"/>
      <c r="I6" s="33"/>
      <c r="J6" s="33">
        <f>$C$26*('E Balans VL '!D12+'E Balans VL '!E12)/100/3.6*1000000</f>
        <v>0</v>
      </c>
      <c r="K6" s="33"/>
      <c r="L6" s="33"/>
      <c r="M6" s="33"/>
      <c r="N6" s="33">
        <f>$C$26*'E Balans VL '!Y12/100/3.6*1000000</f>
        <v>11.386135583178122</v>
      </c>
      <c r="O6" s="33"/>
      <c r="P6" s="33"/>
      <c r="R6" s="32"/>
    </row>
    <row r="7" spans="1:18">
      <c r="A7" s="32" t="s">
        <v>52</v>
      </c>
      <c r="B7" s="37">
        <f t="shared" ref="B7:B12" si="0">B27</f>
        <v>1964.4820460000001</v>
      </c>
      <c r="C7" s="33"/>
      <c r="D7" s="37">
        <f>IF(ISERROR(TER_horeca_gas_kWh/1000),0,TER_horeca_gas_kWh/1000)*0.902</f>
        <v>2498.2377343880003</v>
      </c>
      <c r="E7" s="33">
        <f>$C$27*'E Balans VL '!I9/100/3.6*1000000</f>
        <v>21.093713249493394</v>
      </c>
      <c r="F7" s="33">
        <f>$C$27*('E Balans VL '!L9+'E Balans VL '!N9)/100/3.6*1000000</f>
        <v>236.27955401234121</v>
      </c>
      <c r="G7" s="34"/>
      <c r="H7" s="33"/>
      <c r="I7" s="33"/>
      <c r="J7" s="33">
        <f>$C$27*('E Balans VL '!D9+'E Balans VL '!E9)/100/3.6*1000000</f>
        <v>0</v>
      </c>
      <c r="K7" s="33"/>
      <c r="L7" s="33"/>
      <c r="M7" s="33"/>
      <c r="N7" s="33">
        <f>$C$27*'E Balans VL '!Y9/100/3.6*1000000</f>
        <v>0.29451567412395957</v>
      </c>
      <c r="O7" s="33"/>
      <c r="P7" s="33"/>
      <c r="R7" s="32"/>
    </row>
    <row r="8" spans="1:18">
      <c r="A8" s="6" t="s">
        <v>51</v>
      </c>
      <c r="B8" s="37">
        <f t="shared" si="0"/>
        <v>19428.016019999999</v>
      </c>
      <c r="C8" s="33"/>
      <c r="D8" s="37">
        <f>IF(ISERROR(TER_handel_gas_kWh/1000),0,TER_handel_gas_kWh/1000)*0.902</f>
        <v>9979.2355079999998</v>
      </c>
      <c r="E8" s="33">
        <f>$C$28*'E Balans VL '!I13/100/3.6*1000000</f>
        <v>521.38847168274128</v>
      </c>
      <c r="F8" s="33">
        <f>$C$28*('E Balans VL '!L13+'E Balans VL '!N13)/100/3.6*1000000</f>
        <v>1854.0315152013086</v>
      </c>
      <c r="G8" s="34"/>
      <c r="H8" s="33"/>
      <c r="I8" s="33"/>
      <c r="J8" s="33">
        <f>$C$28*('E Balans VL '!D13+'E Balans VL '!E13)/100/3.6*1000000</f>
        <v>0</v>
      </c>
      <c r="K8" s="33"/>
      <c r="L8" s="33"/>
      <c r="M8" s="33"/>
      <c r="N8" s="33">
        <f>$C$28*'E Balans VL '!Y13/100/3.6*1000000</f>
        <v>7.701486454359272</v>
      </c>
      <c r="O8" s="33"/>
      <c r="P8" s="33"/>
      <c r="R8" s="32"/>
    </row>
    <row r="9" spans="1:18">
      <c r="A9" s="32" t="s">
        <v>50</v>
      </c>
      <c r="B9" s="37">
        <f t="shared" si="0"/>
        <v>1171.5662279999999</v>
      </c>
      <c r="C9" s="33"/>
      <c r="D9" s="37">
        <f>IF(ISERROR(TER_gezond_gas_kWh/1000),0,TER_gezond_gas_kWh/1000)*0.902</f>
        <v>3711.5604176859997</v>
      </c>
      <c r="E9" s="33">
        <f>$C$29*'E Balans VL '!I10/100/3.6*1000000</f>
        <v>2.1958965898010829</v>
      </c>
      <c r="F9" s="33">
        <f>$C$29*('E Balans VL '!L10+'E Balans VL '!N10)/100/3.6*1000000</f>
        <v>96.313433659752278</v>
      </c>
      <c r="G9" s="34"/>
      <c r="H9" s="33"/>
      <c r="I9" s="33"/>
      <c r="J9" s="33">
        <f>$C$29*('E Balans VL '!D10+'E Balans VL '!E10)/100/3.6*1000000</f>
        <v>0</v>
      </c>
      <c r="K9" s="33"/>
      <c r="L9" s="33"/>
      <c r="M9" s="33"/>
      <c r="N9" s="33">
        <f>$C$29*'E Balans VL '!Y10/100/3.6*1000000</f>
        <v>9.1156593678448665</v>
      </c>
      <c r="O9" s="33"/>
      <c r="P9" s="33"/>
      <c r="R9" s="32"/>
    </row>
    <row r="10" spans="1:18">
      <c r="A10" s="32" t="s">
        <v>49</v>
      </c>
      <c r="B10" s="37">
        <f t="shared" si="0"/>
        <v>4654.5826220000008</v>
      </c>
      <c r="C10" s="33"/>
      <c r="D10" s="37">
        <f>IF(ISERROR(TER_ander_gas_kWh/1000),0,TER_ander_gas_kWh/1000)*0.902</f>
        <v>1328.382165</v>
      </c>
      <c r="E10" s="33">
        <f>$C$30*'E Balans VL '!I14/100/3.6*1000000</f>
        <v>7.1750862759699636</v>
      </c>
      <c r="F10" s="33">
        <f>$C$30*('E Balans VL '!L14+'E Balans VL '!N14)/100/3.6*1000000</f>
        <v>722.62523703367901</v>
      </c>
      <c r="G10" s="34"/>
      <c r="H10" s="33"/>
      <c r="I10" s="33"/>
      <c r="J10" s="33">
        <f>$C$30*('E Balans VL '!D14+'E Balans VL '!E14)/100/3.6*1000000</f>
        <v>7.9016448846716048E-2</v>
      </c>
      <c r="K10" s="33"/>
      <c r="L10" s="33"/>
      <c r="M10" s="33"/>
      <c r="N10" s="33">
        <f>$C$30*'E Balans VL '!Y14/100/3.6*1000000</f>
        <v>3079.322684461953</v>
      </c>
      <c r="O10" s="33"/>
      <c r="P10" s="33"/>
      <c r="R10" s="32"/>
    </row>
    <row r="11" spans="1:18">
      <c r="A11" s="32" t="s">
        <v>54</v>
      </c>
      <c r="B11" s="37">
        <f t="shared" si="0"/>
        <v>246.65418299999999</v>
      </c>
      <c r="C11" s="33"/>
      <c r="D11" s="37">
        <f>IF(ISERROR(TER_onderwijs_gas_kWh/1000),0,TER_onderwijs_gas_kWh/1000)*0.902</f>
        <v>1555.10046934</v>
      </c>
      <c r="E11" s="33">
        <f>$C$31*'E Balans VL '!I11/100/3.6*1000000</f>
        <v>6.2913663284894108</v>
      </c>
      <c r="F11" s="33">
        <f>$C$31*('E Balans VL '!L11+'E Balans VL '!N11)/100/3.6*1000000</f>
        <v>29.662487103329919</v>
      </c>
      <c r="G11" s="34"/>
      <c r="H11" s="33"/>
      <c r="I11" s="33"/>
      <c r="J11" s="33">
        <f>$C$31*('E Balans VL '!D11+'E Balans VL '!E11)/100/3.6*1000000</f>
        <v>0</v>
      </c>
      <c r="K11" s="33"/>
      <c r="L11" s="33"/>
      <c r="M11" s="33"/>
      <c r="N11" s="33">
        <f>$C$31*'E Balans VL '!Y11/100/3.6*1000000</f>
        <v>0.54855288457807594</v>
      </c>
      <c r="O11" s="33"/>
      <c r="P11" s="33"/>
      <c r="R11" s="32"/>
    </row>
    <row r="12" spans="1:18">
      <c r="A12" s="32" t="s">
        <v>248</v>
      </c>
      <c r="B12" s="37">
        <f t="shared" si="0"/>
        <v>9969.5273429999997</v>
      </c>
      <c r="C12" s="33"/>
      <c r="D12" s="37">
        <f>IF(ISERROR(TER_rest_gas_kWh/1000),0,TER_rest_gas_kWh/1000)*0.902</f>
        <v>12498.68574416</v>
      </c>
      <c r="E12" s="33">
        <f>$C$32*'E Balans VL '!I8/100/3.6*1000000</f>
        <v>128.69052493562486</v>
      </c>
      <c r="F12" s="33">
        <f>$C$32*('E Balans VL '!L8+'E Balans VL '!N8)/100/3.6*1000000</f>
        <v>1145.3621001619779</v>
      </c>
      <c r="G12" s="34"/>
      <c r="H12" s="33"/>
      <c r="I12" s="33"/>
      <c r="J12" s="33">
        <f>$C$32*('E Balans VL '!D8+'E Balans VL '!E8)/100/3.6*1000000</f>
        <v>1.9106071680867667E-2</v>
      </c>
      <c r="K12" s="33"/>
      <c r="L12" s="33"/>
      <c r="M12" s="33"/>
      <c r="N12" s="33">
        <f>$C$32*'E Balans VL '!Y8/100/3.6*1000000</f>
        <v>754.86103633745279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58620.277472000009</v>
      </c>
      <c r="C16" s="21">
        <f t="shared" ca="1" si="1"/>
        <v>0</v>
      </c>
      <c r="D16" s="21">
        <f t="shared" ca="1" si="1"/>
        <v>46108.490081213997</v>
      </c>
      <c r="E16" s="21">
        <f t="shared" si="1"/>
        <v>857.30757481643445</v>
      </c>
      <c r="F16" s="21">
        <f t="shared" ca="1" si="1"/>
        <v>6674.4183348785527</v>
      </c>
      <c r="G16" s="21">
        <f t="shared" si="1"/>
        <v>0</v>
      </c>
      <c r="H16" s="21">
        <f t="shared" si="1"/>
        <v>0</v>
      </c>
      <c r="I16" s="21">
        <f t="shared" si="1"/>
        <v>0</v>
      </c>
      <c r="J16" s="21">
        <f t="shared" si="1"/>
        <v>9.8122520527583718E-2</v>
      </c>
      <c r="K16" s="21">
        <f t="shared" si="1"/>
        <v>0</v>
      </c>
      <c r="L16" s="21">
        <f t="shared" ca="1" si="1"/>
        <v>0</v>
      </c>
      <c r="M16" s="21">
        <f t="shared" si="1"/>
        <v>0</v>
      </c>
      <c r="N16" s="21">
        <f t="shared" ca="1" si="1"/>
        <v>3863.2300707634899</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0.18418642912762442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10797.059582038208</v>
      </c>
      <c r="C20" s="23">
        <f t="shared" ref="C20:P20" ca="1" si="2">C16*C18</f>
        <v>0</v>
      </c>
      <c r="D20" s="23">
        <f t="shared" ca="1" si="2"/>
        <v>9313.9149964052285</v>
      </c>
      <c r="E20" s="23">
        <f t="shared" si="2"/>
        <v>194.60881948333062</v>
      </c>
      <c r="F20" s="23">
        <f t="shared" ca="1" si="2"/>
        <v>1782.0696954125738</v>
      </c>
      <c r="G20" s="23">
        <f t="shared" si="2"/>
        <v>0</v>
      </c>
      <c r="H20" s="23">
        <f t="shared" si="2"/>
        <v>0</v>
      </c>
      <c r="I20" s="23">
        <f t="shared" si="2"/>
        <v>0</v>
      </c>
      <c r="J20" s="23">
        <f t="shared" si="2"/>
        <v>3.4735372266764632E-2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21185.44903</v>
      </c>
      <c r="C26" s="39">
        <f>IF(ISERROR(B26*3.6/1000000/'E Balans VL '!Z12*100),0,B26*3.6/1000000/'E Balans VL '!Z12*100)</f>
        <v>0.44942991871134647</v>
      </c>
      <c r="D26" s="235" t="s">
        <v>692</v>
      </c>
      <c r="F26" s="6"/>
    </row>
    <row r="27" spans="1:18">
      <c r="A27" s="229" t="s">
        <v>52</v>
      </c>
      <c r="B27" s="33">
        <f>IF(ISERROR(TER_horeca_ele_kWh/1000),0,TER_horeca_ele_kWh/1000)</f>
        <v>1964.4820460000001</v>
      </c>
      <c r="C27" s="39">
        <f>IF(ISERROR(B27*3.6/1000000/'E Balans VL '!Z9*100),0,B27*3.6/1000000/'E Balans VL '!Z9*100)</f>
        <v>0.14794290044088676</v>
      </c>
      <c r="D27" s="235" t="s">
        <v>692</v>
      </c>
      <c r="F27" s="6"/>
    </row>
    <row r="28" spans="1:18">
      <c r="A28" s="169" t="s">
        <v>51</v>
      </c>
      <c r="B28" s="33">
        <f>IF(ISERROR(TER_handel_ele_kWh/1000),0,TER_handel_ele_kWh/1000)</f>
        <v>19428.016019999999</v>
      </c>
      <c r="C28" s="39">
        <f>IF(ISERROR(B28*3.6/1000000/'E Balans VL '!Z13*100),0,B28*3.6/1000000/'E Balans VL '!Z13*100)</f>
        <v>0.56392646622891129</v>
      </c>
      <c r="D28" s="235" t="s">
        <v>692</v>
      </c>
      <c r="F28" s="6"/>
    </row>
    <row r="29" spans="1:18">
      <c r="A29" s="229" t="s">
        <v>50</v>
      </c>
      <c r="B29" s="33">
        <f>IF(ISERROR(TER_gezond_ele_kWh/1000),0,TER_gezond_ele_kWh/1000)</f>
        <v>1171.5662279999999</v>
      </c>
      <c r="C29" s="39">
        <f>IF(ISERROR(B29*3.6/1000000/'E Balans VL '!Z10*100),0,B29*3.6/1000000/'E Balans VL '!Z10*100)</f>
        <v>0.11815385124343154</v>
      </c>
      <c r="D29" s="235" t="s">
        <v>692</v>
      </c>
      <c r="F29" s="6"/>
    </row>
    <row r="30" spans="1:18">
      <c r="A30" s="229" t="s">
        <v>49</v>
      </c>
      <c r="B30" s="33">
        <f>IF(ISERROR(TER_ander_ele_kWh/1000),0,TER_ander_ele_kWh/1000)</f>
        <v>4654.5826220000008</v>
      </c>
      <c r="C30" s="39">
        <f>IF(ISERROR(B30*3.6/1000000/'E Balans VL '!Z14*100),0,B30*3.6/1000000/'E Balans VL '!Z14*100)</f>
        <v>0.33775346937613948</v>
      </c>
      <c r="D30" s="235" t="s">
        <v>692</v>
      </c>
      <c r="F30" s="6"/>
    </row>
    <row r="31" spans="1:18">
      <c r="A31" s="229" t="s">
        <v>54</v>
      </c>
      <c r="B31" s="33">
        <f>IF(ISERROR(TER_onderwijs_ele_kWh/1000),0,TER_onderwijs_ele_kWh/1000)</f>
        <v>246.65418299999999</v>
      </c>
      <c r="C31" s="39">
        <f>IF(ISERROR(B31*3.6/1000000/'E Balans VL '!Z11*100),0,B31*3.6/1000000/'E Balans VL '!Z11*100)</f>
        <v>7.0306486381027336E-2</v>
      </c>
      <c r="D31" s="235" t="s">
        <v>692</v>
      </c>
    </row>
    <row r="32" spans="1:18">
      <c r="A32" s="229" t="s">
        <v>248</v>
      </c>
      <c r="B32" s="33">
        <f>IF(ISERROR(TER_rest_ele_kWh/1000),0,TER_rest_ele_kWh/1000)</f>
        <v>9969.5273429999997</v>
      </c>
      <c r="C32" s="39">
        <f>IF(ISERROR(B32*3.6/1000000/'E Balans VL '!Z8*100),0,B32*3.6/1000000/'E Balans VL '!Z8*100)</f>
        <v>8.1668337296209148E-2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5</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77291.461190000002</v>
      </c>
      <c r="C5" s="17">
        <f>IF(ISERROR('Eigen informatie GS &amp; warmtenet'!B61),0,'Eigen informatie GS &amp; warmtenet'!B61)</f>
        <v>0</v>
      </c>
      <c r="D5" s="30">
        <f>SUM(D6:D15)</f>
        <v>212517.76173700599</v>
      </c>
      <c r="E5" s="17">
        <f>SUM(E6:E15)</f>
        <v>4206.7203951809142</v>
      </c>
      <c r="F5" s="17">
        <f>SUM(F6:F15)</f>
        <v>15388.237948887912</v>
      </c>
      <c r="G5" s="18"/>
      <c r="H5" s="17"/>
      <c r="I5" s="17"/>
      <c r="J5" s="17">
        <f>SUM(J6:J15)</f>
        <v>608.9637051422136</v>
      </c>
      <c r="K5" s="17"/>
      <c r="L5" s="17"/>
      <c r="M5" s="17"/>
      <c r="N5" s="17">
        <f>SUM(N6:N15)</f>
        <v>3069.1002296988881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2725.8888349999997</v>
      </c>
      <c r="C8" s="33"/>
      <c r="D8" s="37">
        <f>IF( ISERROR(IND_metaal_Gas_kWH/1000),0,IND_metaal_Gas_kWH/1000)*0.902</f>
        <v>8864.4244164520005</v>
      </c>
      <c r="E8" s="33">
        <f>C30*'E Balans VL '!I18/100/3.6*1000000</f>
        <v>19.665374736933046</v>
      </c>
      <c r="F8" s="33">
        <f>C30*'E Balans VL '!L18/100/3.6*1000000+C30*'E Balans VL '!N18/100/3.6*1000000</f>
        <v>257.81882192173714</v>
      </c>
      <c r="G8" s="34"/>
      <c r="H8" s="33"/>
      <c r="I8" s="33"/>
      <c r="J8" s="40">
        <f>C30*'E Balans VL '!D18/100/3.6*1000000+C30*'E Balans VL '!E18/100/3.6*1000000</f>
        <v>2.741714830923065</v>
      </c>
      <c r="K8" s="33"/>
      <c r="L8" s="33"/>
      <c r="M8" s="33"/>
      <c r="N8" s="33">
        <f>C30*'E Balans VL '!Y18/100/3.6*1000000</f>
        <v>34.462446864243233</v>
      </c>
      <c r="O8" s="33"/>
      <c r="P8" s="33"/>
      <c r="R8" s="32"/>
    </row>
    <row r="9" spans="1:18">
      <c r="A9" s="6" t="s">
        <v>32</v>
      </c>
      <c r="B9" s="37">
        <f t="shared" si="0"/>
        <v>3040.1591660000004</v>
      </c>
      <c r="C9" s="33"/>
      <c r="D9" s="37">
        <f>IF( ISERROR(IND_andere_gas_kWh/1000),0,IND_andere_gas_kWh/1000)*0.902</f>
        <v>5451.3104787239999</v>
      </c>
      <c r="E9" s="33">
        <f>C31*'E Balans VL '!I19/100/3.6*1000000</f>
        <v>842.46875691962521</v>
      </c>
      <c r="F9" s="33">
        <f>C31*'E Balans VL '!L19/100/3.6*1000000+C31*'E Balans VL '!N19/100/3.6*1000000</f>
        <v>2519.6904866153918</v>
      </c>
      <c r="G9" s="34"/>
      <c r="H9" s="33"/>
      <c r="I9" s="33"/>
      <c r="J9" s="40">
        <f>C31*'E Balans VL '!D19/100/3.6*1000000+C31*'E Balans VL '!E19/100/3.6*1000000</f>
        <v>0</v>
      </c>
      <c r="K9" s="33"/>
      <c r="L9" s="33"/>
      <c r="M9" s="33"/>
      <c r="N9" s="33">
        <f>C31*'E Balans VL '!Y19/100/3.6*1000000</f>
        <v>220.67837027939768</v>
      </c>
      <c r="O9" s="33"/>
      <c r="P9" s="33"/>
      <c r="R9" s="32"/>
    </row>
    <row r="10" spans="1:18">
      <c r="A10" s="6" t="s">
        <v>40</v>
      </c>
      <c r="B10" s="37">
        <f t="shared" si="0"/>
        <v>585.08446200000003</v>
      </c>
      <c r="C10" s="33"/>
      <c r="D10" s="37">
        <f>IF( ISERROR(IND_voed_gas_kWh/1000),0,IND_voed_gas_kWh/1000)*0.902</f>
        <v>716.363336172</v>
      </c>
      <c r="E10" s="33">
        <f>C32*'E Balans VL '!I20/100/3.6*1000000</f>
        <v>1.035797678553219</v>
      </c>
      <c r="F10" s="33">
        <f>C32*'E Balans VL '!L20/100/3.6*1000000+C32*'E Balans VL '!N20/100/3.6*1000000</f>
        <v>31.599746505071494</v>
      </c>
      <c r="G10" s="34"/>
      <c r="H10" s="33"/>
      <c r="I10" s="33"/>
      <c r="J10" s="40">
        <f>C32*'E Balans VL '!D20/100/3.6*1000000+C32*'E Balans VL '!E20/100/3.6*1000000</f>
        <v>0</v>
      </c>
      <c r="K10" s="33"/>
      <c r="L10" s="33"/>
      <c r="M10" s="33"/>
      <c r="N10" s="33">
        <f>C32*'E Balans VL '!Y20/100/3.6*1000000</f>
        <v>33.99787558791585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199.40589700000001</v>
      </c>
      <c r="C13" s="33"/>
      <c r="D13" s="37">
        <f>IF( ISERROR(IND_papier_gas_kWh/1000),0,IND_papier_gas_kWh/1000)*0.902</f>
        <v>60.186562458000004</v>
      </c>
      <c r="E13" s="33">
        <f>C35*'E Balans VL '!I23/100/3.6*1000000</f>
        <v>0.29339454651902402</v>
      </c>
      <c r="F13" s="33">
        <f>C35*'E Balans VL '!L23/100/3.6*1000000+C35*'E Balans VL '!N23/100/3.6*1000000</f>
        <v>2.1351000625806171</v>
      </c>
      <c r="G13" s="34"/>
      <c r="H13" s="33"/>
      <c r="I13" s="33"/>
      <c r="J13" s="40">
        <f>C35*'E Balans VL '!D23/100/3.6*1000000+C35*'E Balans VL '!E23/100/3.6*1000000</f>
        <v>21.8161233415554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70740.922829999996</v>
      </c>
      <c r="C15" s="33"/>
      <c r="D15" s="37">
        <f>IF( ISERROR(IND_rest_gas_kWh/1000),0,IND_rest_gas_kWh/1000)*0.902</f>
        <v>197425.47694319999</v>
      </c>
      <c r="E15" s="33">
        <f>C37*'E Balans VL '!I15/100/3.6*1000000</f>
        <v>3343.2570712992838</v>
      </c>
      <c r="F15" s="33">
        <f>C37*'E Balans VL '!L15/100/3.6*1000000+C37*'E Balans VL '!N15/100/3.6*1000000</f>
        <v>12576.993793783131</v>
      </c>
      <c r="G15" s="34"/>
      <c r="H15" s="33"/>
      <c r="I15" s="33"/>
      <c r="J15" s="40">
        <f>C37*'E Balans VL '!D15/100/3.6*1000000+C37*'E Balans VL '!E15/100/3.6*1000000</f>
        <v>584.40586696973514</v>
      </c>
      <c r="K15" s="33"/>
      <c r="L15" s="33"/>
      <c r="M15" s="33"/>
      <c r="N15" s="33">
        <f>C37*'E Balans VL '!Y15/100/3.6*1000000</f>
        <v>2779.9615369673315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77291.461190000002</v>
      </c>
      <c r="C18" s="21">
        <f>C5+C16</f>
        <v>0</v>
      </c>
      <c r="D18" s="21">
        <f>MAX((D5+D16),0)</f>
        <v>212517.76173700599</v>
      </c>
      <c r="E18" s="21">
        <f>MAX((E5+E16),0)</f>
        <v>4206.7203951809142</v>
      </c>
      <c r="F18" s="21">
        <f>MAX((F5+F16),0)</f>
        <v>15388.237948887912</v>
      </c>
      <c r="G18" s="21"/>
      <c r="H18" s="21"/>
      <c r="I18" s="21"/>
      <c r="J18" s="21">
        <f>MAX((J5+J16),0)</f>
        <v>608.9637051422136</v>
      </c>
      <c r="K18" s="21"/>
      <c r="L18" s="21">
        <f>MAX((L5+L16),0)</f>
        <v>0</v>
      </c>
      <c r="M18" s="21"/>
      <c r="N18" s="21">
        <f>MAX((N5+N16),0)</f>
        <v>3069.1002296988881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0.18418642912762442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14236.03823864247</v>
      </c>
      <c r="C22" s="23">
        <f ca="1">C18*C20</f>
        <v>0</v>
      </c>
      <c r="D22" s="23">
        <f>D18*D20</f>
        <v>42928.587870875213</v>
      </c>
      <c r="E22" s="23">
        <f>E18*E20</f>
        <v>954.92552970606755</v>
      </c>
      <c r="F22" s="23">
        <f>F18*F20</f>
        <v>4108.6595323530728</v>
      </c>
      <c r="G22" s="23"/>
      <c r="H22" s="23"/>
      <c r="I22" s="23"/>
      <c r="J22" s="23">
        <f>J18*J20</f>
        <v>215.57315162034359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2725.8888349999997</v>
      </c>
      <c r="C30" s="39">
        <f>IF(ISERROR(B30*3.6/1000000/'E Balans VL '!Z18*100),0,B30*3.6/1000000/'E Balans VL '!Z18*100)</f>
        <v>0.15736130911026361</v>
      </c>
      <c r="D30" s="235" t="s">
        <v>692</v>
      </c>
    </row>
    <row r="31" spans="1:18">
      <c r="A31" s="6" t="s">
        <v>32</v>
      </c>
      <c r="B31" s="37">
        <f>IF( ISERROR(IND_ander_ele_kWh/1000),0,IND_ander_ele_kWh/1000)</f>
        <v>3040.1591660000004</v>
      </c>
      <c r="C31" s="39">
        <f>IF(ISERROR(B31*3.6/1000000/'E Balans VL '!Z19*100),0,B31*3.6/1000000/'E Balans VL '!Z19*100)</f>
        <v>0.15291015175543132</v>
      </c>
      <c r="D31" s="235" t="s">
        <v>692</v>
      </c>
    </row>
    <row r="32" spans="1:18">
      <c r="A32" s="169" t="s">
        <v>40</v>
      </c>
      <c r="B32" s="37">
        <f>IF( ISERROR(IND_voed_ele_kWh/1000),0,IND_voed_ele_kWh/1000)</f>
        <v>585.08446200000003</v>
      </c>
      <c r="C32" s="39">
        <f>IF(ISERROR(B32*3.6/1000000/'E Balans VL '!Z20*100),0,B32*3.6/1000000/'E Balans VL '!Z20*100)</f>
        <v>1.9486786961286251E-2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199.40589700000001</v>
      </c>
      <c r="C35" s="39">
        <f>IF(ISERROR(B35*3.6/1000000/'E Balans VL '!Z22*100),0,B35*3.6/1000000/'E Balans VL '!Z22*100)</f>
        <v>3.7195934995518813E-2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70740.922829999996</v>
      </c>
      <c r="C37" s="39">
        <f>IF(ISERROR(B37*3.6/1000000/'E Balans VL '!Z15*100),0,B37*3.6/1000000/'E Balans VL '!Z15*100)</f>
        <v>0.55197264840820026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312.718008</v>
      </c>
      <c r="C5" s="17">
        <f>'Eigen informatie GS &amp; warmtenet'!B62</f>
        <v>0</v>
      </c>
      <c r="D5" s="30">
        <f>IF(ISERROR(SUM(LB_lb_gas_kWh,LB_rest_gas_kWh)/1000),0,SUM(LB_lb_gas_kWh,LB_rest_gas_kWh)/1000)*0.902</f>
        <v>111.32580694399999</v>
      </c>
      <c r="E5" s="17">
        <f>B17*'E Balans VL '!I25/3.6*1000000/100</f>
        <v>9.7598259080028651</v>
      </c>
      <c r="F5" s="17">
        <f>B17*('E Balans VL '!L25/3.6*1000000+'E Balans VL '!N25/3.6*1000000)/100</f>
        <v>1105.1800822384246</v>
      </c>
      <c r="G5" s="18"/>
      <c r="H5" s="17"/>
      <c r="I5" s="17"/>
      <c r="J5" s="17">
        <f>('E Balans VL '!D25+'E Balans VL '!E25)/3.6*1000000*landbouw!B17/100</f>
        <v>86.155979884379306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312.718008</v>
      </c>
      <c r="C8" s="21">
        <f>C5+C6</f>
        <v>0</v>
      </c>
      <c r="D8" s="21">
        <f>MAX((D5+D6),0)</f>
        <v>111.32580694399999</v>
      </c>
      <c r="E8" s="21">
        <f>MAX((E5+E6),0)</f>
        <v>9.7598259080028651</v>
      </c>
      <c r="F8" s="21">
        <f>MAX((F5+F6),0)</f>
        <v>1105.1800822384246</v>
      </c>
      <c r="G8" s="21"/>
      <c r="H8" s="21"/>
      <c r="I8" s="21"/>
      <c r="J8" s="21">
        <f>MAX((J5+J6),0)</f>
        <v>86.155979884379306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0.18418642912762442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57.598413217423889</v>
      </c>
      <c r="C12" s="23">
        <f ca="1">C8*C10</f>
        <v>0</v>
      </c>
      <c r="D12" s="23">
        <f>D8*D10</f>
        <v>22.487813002688</v>
      </c>
      <c r="E12" s="23">
        <f>E8*E10</f>
        <v>2.2154804811166504</v>
      </c>
      <c r="F12" s="23">
        <f>F8*F10</f>
        <v>295.08308195765937</v>
      </c>
      <c r="G12" s="23"/>
      <c r="H12" s="23"/>
      <c r="I12" s="23"/>
      <c r="J12" s="23">
        <f>J8*J10</f>
        <v>30.499216879070271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4.6487773664227156E-2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88.802218907636274</v>
      </c>
      <c r="C26" s="245">
        <f>B26*'GWP N2O_CH4'!B5</f>
        <v>1864.8465970603618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14.009450878901259</v>
      </c>
      <c r="C27" s="245">
        <f>B27*'GWP N2O_CH4'!B5</f>
        <v>294.19846845692643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1.2207815138578459</v>
      </c>
      <c r="C28" s="245">
        <f>B28*'GWP N2O_CH4'!B4</f>
        <v>378.44226929593225</v>
      </c>
      <c r="D28" s="50"/>
    </row>
    <row r="29" spans="1:4">
      <c r="A29" s="41" t="s">
        <v>265</v>
      </c>
      <c r="B29" s="245">
        <f>B34*'ha_N2O bodem landbouw'!B4</f>
        <v>4.5298894736372901</v>
      </c>
      <c r="C29" s="245">
        <f>B29*'GWP N2O_CH4'!B4</f>
        <v>1404.26573682756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9.9332320274251999E-4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9.7130056015183445E-4</v>
      </c>
      <c r="C5" s="431" t="s">
        <v>204</v>
      </c>
      <c r="D5" s="416">
        <f>SUM(D6:D11)</f>
        <v>1.6378422817973533E-3</v>
      </c>
      <c r="E5" s="416">
        <f>SUM(E6:E11)</f>
        <v>1.4824818974522314E-3</v>
      </c>
      <c r="F5" s="429" t="s">
        <v>204</v>
      </c>
      <c r="G5" s="416">
        <f>SUM(G6:G11)</f>
        <v>0.95031099498872607</v>
      </c>
      <c r="H5" s="416">
        <f>SUM(H6:H11)</f>
        <v>0.14687902250977464</v>
      </c>
      <c r="I5" s="431" t="s">
        <v>204</v>
      </c>
      <c r="J5" s="431" t="s">
        <v>204</v>
      </c>
      <c r="K5" s="431" t="s">
        <v>204</v>
      </c>
      <c r="L5" s="431" t="s">
        <v>204</v>
      </c>
      <c r="M5" s="416">
        <f>SUM(M6:M11)</f>
        <v>6.4502429840780098E-2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4.9888516230345531E-4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8.4216666334428877E-4</v>
      </c>
      <c r="E6" s="882">
        <f>vkm_GW_PW*SUMIFS(TableVerdeelsleutelVkm[LPG],TableVerdeelsleutelVkm[Voertuigtype],"Lichte voertuigen")*SUMIFS(TableECFTransport[EnergieConsumptieFactor (PJ per km)],TableECFTransport[Index],CONCATENATE($A6,"_LPG_LPG"))</f>
        <v>7.3796742888484655E-4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0.23052669219012578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7.5121409065869851E-2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1.8261814932655301E-2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8.7172043955501573E-6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0.33271131470513932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4.6247939327938577E-6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1.9178272002509385E-2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2.1227174285408783E-4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4.5754913740834725E-4</v>
      </c>
      <c r="E8" s="419">
        <f>vkm_NGW_PW*SUMIFS(TableVerdeelsleutelVkm[LPG],TableVerdeelsleutelVkm[Voertuigtype],"Lichte voertuigen")*SUMIFS(TableECFTransport[EnergieConsumptieFactor (PJ per km)],TableECFTransport[Index],CONCATENATE($A8,"_LPG_LPG"))</f>
        <v>3.8407218788144386E-4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0.11084787697528097</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4.0221808024692711E-2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9.0525896998848686E-3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1.8636676877783661E-6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9.1444378224258369E-2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1.193438596792658E-6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5.2710664477084498E-3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2.4729277721075043E-4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3.3812648104471741E-4</v>
      </c>
      <c r="E10" s="419">
        <f>vkm_SW_PW*SUMIFS(TableVerdeelsleutelVkm[LPG],TableVerdeelsleutelVkm[Voertuigtype],"Lichte voertuigen")*SUMIFS(TableECFTransport[EnergieConsumptieFactor (PJ per km)],TableECFTransport[Index],CONCATENATE($A10,"_LPG_LPG"))</f>
        <v>3.6044228068594095E-4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0.10260698525891578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3.1528747612436486E-2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8.0019899336606186E-3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2.2700057002124005E-6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8.2173747635005803E-2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1.2395742460348634E-6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4.7366968243614813E-3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269.80571115328735</v>
      </c>
      <c r="C14" s="21"/>
      <c r="D14" s="21">
        <f t="shared" ref="D14:M14" si="0">((D5)*10^9/3600)+D12</f>
        <v>454.95618938815369</v>
      </c>
      <c r="E14" s="21">
        <f t="shared" si="0"/>
        <v>411.80052707006422</v>
      </c>
      <c r="F14" s="21"/>
      <c r="G14" s="21">
        <f t="shared" si="0"/>
        <v>263975.2763857572</v>
      </c>
      <c r="H14" s="21">
        <f t="shared" si="0"/>
        <v>40799.728474937394</v>
      </c>
      <c r="I14" s="21"/>
      <c r="J14" s="21"/>
      <c r="K14" s="21"/>
      <c r="L14" s="21"/>
      <c r="M14" s="21">
        <f t="shared" si="0"/>
        <v>17917.341622438918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0.18418642912762442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49.69455049556327</v>
      </c>
      <c r="C18" s="23"/>
      <c r="D18" s="23">
        <f t="shared" ref="D18:M18" si="1">D14*D16</f>
        <v>91.90115025640705</v>
      </c>
      <c r="E18" s="23">
        <f t="shared" si="1"/>
        <v>93.478719644904587</v>
      </c>
      <c r="F18" s="23"/>
      <c r="G18" s="23">
        <f t="shared" si="1"/>
        <v>70481.398794997178</v>
      </c>
      <c r="H18" s="23">
        <f t="shared" si="1"/>
        <v>10159.13239025941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9.6293769005729031E-5</v>
      </c>
      <c r="C50" s="315">
        <f t="shared" ref="C50:P50" si="2">SUM(C51:C52)</f>
        <v>0</v>
      </c>
      <c r="D50" s="315">
        <f t="shared" si="2"/>
        <v>0</v>
      </c>
      <c r="E50" s="315">
        <f t="shared" si="2"/>
        <v>0</v>
      </c>
      <c r="F50" s="315">
        <f t="shared" si="2"/>
        <v>0</v>
      </c>
      <c r="G50" s="315">
        <f t="shared" si="2"/>
        <v>6.976628595136058E-3</v>
      </c>
      <c r="H50" s="315">
        <f t="shared" si="2"/>
        <v>0</v>
      </c>
      <c r="I50" s="315">
        <f t="shared" si="2"/>
        <v>0</v>
      </c>
      <c r="J50" s="315">
        <f t="shared" si="2"/>
        <v>0</v>
      </c>
      <c r="K50" s="315">
        <f t="shared" si="2"/>
        <v>0</v>
      </c>
      <c r="L50" s="315">
        <f t="shared" si="2"/>
        <v>0</v>
      </c>
      <c r="M50" s="315">
        <f t="shared" si="2"/>
        <v>3.9461888974815835E-4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9.6293769005729031E-5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6.976628595136058E-3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3.9461888974815835E-4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26.748269168258066</v>
      </c>
      <c r="C54" s="21">
        <f t="shared" ref="C54:P54" si="3">(C50)*10^9/3600</f>
        <v>0</v>
      </c>
      <c r="D54" s="21">
        <f t="shared" si="3"/>
        <v>0</v>
      </c>
      <c r="E54" s="21">
        <f t="shared" si="3"/>
        <v>0</v>
      </c>
      <c r="F54" s="21">
        <f t="shared" si="3"/>
        <v>0</v>
      </c>
      <c r="G54" s="21">
        <f t="shared" si="3"/>
        <v>1937.9523875377938</v>
      </c>
      <c r="H54" s="21">
        <f t="shared" si="3"/>
        <v>0</v>
      </c>
      <c r="I54" s="21">
        <f t="shared" si="3"/>
        <v>0</v>
      </c>
      <c r="J54" s="21">
        <f t="shared" si="3"/>
        <v>0</v>
      </c>
      <c r="K54" s="21">
        <f t="shared" si="3"/>
        <v>0</v>
      </c>
      <c r="L54" s="21">
        <f t="shared" si="3"/>
        <v>0</v>
      </c>
      <c r="M54" s="21">
        <f t="shared" si="3"/>
        <v>109.61635826337732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0.18418642912762442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4.9266681834459858</v>
      </c>
      <c r="C58" s="23">
        <f t="shared" ref="C58:P58" ca="1" si="4">C54*C56</f>
        <v>0</v>
      </c>
      <c r="D58" s="23">
        <f t="shared" si="4"/>
        <v>0</v>
      </c>
      <c r="E58" s="23">
        <f t="shared" si="4"/>
        <v>0</v>
      </c>
      <c r="F58" s="23">
        <f t="shared" si="4"/>
        <v>0</v>
      </c>
      <c r="G58" s="23">
        <f t="shared" si="4"/>
        <v>517.43328747259102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13266.609905342551</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15817.061590962518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29083.671496305069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2021-11-11T12:35:48Z</dcterms:modified>
</cp:coreProperties>
</file>