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C3111BEA-B6C4-4151-AEF3-D8326C9DD34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I9" i="18" s="1"/>
  <c r="I77" i="14" s="1"/>
  <c r="I9" i="59" s="1"/>
  <c r="T38" i="18"/>
  <c r="S38" i="18"/>
  <c r="E9" i="18" s="1"/>
  <c r="F77" i="14" s="1"/>
  <c r="F9" i="59" s="1"/>
  <c r="R38" i="18"/>
  <c r="Q38" i="18"/>
  <c r="P38" i="18"/>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D16" i="16" s="1"/>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9" i="20"/>
  <c r="C20" i="16"/>
  <c r="C22" i="16" s="1"/>
  <c r="D43" i="14" s="1"/>
  <c r="C18" i="15"/>
  <c r="C20" i="15" s="1"/>
  <c r="D40"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<sst xmlns="http://schemas.openxmlformats.org/spreadsheetml/2006/main" count="2487" uniqueCount="903">
  <si>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</si>
  <si>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</si>
  <si>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</si>
  <si>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</si>
  <si>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</si>
  <si>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</si>
  <si>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</si>
  <si>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</si>
  <si>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</si>
  <si>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</si>
  <si>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</si>
  <si>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</si>
  <si>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</si>
  <si>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</si>
  <si>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</si>
  <si>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</si>
  <si>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</si>
  <si>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</si>
  <si>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</si>
  <si>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</si>
  <si>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</si>
  <si>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</si>
  <si>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</si>
  <si>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</si>
  <si>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</si>
  <si>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</si>
  <si>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</si>
  <si>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</si>
  <si>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</si>
  <si>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</si>
  <si>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</si>
  <si>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</si>
  <si>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</si>
  <si>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</si>
  <si>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</si>
  <si>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</si>
  <si>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</si>
  <si>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</si>
  <si>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</si>
  <si>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</si>
  <si>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</si>
  <si>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</si>
  <si>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</si>
  <si>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</si>
  <si>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</si>
  <si>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</si>
  <si>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</si>
  <si>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</si>
  <si>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</si>
  <si>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</si>
  <si>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</si>
  <si>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</si>
  <si>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</si>
  <si>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</si>
  <si>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</si>
  <si>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</si>
  <si>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</si>
  <si>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</si>
  <si>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</si>
  <si>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</si>
  <si>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</si>
  <si>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</si>
  <si>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</si>
  <si>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</si>
  <si>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</si>
  <si>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</si>
  <si>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</si>
  <si>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</si>
  <si>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</si>
  <si>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</si>
  <si>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</si>
  <si>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</si>
  <si>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</si>
  <si>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</si>
  <si>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</si>
  <si>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</si>
  <si>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</si>
  <si>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</si>
  <si>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</si>
  <si>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</si>
  <si>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</si>
  <si>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</si>
  <si>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</si>
  <si>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</si>
  <si>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</si>
  <si>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</si>
  <si>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</si>
  <si>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</si>
  <si>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</si>
  <si>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</si>
  <si>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</si>
  <si>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</si>
  <si>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</si>
  <si>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</si>
  <si>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</si>
  <si>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</si>
  <si>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</si>
  <si>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</si>
  <si>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</si>
  <si>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</si>
  <si>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</si>
  <si>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</si>
  <si>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</si>
  <si>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</si>
  <si>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</si>
  <si>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</si>
  <si>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</si>
  <si>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</si>
  <si>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</si>
  <si>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</si>
  <si>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</si>
  <si>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</si>
  <si>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</si>
  <si>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</si>
  <si>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</si>
  <si>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</si>
  <si>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</si>
  <si>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</si>
  <si>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</si>
  <si>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</si>
  <si>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</si>
  <si>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</si>
  <si>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</si>
  <si>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</si>
  <si>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</si>
  <si>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</si>
  <si>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</si>
  <si>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</si>
  <si>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</si>
  <si>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</si>
  <si>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</si>
  <si>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</si>
  <si>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</si>
  <si>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</si>
  <si>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</si>
  <si>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</si>
  <si>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</si>
  <si>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</si>
  <si>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</si>
  <si>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</si>
  <si>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</si>
  <si>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</si>
  <si>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</si>
  <si>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</si>
  <si>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</si>
  <si>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</si>
  <si>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</si>
  <si>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</si>
  <si>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</si>
  <si>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</si>
  <si>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</si>
  <si>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</si>
  <si>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</si>
  <si>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</si>
  <si>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</si>
  <si>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</si>
  <si>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</si>
  <si>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</si>
  <si>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</si>
  <si>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</si>
  <si>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</si>
  <si>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</si>
  <si>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</si>
  <si>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</si>
  <si>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</si>
  <si>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</si>
  <si>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</si>
  <si>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</si>
  <si>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</si>
  <si>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</si>
  <si>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</si>
  <si>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</si>
  <si>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</si>
  <si>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</si>
  <si>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</si>
  <si>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</si>
  <si>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</si>
  <si>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</si>
  <si>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</si>
  <si>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</si>
  <si>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</si>
  <si>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</si>
  <si>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</si>
  <si>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</si>
  <si>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</si>
  <si>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</si>
  <si>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</si>
  <si>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</si>
  <si>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</si>
  <si>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</si>
  <si>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</si>
  <si>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</si>
  <si>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</si>
  <si>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</si>
  <si>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</si>
  <si>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</si>
  <si>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</si>
  <si>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</si>
  <si>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</si>
  <si>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</si>
  <si>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</si>
  <si>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</si>
  <si>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</si>
  <si>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</si>
  <si>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</si>
  <si>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</si>
  <si>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</si>
  <si>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</si>
  <si>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</si>
  <si>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</si>
  <si>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</si>
  <si>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</si>
  <si>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</si>
  <si>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</si>
  <si>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</si>
  <si>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</si>
  <si>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</si>
  <si>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</si>
  <si>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</si>
  <si>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</si>
  <si>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</si>
  <si>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</si>
  <si>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</si>
  <si>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</si>
  <si>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</si>
  <si>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</si>
  <si>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</si>
  <si>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</si>
  <si>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</si>
  <si>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</si>
  <si>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</si>
  <si>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</si>
  <si>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</si>
  <si>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</si>
  <si>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</si>
  <si>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</si>
  <si>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</si>
  <si>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</si>
  <si>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</si>
  <si>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</si>
  <si>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</si>
  <si>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</si>
  <si>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</si>
  <si>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</si>
  <si>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</si>
  <si>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</si>
  <si>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</si>
  <si>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</si>
  <si>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</si>
  <si>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</si>
  <si>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</si>
  <si>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</si>
  <si>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</si>
  <si>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</si>
  <si>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</si>
  <si>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</si>
  <si>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</si>
  <si>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</si>
  <si>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</si>
  <si>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</si>
  <si>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</si>
  <si>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</si>
  <si>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</si>
  <si>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</si>
  <si>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</si>
  <si>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</si>
  <si>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</si>
  <si>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</si>
  <si>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</si>
  <si>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</si>
  <si>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</si>
  <si>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</si>
  <si>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</si>
  <si>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</si>
  <si>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</si>
  <si>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</si>
  <si>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</si>
  <si>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</si>
  <si>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</si>
  <si>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</si>
  <si>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</si>
  <si>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</si>
  <si>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</si>
  <si>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</si>
  <si>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</si>
  <si>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</si>
  <si>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</si>
  <si>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</si>
  <si>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</si>
  <si>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</si>
  <si>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</si>
  <si>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</si>
  <si>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</si>
  <si>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</si>
  <si>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</si>
  <si>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</si>
  <si>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</si>
  <si>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</si>
  <si>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</si>
  <si>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</si>
  <si>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</si>
  <si>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</si>
  <si>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</si>
  <si>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</si>
  <si>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</si>
  <si>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</si>
  <si>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</si>
  <si>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</si>
  <si>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</si>
  <si>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</si>
  <si>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</si>
  <si>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</si>
  <si>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</si>
  <si>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</si>
  <si>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</si>
  <si>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</si>
  <si>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</si>
  <si>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</si>
  <si>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</si>
  <si>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</si>
  <si>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</si>
  <si>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</si>
  <si>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</si>
  <si>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</si>
  <si>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</si>
  <si>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</si>
  <si>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</si>
  <si>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</si>
  <si>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</si>
  <si>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</si>
  <si>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</si>
  <si>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</si>
  <si>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</si>
  <si>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</si>
  <si>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</si>
  <si>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</si>
  <si>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</si>
  <si>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</si>
  <si>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</si>
  <si>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</si>
  <si>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</si>
  <si>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</si>
  <si>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</si>
  <si>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</si>
  <si>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</si>
  <si>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</si>
  <si>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</si>
  <si>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</si>
  <si>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</si>
  <si>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</si>
  <si>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</si>
  <si>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</si>
  <si>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</si>
  <si>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</si>
  <si>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</si>
  <si>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</si>
  <si>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</si>
  <si>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</si>
  <si>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</si>
  <si>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</si>
  <si>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</si>
  <si>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</si>
  <si>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</si>
  <si>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</si>
  <si>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</si>
  <si>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</si>
  <si>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</si>
  <si>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</si>
  <si>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</si>
  <si>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</si>
  <si>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</si>
  <si>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</si>
  <si>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</si>
  <si>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</si>
  <si>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</si>
  <si>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</si>
  <si>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</si>
  <si>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</si>
  <si>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</si>
  <si>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</si>
  <si>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</si>
  <si>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</si>
  <si>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</si>
  <si>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</si>
  <si>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</si>
  <si>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</si>
  <si>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</si>
  <si>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</si>
  <si>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</si>
  <si>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</si>
  <si>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</si>
  <si>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</si>
  <si>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</si>
  <si>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</si>
  <si>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</si>
  <si>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</si>
  <si>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</si>
  <si>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</si>
  <si>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</si>
  <si>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</si>
  <si>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</si>
  <si>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</si>
  <si>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</si>
  <si>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</si>
  <si>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</si>
  <si>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</si>
  <si>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</si>
  <si>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</si>
  <si>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</si>
  <si>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</si>
  <si>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</si>
  <si>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</si>
  <si>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</si>
  <si>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</si>
  <si>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</si>
  <si>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</si>
  <si>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</si>
  <si>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</si>
  <si>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</si>
  <si>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</si>
  <si>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</si>
  <si>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</si>
  <si>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</si>
  <si>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</si>
  <si>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</si>
  <si>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</si>
  <si>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</si>
  <si>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</si>
  <si>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</si>
  <si>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</si>
  <si>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</si>
  <si>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</si>
  <si>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</si>
  <si>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</si>
  <si>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</si>
  <si>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</si>
  <si>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</si>
  <si>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</si>
  <si>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</si>
  <si>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</si>
  <si>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</si>
  <si>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</si>
  <si>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</si>
  <si>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</si>
  <si>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</si>
  <si>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</si>
  <si>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</si>
  <si>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</si>
  <si>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</si>
  <si>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</si>
  <si>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</si>
  <si>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</si>
  <si>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</si>
  <si>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</si>
  <si>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</si>
  <si>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</si>
  <si>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</si>
  <si>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</si>
  <si>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</si>
  <si>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</si>
  <si>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</si>
  <si>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</si>
  <si>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</si>
  <si>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</si>
  <si>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</si>
  <si>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</si>
  <si>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</si>
  <si>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</si>
  <si>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</si>
  <si>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</si>
  <si>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</si>
  <si>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</si>
  <si>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</si>
  <si>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</si>
  <si>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</si>
  <si>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</si>
  <si>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</si>
  <si>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</si>
  <si>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</si>
  <si>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</si>
  <si>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</si>
  <si>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</si>
  <si>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</si>
  <si>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</si>
  <si>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</si>
  <si>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</si>
  <si>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</si>
  <si>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</si>
  <si>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</si>
  <si>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</si>
  <si>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</si>
  <si>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</si>
  <si>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</si>
  <si>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</si>
  <si>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</si>
  <si>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</si>
  <si>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</si>
  <si>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</si>
  <si>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</si>
  <si>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</si>
  <si>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</si>
  <si>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</si>
  <si>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</si>
  <si>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</si>
  <si>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</si>
  <si>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</si>
  <si>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</si>
  <si>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</si>
  <si>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</si>
  <si>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</si>
  <si>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</si>
  <si>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</si>
  <si>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</si>
  <si>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</si>
  <si>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</si>
  <si>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</si>
  <si>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</si>
  <si>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</si>
  <si>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</si>
  <si>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</si>
  <si>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</si>
  <si>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</si>
  <si>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</si>
  <si>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</si>
  <si>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</si>
  <si>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</si>
  <si>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</si>
  <si>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</si>
  <si>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</si>
  <si>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</si>
  <si>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</si>
  <si>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</si>
  <si>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</si>
  <si>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</si>
  <si>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</si>
  <si>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</si>
  <si>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</si>
  <si>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</si>
  <si>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</si>
  <si>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</si>
  <si>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</si>
  <si>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</si>
  <si>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</si>
  <si>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</si>
  <si>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</si>
  <si>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</si>
  <si>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</si>
  <si>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</si>
  <si>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</si>
  <si>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</si>
  <si>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</si>
  <si>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</si>
  <si>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</si>
  <si>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</si>
  <si>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</si>
  <si>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</si>
  <si>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</si>
  <si>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</si>
  <si>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</si>
  <si>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</si>
  <si>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</si>
  <si>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</si>
  <si>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</si>
  <si>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</si>
  <si>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</si>
  <si>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</si>
  <si>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</si>
  <si>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</si>
  <si>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</si>
  <si>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</si>
  <si>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</si>
  <si>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</si>
  <si>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</si>
  <si>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</si>
  <si>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</si>
  <si>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</si>
  <si>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</si>
  <si>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</si>
  <si>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</si>
  <si>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</si>
  <si>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</si>
  <si>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</si>
  <si>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</si>
  <si>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</si>
  <si>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</si>
  <si>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</si>
  <si>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</si>
  <si>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</si>
  <si>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</si>
  <si>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</si>
  <si>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</si>
  <si>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</si>
  <si>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</si>
  <si>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</si>
  <si>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</si>
  <si>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</si>
  <si>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</si>
  <si>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</si>
  <si>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</si>
  <si>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</si>
  <si>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</si>
  <si>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</si>
  <si>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</si>
  <si>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</si>
  <si>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</si>
  <si>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</si>
  <si>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</si>
  <si>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</si>
  <si>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</si>
  <si>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</si>
  <si>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</si>
  <si>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</si>
  <si>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</si>
  <si>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</si>
  <si>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</si>
  <si>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</si>
  <si>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</si>
  <si>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</si>
  <si>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</si>
  <si>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</si>
  <si>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</si>
  <si>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</si>
  <si>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</si>
  <si>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</si>
  <si>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</si>
  <si>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</si>
  <si>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</si>
  <si>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</si>
  <si>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</si>
  <si>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</si>
  <si>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</si>
  <si>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</si>
  <si>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</si>
  <si>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</si>
  <si>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</si>
  <si>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</si>
  <si>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</si>
  <si>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</si>
  <si>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</si>
  <si>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</si>
  <si>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</si>
  <si>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</si>
  <si>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</si>
  <si>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</si>
  <si>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</si>
  <si>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</si>
  <si>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</si>
  <si>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</si>
  <si>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</si>
  <si>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</si>
  <si>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</si>
  <si>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</si>
  <si>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</si>
  <si>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</si>
  <si>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</si>
  <si>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</si>
  <si>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</si>
  <si>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</si>
  <si>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</si>
  <si>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</si>
  <si>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</si>
  <si>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</si>
  <si>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</si>
  <si>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</si>
  <si>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</si>
  <si>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</si>
  <si>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</si>
  <si>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</si>
  <si>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</si>
  <si>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</si>
  <si>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</si>
  <si>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</si>
  <si>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</si>
  <si>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</si>
  <si>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</si>
  <si>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</si>
  <si>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</si>
  <si>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</si>
  <si>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</si>
  <si>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</si>
  <si>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</si>
  <si>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</si>
  <si>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</si>
  <si>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</si>
  <si>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</si>
  <si>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</si>
  <si>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</si>
  <si>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</si>
  <si>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</si>
  <si>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</si>
  <si>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</si>
  <si>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</si>
  <si>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</si>
  <si>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</si>
  <si>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</si>
  <si>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</si>
  <si>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</si>
  <si>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</si>
  <si>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</si>
  <si>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</si>
  <si>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</si>
  <si>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</si>
  <si>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</si>
  <si>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</si>
  <si>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</si>
  <si>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</si>
  <si>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</si>
  <si>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</si>
  <si>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</si>
  <si>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</si>
  <si>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</si>
  <si>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</si>
  <si>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</si>
  <si>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</si>
  <si>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</si>
  <si>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</si>
  <si>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</si>
  <si>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</si>
  <si>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</si>
  <si>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</si>
  <si>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</si>
  <si>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</si>
  <si>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</si>
  <si>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</si>
  <si>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</si>
  <si>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</si>
  <si>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</si>
  <si>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</si>
  <si>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</si>
  <si>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</si>
  <si>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</si>
  <si>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</si>
  <si>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</si>
  <si>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</si>
  <si>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</si>
  <si>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</si>
  <si>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</si>
  <si>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</si>
  <si>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</si>
  <si>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</si>
  <si>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</si>
  <si>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</si>
  <si>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</si>
  <si>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</si>
  <si>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</si>
  <si>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</si>
  <si>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</si>
  <si>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</si>
  <si>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</si>
  <si>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</si>
  <si>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</si>
  <si>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</si>
  <si>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</si>
  <si>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</si>
  <si>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</si>
  <si>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</si>
  <si>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</si>
  <si>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</si>
  <si>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</si>
  <si>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</si>
  <si>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</si>
  <si>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</si>
  <si>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</si>
  <si>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</si>
  <si>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</si>
  <si>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</si>
  <si>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</si>
  <si>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</si>
  <si>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</si>
  <si>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</si>
  <si>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</si>
  <si>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</si>
  <si>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</si>
  <si>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</si>
  <si>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</si>
  <si>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</si>
  <si>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</si>
  <si>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</si>
  <si>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</si>
  <si>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</si>
  <si>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</si>
  <si>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</si>
  <si>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</si>
  <si>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</si>
  <si>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</si>
  <si>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</si>
  <si>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</si>
  <si>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</si>
  <si>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</si>
  <si>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</si>
  <si>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</si>
  <si>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</si>
  <si>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</si>
  <si>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</si>
  <si>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</si>
  <si>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</si>
  <si>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</si>
  <si>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</si>
  <si>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</si>
  <si>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</si>
  <si>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</si>
  <si>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</si>
  <si>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</si>
  <si>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</si>
  <si>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</si>
  <si>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</si>
  <si>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</si>
  <si>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</si>
  <si>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</si>
  <si>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</si>
  <si>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</si>
  <si>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</si>
  <si>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</si>
  <si>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</si>
  <si>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</si>
  <si>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</si>
  <si>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</si>
  <si>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</si>
  <si>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</si>
  <si>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</si>
  <si>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</si>
  <si>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</si>
  <si>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</si>
  <si>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</si>
  <si>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</si>
  <si>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</si>
  <si>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</si>
  <si>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</si>
  <si>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</si>
  <si>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</si>
  <si>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</si>
  <si>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</si>
  <si>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</si>
  <si>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</si>
  <si>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</si>
  <si>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</si>
  <si>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</si>
  <si>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</si>
  <si>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</si>
  <si>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</si>
  <si>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</si>
  <si>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</si>
  <si>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</si>
  <si>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</si>
  <si>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</si>
  <si>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</si>
  <si>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</si>
  <si>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</si>
  <si>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</si>
  <si>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</si>
  <si>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</si>
  <si>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</si>
  <si>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</si>
  <si>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</si>
  <si>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</si>
  <si>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</si>
  <si>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</si>
  <si>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</si>
  <si>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</si>
  <si>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</si>
  <si>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</si>
  <si>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</si>
  <si>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</si>
  <si>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</si>
  <si>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</si>
  <si>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</si>
  <si>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</si>
  <si>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</si>
  <si>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</si>
  <si>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</si>
  <si>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</si>
  <si>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</si>
  <si>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</si>
  <si>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</si>
  <si>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</si>
  <si>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</si>
  <si>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</si>
  <si>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</si>
  <si>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</si>
  <si>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</si>
  <si>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</si>
  <si>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</si>
  <si>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</si>
  <si>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</si>
  <si>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</si>
  <si>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</si>
  <si>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</si>
  <si>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</si>
  <si>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</si>
  <si>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</si>
  <si>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</si>
  <si>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</si>
  <si>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</si>
  <si>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</si>
  <si>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</si>
  <si>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</si>
  <si>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</si>
  <si>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12002</t>
  </si>
  <si>
    <t>BERLAAR</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</si>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</sst>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95F69029-383A-4F21-ADD9-97701AF70C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98285.214395589719</c:v>
                </c:pt>
                <c:pt idx="1">
                  <c:v>25203.12851403244</c:v>
                </c:pt>
                <c:pt idx="2">
                  <c:v>624.74599999999998</c:v>
                </c:pt>
                <c:pt idx="3">
                  <c:v>37502.258451289868</c:v>
                </c:pt>
                <c:pt idx="4">
                  <c:v>4982.2364296191035</c:v>
                </c:pt>
                <c:pt idx="5">
                  <c:v>41379.509094842106</c:v>
                </c:pt>
                <c:pt idx="6">
                  <c:v>478.27111076403889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98285.214395589719</c:v>
                </c:pt>
                <c:pt idx="1">
                  <c:v>25203.12851403244</c:v>
                </c:pt>
                <c:pt idx="2">
                  <c:v>624.74599999999998</c:v>
                </c:pt>
                <c:pt idx="3">
                  <c:v>37502.258451289868</c:v>
                </c:pt>
                <c:pt idx="4">
                  <c:v>4982.2364296191035</c:v>
                </c:pt>
                <c:pt idx="5">
                  <c:v>41379.509094842106</c:v>
                </c:pt>
                <c:pt idx="6">
                  <c:v>478.27111076403889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20077.078158909913</c:v>
                </c:pt>
                <c:pt idx="1">
                  <c:v>5137.5431321641408</c:v>
                </c:pt>
                <c:pt idx="2">
                  <c:v>134.14317621649741</c:v>
                </c:pt>
                <c:pt idx="3">
                  <c:v>9023.7351788362957</c:v>
                </c:pt>
                <c:pt idx="4">
                  <c:v>1074.1023369894608</c:v>
                </c:pt>
                <c:pt idx="5">
                  <c:v>10286.475970883832</c:v>
                </c:pt>
                <c:pt idx="6">
                  <c:v>120.62777351802355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20077.078158909913</c:v>
                </c:pt>
                <c:pt idx="1">
                  <c:v>5137.5431321641408</c:v>
                </c:pt>
                <c:pt idx="2">
                  <c:v>134.14317621649741</c:v>
                </c:pt>
                <c:pt idx="3">
                  <c:v>9023.7351788362957</c:v>
                </c:pt>
                <c:pt idx="4">
                  <c:v>1074.1023369894608</c:v>
                </c:pt>
                <c:pt idx="5">
                  <c:v>10286.475970883832</c:v>
                </c:pt>
                <c:pt idx="6">
                  <c:v>120.62777351802355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12002</v>
      </c>
      <c r="B6" s="384"/>
      <c r="C6" s="385"/>
    </row>
    <row r="7" spans="1:7" s="382" customFormat="1" ht="15.75" customHeight="1">
      <c r="A7" s="386" t="str">
        <f>txtMunicipality</f>
        <v>BERLAAR</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11467.856843999998</v>
      </c>
      <c r="D10" s="679">
        <f ca="1">tertiair!C16</f>
        <v>0</v>
      </c>
      <c r="E10" s="679">
        <f ca="1">tertiair!D16</f>
        <v>12105.123616761999</v>
      </c>
      <c r="F10" s="679">
        <f>tertiair!E16</f>
        <v>161.9082014609171</v>
      </c>
      <c r="G10" s="679">
        <f ca="1">tertiair!F16</f>
        <v>1226.0453806731398</v>
      </c>
      <c r="H10" s="679">
        <f>tertiair!G16</f>
        <v>0</v>
      </c>
      <c r="I10" s="679">
        <f>tertiair!H16</f>
        <v>0</v>
      </c>
      <c r="J10" s="679">
        <f>tertiair!I16</f>
        <v>0</v>
      </c>
      <c r="K10" s="679">
        <f>tertiair!J16</f>
        <v>2.197638090727785E-2</v>
      </c>
      <c r="L10" s="679">
        <f>tertiair!K16</f>
        <v>0</v>
      </c>
      <c r="M10" s="679">
        <f ca="1">tertiair!L16</f>
        <v>0</v>
      </c>
      <c r="N10" s="679">
        <f>tertiair!M16</f>
        <v>0</v>
      </c>
      <c r="O10" s="679">
        <f ca="1">tertiair!N16</f>
        <v>866.91849475548247</v>
      </c>
      <c r="P10" s="679">
        <f>tertiair!O16</f>
        <v>0</v>
      </c>
      <c r="Q10" s="680">
        <f>tertiair!P16</f>
        <v>0</v>
      </c>
      <c r="R10" s="682">
        <f ca="1">SUM(C10:Q10)</f>
        <v>25827.874514032439</v>
      </c>
      <c r="S10" s="67"/>
    </row>
    <row r="11" spans="1:19" s="442" customFormat="1">
      <c r="A11" s="800" t="s">
        <v>213</v>
      </c>
      <c r="B11" s="805"/>
      <c r="C11" s="679">
        <f>huishoudens!B8</f>
        <v>18157.102574974011</v>
      </c>
      <c r="D11" s="679">
        <f>huishoudens!C8</f>
        <v>0</v>
      </c>
      <c r="E11" s="679">
        <f>huishoudens!D8</f>
        <v>50165.677487860004</v>
      </c>
      <c r="F11" s="679">
        <f>huishoudens!E8</f>
        <v>1327.3443071851989</v>
      </c>
      <c r="G11" s="679">
        <f>huishoudens!F8</f>
        <v>21398.559324726353</v>
      </c>
      <c r="H11" s="679">
        <f>huishoudens!G8</f>
        <v>0</v>
      </c>
      <c r="I11" s="679">
        <f>huishoudens!H8</f>
        <v>0</v>
      </c>
      <c r="J11" s="679">
        <f>huishoudens!I8</f>
        <v>0</v>
      </c>
      <c r="K11" s="679">
        <f>huishoudens!J8</f>
        <v>85.486301079237037</v>
      </c>
      <c r="L11" s="679">
        <f>huishoudens!K8</f>
        <v>0</v>
      </c>
      <c r="M11" s="679">
        <f>huishoudens!L8</f>
        <v>0</v>
      </c>
      <c r="N11" s="679">
        <f>huishoudens!M8</f>
        <v>0</v>
      </c>
      <c r="O11" s="679">
        <f>huishoudens!N8</f>
        <v>6379.7054051853183</v>
      </c>
      <c r="P11" s="679">
        <f>huishoudens!O8</f>
        <v>234.10706988766975</v>
      </c>
      <c r="Q11" s="680">
        <f>huishoudens!P8</f>
        <v>537.23192469193623</v>
      </c>
      <c r="R11" s="682">
        <f>SUM(C11:Q11)</f>
        <v>98285.214395589719</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1709.124804</v>
      </c>
      <c r="D13" s="679">
        <f>industrie!C18</f>
        <v>0</v>
      </c>
      <c r="E13" s="679">
        <f>industrie!D18</f>
        <v>1975.4895190360003</v>
      </c>
      <c r="F13" s="679">
        <f>industrie!E18</f>
        <v>290.70713864197256</v>
      </c>
      <c r="G13" s="679">
        <f>industrie!F18</f>
        <v>901.4304721255246</v>
      </c>
      <c r="H13" s="679">
        <f>industrie!G18</f>
        <v>0</v>
      </c>
      <c r="I13" s="679">
        <f>industrie!H18</f>
        <v>0</v>
      </c>
      <c r="J13" s="679">
        <f>industrie!I18</f>
        <v>0</v>
      </c>
      <c r="K13" s="679">
        <f>industrie!J18</f>
        <v>3.9660184655578536</v>
      </c>
      <c r="L13" s="679">
        <f>industrie!K18</f>
        <v>0</v>
      </c>
      <c r="M13" s="679">
        <f>industrie!L18</f>
        <v>0</v>
      </c>
      <c r="N13" s="679">
        <f>industrie!M18</f>
        <v>0</v>
      </c>
      <c r="O13" s="679">
        <f>industrie!N18</f>
        <v>101.51847735004903</v>
      </c>
      <c r="P13" s="679">
        <f>industrie!O18</f>
        <v>0</v>
      </c>
      <c r="Q13" s="680">
        <f>industrie!P18</f>
        <v>0</v>
      </c>
      <c r="R13" s="682">
        <f>SUM(C13:Q13)</f>
        <v>4982.2364296191035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31334.084222974008</v>
      </c>
      <c r="D16" s="715">
        <f t="shared" ref="D16:R16" ca="1" si="0">SUM(D9:D15)</f>
        <v>0</v>
      </c>
      <c r="E16" s="715">
        <f t="shared" ca="1" si="0"/>
        <v>64246.290623658002</v>
      </c>
      <c r="F16" s="715">
        <f t="shared" si="0"/>
        <v>1779.9596472880885</v>
      </c>
      <c r="G16" s="715">
        <f t="shared" ca="1" si="0"/>
        <v>23526.035177525016</v>
      </c>
      <c r="H16" s="715">
        <f t="shared" si="0"/>
        <v>0</v>
      </c>
      <c r="I16" s="715">
        <f t="shared" si="0"/>
        <v>0</v>
      </c>
      <c r="J16" s="715">
        <f t="shared" si="0"/>
        <v>0</v>
      </c>
      <c r="K16" s="715">
        <f t="shared" si="0"/>
        <v>89.474295925702165</v>
      </c>
      <c r="L16" s="715">
        <f t="shared" si="0"/>
        <v>0</v>
      </c>
      <c r="M16" s="715">
        <f t="shared" ca="1" si="0"/>
        <v>0</v>
      </c>
      <c r="N16" s="715">
        <f t="shared" si="0"/>
        <v>0</v>
      </c>
      <c r="O16" s="715">
        <f t="shared" ca="1" si="0"/>
        <v>7348.1423772908493</v>
      </c>
      <c r="P16" s="715">
        <f t="shared" si="0"/>
        <v>234.10706988766975</v>
      </c>
      <c r="Q16" s="715">
        <f t="shared" si="0"/>
        <v>537.23192469193623</v>
      </c>
      <c r="R16" s="715">
        <f t="shared" ca="1" si="0"/>
        <v>129095.32533924127</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6.1672947354707111</v>
      </c>
      <c r="D19" s="679">
        <f>transport!C54</f>
        <v>0</v>
      </c>
      <c r="E19" s="679">
        <f>transport!D54</f>
        <v>0</v>
      </c>
      <c r="F19" s="679">
        <f>transport!E54</f>
        <v>0</v>
      </c>
      <c r="G19" s="679">
        <f>transport!F54</f>
        <v>0</v>
      </c>
      <c r="H19" s="679">
        <f>transport!G54</f>
        <v>446.8297923156079</v>
      </c>
      <c r="I19" s="679">
        <f>transport!H54</f>
        <v>0</v>
      </c>
      <c r="J19" s="679">
        <f>transport!I54</f>
        <v>0</v>
      </c>
      <c r="K19" s="679">
        <f>transport!J54</f>
        <v>0</v>
      </c>
      <c r="L19" s="679">
        <f>transport!K54</f>
        <v>0</v>
      </c>
      <c r="M19" s="679">
        <f>transport!L54</f>
        <v>0</v>
      </c>
      <c r="N19" s="679">
        <f>transport!M54</f>
        <v>25.274023712960261</v>
      </c>
      <c r="O19" s="679">
        <f>transport!N54</f>
        <v>0</v>
      </c>
      <c r="P19" s="679">
        <f>transport!O54</f>
        <v>0</v>
      </c>
      <c r="Q19" s="680">
        <f>transport!P54</f>
        <v>0</v>
      </c>
      <c r="R19" s="682">
        <f>SUM(C19:Q19)</f>
        <v>478.27111076403889</v>
      </c>
      <c r="S19" s="67"/>
    </row>
    <row r="20" spans="1:19" s="442" customFormat="1">
      <c r="A20" s="800" t="s">
        <v>295</v>
      </c>
      <c r="B20" s="805"/>
      <c r="C20" s="679">
        <f>transport!B14</f>
        <v>48.264056021824345</v>
      </c>
      <c r="D20" s="679">
        <f>transport!C14</f>
        <v>0</v>
      </c>
      <c r="E20" s="679">
        <f>transport!D14</f>
        <v>84.609816302508833</v>
      </c>
      <c r="F20" s="679">
        <f>transport!E14</f>
        <v>73.543091276462846</v>
      </c>
      <c r="G20" s="679">
        <f>transport!F14</f>
        <v>0</v>
      </c>
      <c r="H20" s="679">
        <f>transport!G14</f>
        <v>31341.824126952979</v>
      </c>
      <c r="I20" s="679">
        <f>transport!H14</f>
        <v>7526.3469188079898</v>
      </c>
      <c r="J20" s="679">
        <f>transport!I14</f>
        <v>0</v>
      </c>
      <c r="K20" s="679">
        <f>transport!J14</f>
        <v>0</v>
      </c>
      <c r="L20" s="679">
        <f>transport!K14</f>
        <v>0</v>
      </c>
      <c r="M20" s="679">
        <f>transport!L14</f>
        <v>0</v>
      </c>
      <c r="N20" s="679">
        <f>transport!M14</f>
        <v>2304.9210854803414</v>
      </c>
      <c r="O20" s="679">
        <f>transport!N14</f>
        <v>0</v>
      </c>
      <c r="P20" s="679">
        <f>transport!O14</f>
        <v>0</v>
      </c>
      <c r="Q20" s="680">
        <f>transport!P14</f>
        <v>0</v>
      </c>
      <c r="R20" s="682">
        <f>SUM(C20:Q20)</f>
        <v>41379.509094842106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54.431350757295057</v>
      </c>
      <c r="D22" s="803">
        <f t="shared" ref="D22:R22" si="1">SUM(D18:D21)</f>
        <v>0</v>
      </c>
      <c r="E22" s="803">
        <f t="shared" si="1"/>
        <v>84.609816302508833</v>
      </c>
      <c r="F22" s="803">
        <f t="shared" si="1"/>
        <v>73.543091276462846</v>
      </c>
      <c r="G22" s="803">
        <f t="shared" si="1"/>
        <v>0</v>
      </c>
      <c r="H22" s="803">
        <f t="shared" si="1"/>
        <v>31788.653919268589</v>
      </c>
      <c r="I22" s="803">
        <f t="shared" si="1"/>
        <v>7526.3469188079898</v>
      </c>
      <c r="J22" s="803">
        <f t="shared" si="1"/>
        <v>0</v>
      </c>
      <c r="K22" s="803">
        <f t="shared" si="1"/>
        <v>0</v>
      </c>
      <c r="L22" s="803">
        <f t="shared" si="1"/>
        <v>0</v>
      </c>
      <c r="M22" s="803">
        <f t="shared" si="1"/>
        <v>0</v>
      </c>
      <c r="N22" s="803">
        <f t="shared" si="1"/>
        <v>2330.1951091933015</v>
      </c>
      <c r="O22" s="803">
        <f t="shared" si="1"/>
        <v>0</v>
      </c>
      <c r="P22" s="803">
        <f t="shared" si="1"/>
        <v>0</v>
      </c>
      <c r="Q22" s="803">
        <f t="shared" si="1"/>
        <v>0</v>
      </c>
      <c r="R22" s="803">
        <f t="shared" si="1"/>
        <v>41857.780205606148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990.26192100000003</v>
      </c>
      <c r="D24" s="679">
        <f>+landbouw!C8</f>
        <v>32708.571428571431</v>
      </c>
      <c r="E24" s="679">
        <f>+landbouw!D8</f>
        <v>0</v>
      </c>
      <c r="F24" s="679">
        <f>+landbouw!E8</f>
        <v>30.905748006314003</v>
      </c>
      <c r="G24" s="679">
        <f>+landbouw!F8</f>
        <v>3499.6953270703884</v>
      </c>
      <c r="H24" s="679">
        <f>+landbouw!G8</f>
        <v>0</v>
      </c>
      <c r="I24" s="679">
        <f>+landbouw!H8</f>
        <v>0</v>
      </c>
      <c r="J24" s="679">
        <f>+landbouw!I8</f>
        <v>0</v>
      </c>
      <c r="K24" s="679">
        <f>+landbouw!J8</f>
        <v>272.82402664173662</v>
      </c>
      <c r="L24" s="679">
        <f>+landbouw!K8</f>
        <v>0</v>
      </c>
      <c r="M24" s="679">
        <f>+landbouw!L8</f>
        <v>0</v>
      </c>
      <c r="N24" s="679">
        <f>+landbouw!M8</f>
        <v>0</v>
      </c>
      <c r="O24" s="679">
        <f>+landbouw!N8</f>
        <v>0</v>
      </c>
      <c r="P24" s="679">
        <f>+landbouw!O8</f>
        <v>0</v>
      </c>
      <c r="Q24" s="680">
        <f>+landbouw!P8</f>
        <v>0</v>
      </c>
      <c r="R24" s="682">
        <f>SUM(C24:Q24)</f>
        <v>37502.258451289868</v>
      </c>
      <c r="S24" s="67"/>
    </row>
    <row r="25" spans="1:19" s="442" customFormat="1" ht="15" thickBot="1">
      <c r="A25" s="822" t="s">
        <v>708</v>
      </c>
      <c r="B25" s="941"/>
      <c r="C25" s="942">
        <f>IF(Onbekend_ele_kWh="---",0,Onbekend_ele_kWh)/1000+IF(REST_rest_ele_kWh="---",0,REST_rest_ele_kWh)/1000</f>
        <v>563.34053000000006</v>
      </c>
      <c r="D25" s="942"/>
      <c r="E25" s="942">
        <f>IF(onbekend_gas_kWh="---",0,onbekend_gas_kWh)/1000+IF(REST_rest_gas_kWh="---",0,REST_rest_gas_kWh)/1000</f>
        <v>1923.504962</v>
      </c>
      <c r="F25" s="942"/>
      <c r="G25" s="942"/>
      <c r="H25" s="942"/>
      <c r="I25" s="942"/>
      <c r="J25" s="942"/>
      <c r="K25" s="942"/>
      <c r="L25" s="942"/>
      <c r="M25" s="942"/>
      <c r="N25" s="942"/>
      <c r="O25" s="942"/>
      <c r="P25" s="942"/>
      <c r="Q25" s="943"/>
      <c r="R25" s="682">
        <f>SUM(C25:Q25)</f>
        <v>2486.8454919999999</v>
      </c>
      <c r="S25" s="67"/>
    </row>
    <row r="26" spans="1:19" s="442" customFormat="1" ht="15.75" thickBot="1">
      <c r="A26" s="687" t="s">
        <v>709</v>
      </c>
      <c r="B26" s="808"/>
      <c r="C26" s="803">
        <f>SUM(C24:C25)</f>
        <v>1553.6024510000002</v>
      </c>
      <c r="D26" s="803">
        <f t="shared" ref="D26:R26" si="2">SUM(D24:D25)</f>
        <v>32708.571428571431</v>
      </c>
      <c r="E26" s="803">
        <f t="shared" si="2"/>
        <v>1923.504962</v>
      </c>
      <c r="F26" s="803">
        <f t="shared" si="2"/>
        <v>30.905748006314003</v>
      </c>
      <c r="G26" s="803">
        <f t="shared" si="2"/>
        <v>3499.6953270703884</v>
      </c>
      <c r="H26" s="803">
        <f t="shared" si="2"/>
        <v>0</v>
      </c>
      <c r="I26" s="803">
        <f t="shared" si="2"/>
        <v>0</v>
      </c>
      <c r="J26" s="803">
        <f t="shared" si="2"/>
        <v>0</v>
      </c>
      <c r="K26" s="803">
        <f t="shared" si="2"/>
        <v>272.82402664173662</v>
      </c>
      <c r="L26" s="803">
        <f t="shared" si="2"/>
        <v>0</v>
      </c>
      <c r="M26" s="803">
        <f t="shared" si="2"/>
        <v>0</v>
      </c>
      <c r="N26" s="803">
        <f t="shared" si="2"/>
        <v>0</v>
      </c>
      <c r="O26" s="803">
        <f t="shared" si="2"/>
        <v>0</v>
      </c>
      <c r="P26" s="803">
        <f t="shared" si="2"/>
        <v>0</v>
      </c>
      <c r="Q26" s="803">
        <f t="shared" si="2"/>
        <v>0</v>
      </c>
      <c r="R26" s="803">
        <f t="shared" si="2"/>
        <v>39989.103943289869</v>
      </c>
      <c r="S26" s="67"/>
    </row>
    <row r="27" spans="1:19" s="442" customFormat="1" ht="17.25" thickTop="1" thickBot="1">
      <c r="A27" s="688" t="s">
        <v>109</v>
      </c>
      <c r="B27" s="795"/>
      <c r="C27" s="689">
        <f ca="1">C22+C16+C26</f>
        <v>32942.118024731302</v>
      </c>
      <c r="D27" s="689">
        <f t="shared" ref="D27:R27" ca="1" si="3">D22+D16+D26</f>
        <v>32708.571428571431</v>
      </c>
      <c r="E27" s="689">
        <f t="shared" ca="1" si="3"/>
        <v>66254.40540196051</v>
      </c>
      <c r="F27" s="689">
        <f t="shared" si="3"/>
        <v>1884.4084865708653</v>
      </c>
      <c r="G27" s="689">
        <f t="shared" ca="1" si="3"/>
        <v>27025.730504595405</v>
      </c>
      <c r="H27" s="689">
        <f t="shared" si="3"/>
        <v>31788.653919268589</v>
      </c>
      <c r="I27" s="689">
        <f t="shared" si="3"/>
        <v>7526.3469188079898</v>
      </c>
      <c r="J27" s="689">
        <f t="shared" si="3"/>
        <v>0</v>
      </c>
      <c r="K27" s="689">
        <f t="shared" si="3"/>
        <v>362.29832256743879</v>
      </c>
      <c r="L27" s="689">
        <f t="shared" si="3"/>
        <v>0</v>
      </c>
      <c r="M27" s="689">
        <f t="shared" ca="1" si="3"/>
        <v>0</v>
      </c>
      <c r="N27" s="689">
        <f t="shared" si="3"/>
        <v>2330.1951091933015</v>
      </c>
      <c r="O27" s="689">
        <f t="shared" ca="1" si="3"/>
        <v>7348.1423772908493</v>
      </c>
      <c r="P27" s="689">
        <f t="shared" si="3"/>
        <v>234.10706988766975</v>
      </c>
      <c r="Q27" s="689">
        <f t="shared" si="3"/>
        <v>537.23192469193623</v>
      </c>
      <c r="R27" s="689">
        <f t="shared" ca="1" si="3"/>
        <v>210942.20948813731</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2462.336279784517</v>
      </c>
      <c r="D40" s="679">
        <f ca="1">tertiair!C20</f>
        <v>0</v>
      </c>
      <c r="E40" s="679">
        <f ca="1">tertiair!D20</f>
        <v>2445.2349705859237</v>
      </c>
      <c r="F40" s="679">
        <f>tertiair!E20</f>
        <v>36.753161731628182</v>
      </c>
      <c r="G40" s="679">
        <f ca="1">tertiair!F20</f>
        <v>327.35411663972832</v>
      </c>
      <c r="H40" s="679">
        <f>tertiair!G20</f>
        <v>0</v>
      </c>
      <c r="I40" s="679">
        <f>tertiair!H20</f>
        <v>0</v>
      </c>
      <c r="J40" s="679">
        <f>tertiair!I20</f>
        <v>0</v>
      </c>
      <c r="K40" s="679">
        <f>tertiair!J20</f>
        <v>7.7796388411763588E-3</v>
      </c>
      <c r="L40" s="679">
        <f>tertiair!K20</f>
        <v>0</v>
      </c>
      <c r="M40" s="679">
        <f ca="1">tertiair!L20</f>
        <v>0</v>
      </c>
      <c r="N40" s="679">
        <f>tertiair!M20</f>
        <v>0</v>
      </c>
      <c r="O40" s="679">
        <f ca="1">tertiair!N20</f>
        <v>0</v>
      </c>
      <c r="P40" s="679">
        <f>tertiair!O20</f>
        <v>0</v>
      </c>
      <c r="Q40" s="762">
        <f>tertiair!P20</f>
        <v>0</v>
      </c>
      <c r="R40" s="841">
        <f t="shared" ca="1" si="4"/>
        <v>5271.6863083806384</v>
      </c>
    </row>
    <row r="41" spans="1:18">
      <c r="A41" s="813" t="s">
        <v>213</v>
      </c>
      <c r="B41" s="820"/>
      <c r="C41" s="679">
        <f ca="1">huishoudens!B12</f>
        <v>3898.6266583471647</v>
      </c>
      <c r="D41" s="679">
        <f ca="1">huishoudens!C12</f>
        <v>0</v>
      </c>
      <c r="E41" s="679">
        <f>huishoudens!D12</f>
        <v>10133.466852547721</v>
      </c>
      <c r="F41" s="679">
        <f>huishoudens!E12</f>
        <v>301.30715773104015</v>
      </c>
      <c r="G41" s="679">
        <f>huishoudens!F12</f>
        <v>5713.4153397019363</v>
      </c>
      <c r="H41" s="679">
        <f>huishoudens!G12</f>
        <v>0</v>
      </c>
      <c r="I41" s="679">
        <f>huishoudens!H12</f>
        <v>0</v>
      </c>
      <c r="J41" s="679">
        <f>huishoudens!I12</f>
        <v>0</v>
      </c>
      <c r="K41" s="679">
        <f>huishoudens!J12</f>
        <v>30.262150582049909</v>
      </c>
      <c r="L41" s="679">
        <f>huishoudens!K12</f>
        <v>0</v>
      </c>
      <c r="M41" s="679">
        <f>huishoudens!L12</f>
        <v>0</v>
      </c>
      <c r="N41" s="679">
        <f>huishoudens!M12</f>
        <v>0</v>
      </c>
      <c r="O41" s="679">
        <f>huishoudens!N12</f>
        <v>0</v>
      </c>
      <c r="P41" s="679">
        <f>huishoudens!O12</f>
        <v>0</v>
      </c>
      <c r="Q41" s="762">
        <f>huishoudens!P12</f>
        <v>0</v>
      </c>
      <c r="R41" s="841">
        <f t="shared" ca="1" si="4"/>
        <v>20077.078158909913</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366.97702707813835</v>
      </c>
      <c r="D43" s="679">
        <f ca="1">industrie!C22</f>
        <v>0</v>
      </c>
      <c r="E43" s="679">
        <f>industrie!D22</f>
        <v>399.04888284527209</v>
      </c>
      <c r="F43" s="679">
        <f>industrie!E22</f>
        <v>65.990520471727777</v>
      </c>
      <c r="G43" s="679">
        <f>industrie!F22</f>
        <v>240.68193605751509</v>
      </c>
      <c r="H43" s="679">
        <f>industrie!G22</f>
        <v>0</v>
      </c>
      <c r="I43" s="679">
        <f>industrie!H22</f>
        <v>0</v>
      </c>
      <c r="J43" s="679">
        <f>industrie!I22</f>
        <v>0</v>
      </c>
      <c r="K43" s="679">
        <f>industrie!J22</f>
        <v>1.4039705368074802</v>
      </c>
      <c r="L43" s="679">
        <f>industrie!K22</f>
        <v>0</v>
      </c>
      <c r="M43" s="679">
        <f>industrie!L22</f>
        <v>0</v>
      </c>
      <c r="N43" s="679">
        <f>industrie!M22</f>
        <v>0</v>
      </c>
      <c r="O43" s="679">
        <f>industrie!N22</f>
        <v>0</v>
      </c>
      <c r="P43" s="679">
        <f>industrie!O22</f>
        <v>0</v>
      </c>
      <c r="Q43" s="762">
        <f>industrie!P22</f>
        <v>0</v>
      </c>
      <c r="R43" s="840">
        <f t="shared" ca="1" si="4"/>
        <v>1074.1023369894608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6727.93996520982</v>
      </c>
      <c r="D46" s="715">
        <f t="shared" ref="D46:Q46" ca="1" si="5">SUM(D39:D45)</f>
        <v>0</v>
      </c>
      <c r="E46" s="715">
        <f t="shared" ca="1" si="5"/>
        <v>12977.750705978917</v>
      </c>
      <c r="F46" s="715">
        <f t="shared" si="5"/>
        <v>404.05083993439609</v>
      </c>
      <c r="G46" s="715">
        <f t="shared" ca="1" si="5"/>
        <v>6281.4513923991799</v>
      </c>
      <c r="H46" s="715">
        <f t="shared" si="5"/>
        <v>0</v>
      </c>
      <c r="I46" s="715">
        <f t="shared" si="5"/>
        <v>0</v>
      </c>
      <c r="J46" s="715">
        <f t="shared" si="5"/>
        <v>0</v>
      </c>
      <c r="K46" s="715">
        <f t="shared" si="5"/>
        <v>31.673900757698565</v>
      </c>
      <c r="L46" s="715">
        <f t="shared" si="5"/>
        <v>0</v>
      </c>
      <c r="M46" s="715">
        <f t="shared" ca="1" si="5"/>
        <v>0</v>
      </c>
      <c r="N46" s="715">
        <f t="shared" si="5"/>
        <v>0</v>
      </c>
      <c r="O46" s="715">
        <f t="shared" ca="1" si="5"/>
        <v>0</v>
      </c>
      <c r="P46" s="715">
        <f t="shared" si="5"/>
        <v>0</v>
      </c>
      <c r="Q46" s="715">
        <f t="shared" si="5"/>
        <v>0</v>
      </c>
      <c r="R46" s="715">
        <f ca="1">SUM(R39:R45)</f>
        <v>26422.866804280013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1.3242189697562281</v>
      </c>
      <c r="D49" s="679">
        <f ca="1">transport!C58</f>
        <v>0</v>
      </c>
      <c r="E49" s="679">
        <f>transport!D58</f>
        <v>0</v>
      </c>
      <c r="F49" s="679">
        <f>transport!E58</f>
        <v>0</v>
      </c>
      <c r="G49" s="679">
        <f>transport!F58</f>
        <v>0</v>
      </c>
      <c r="H49" s="679">
        <f>transport!G58</f>
        <v>119.30355454826731</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120.62777351802355</v>
      </c>
    </row>
    <row r="50" spans="1:18">
      <c r="A50" s="816" t="s">
        <v>295</v>
      </c>
      <c r="B50" s="826"/>
      <c r="C50" s="685">
        <f ca="1">transport!B18</f>
        <v>10.363081591332296</v>
      </c>
      <c r="D50" s="685">
        <f>transport!C18</f>
        <v>0</v>
      </c>
      <c r="E50" s="685">
        <f>transport!D18</f>
        <v>17.091182893106787</v>
      </c>
      <c r="F50" s="685">
        <f>transport!E18</f>
        <v>16.694281719757068</v>
      </c>
      <c r="G50" s="685">
        <f>transport!F18</f>
        <v>0</v>
      </c>
      <c r="H50" s="685">
        <f>transport!G18</f>
        <v>8368.2670418964462</v>
      </c>
      <c r="I50" s="685">
        <f>transport!H18</f>
        <v>1874.0603827831894</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10286.475970883832</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11.687300561088524</v>
      </c>
      <c r="D52" s="715">
        <f t="shared" ref="D52:Q52" ca="1" si="6">SUM(D48:D51)</f>
        <v>0</v>
      </c>
      <c r="E52" s="715">
        <f t="shared" si="6"/>
        <v>17.091182893106787</v>
      </c>
      <c r="F52" s="715">
        <f t="shared" si="6"/>
        <v>16.694281719757068</v>
      </c>
      <c r="G52" s="715">
        <f t="shared" si="6"/>
        <v>0</v>
      </c>
      <c r="H52" s="715">
        <f t="shared" si="6"/>
        <v>8487.5705964447134</v>
      </c>
      <c r="I52" s="715">
        <f t="shared" si="6"/>
        <v>1874.0603827831894</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10407.103744401855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212.62541796056357</v>
      </c>
      <c r="D54" s="685">
        <f ca="1">+landbouw!C12</f>
        <v>7773.0957983193293</v>
      </c>
      <c r="E54" s="685">
        <f>+landbouw!D12</f>
        <v>0</v>
      </c>
      <c r="F54" s="685">
        <f>+landbouw!E12</f>
        <v>7.0156047974332791</v>
      </c>
      <c r="G54" s="685">
        <f>+landbouw!F12</f>
        <v>934.41865232779378</v>
      </c>
      <c r="H54" s="685">
        <f>+landbouw!G12</f>
        <v>0</v>
      </c>
      <c r="I54" s="685">
        <f>+landbouw!H12</f>
        <v>0</v>
      </c>
      <c r="J54" s="685">
        <f>+landbouw!I12</f>
        <v>0</v>
      </c>
      <c r="K54" s="685">
        <f>+landbouw!J12</f>
        <v>96.579705431174759</v>
      </c>
      <c r="L54" s="685">
        <f>+landbouw!K12</f>
        <v>0</v>
      </c>
      <c r="M54" s="685">
        <f>+landbouw!L12</f>
        <v>0</v>
      </c>
      <c r="N54" s="685">
        <f>+landbouw!M12</f>
        <v>0</v>
      </c>
      <c r="O54" s="685">
        <f>+landbouw!N12</f>
        <v>0</v>
      </c>
      <c r="P54" s="685">
        <f>+landbouw!O12</f>
        <v>0</v>
      </c>
      <c r="Q54" s="686">
        <f>+landbouw!P12</f>
        <v>0</v>
      </c>
      <c r="R54" s="714">
        <f ca="1">SUM(C54:Q54)</f>
        <v>9023.7351788362957</v>
      </c>
    </row>
    <row r="55" spans="1:18" ht="15" thickBot="1">
      <c r="A55" s="816" t="s">
        <v>708</v>
      </c>
      <c r="B55" s="826"/>
      <c r="C55" s="685">
        <f ca="1">C25*'EF ele_warmte'!B12</f>
        <v>120.95841827828438</v>
      </c>
      <c r="D55" s="685"/>
      <c r="E55" s="685">
        <f>E25*EF_CO2_aardgas</f>
        <v>388.54800232400004</v>
      </c>
      <c r="F55" s="685"/>
      <c r="G55" s="685"/>
      <c r="H55" s="685"/>
      <c r="I55" s="685"/>
      <c r="J55" s="685"/>
      <c r="K55" s="685"/>
      <c r="L55" s="685"/>
      <c r="M55" s="685"/>
      <c r="N55" s="685"/>
      <c r="O55" s="685"/>
      <c r="P55" s="685"/>
      <c r="Q55" s="686"/>
      <c r="R55" s="714">
        <f ca="1">SUM(C55:Q55)</f>
        <v>509.50642060228444</v>
      </c>
    </row>
    <row r="56" spans="1:18" ht="15.75" thickBot="1">
      <c r="A56" s="814" t="s">
        <v>709</v>
      </c>
      <c r="B56" s="827"/>
      <c r="C56" s="715">
        <f ca="1">SUM(C54:C55)</f>
        <v>333.58383623884794</v>
      </c>
      <c r="D56" s="715">
        <f t="shared" ref="D56:Q56" ca="1" si="7">SUM(D54:D55)</f>
        <v>7773.0957983193293</v>
      </c>
      <c r="E56" s="715">
        <f t="shared" si="7"/>
        <v>388.54800232400004</v>
      </c>
      <c r="F56" s="715">
        <f t="shared" si="7"/>
        <v>7.0156047974332791</v>
      </c>
      <c r="G56" s="715">
        <f t="shared" si="7"/>
        <v>934.41865232779378</v>
      </c>
      <c r="H56" s="715">
        <f t="shared" si="7"/>
        <v>0</v>
      </c>
      <c r="I56" s="715">
        <f t="shared" si="7"/>
        <v>0</v>
      </c>
      <c r="J56" s="715">
        <f t="shared" si="7"/>
        <v>0</v>
      </c>
      <c r="K56" s="715">
        <f t="shared" si="7"/>
        <v>96.579705431174759</v>
      </c>
      <c r="L56" s="715">
        <f t="shared" si="7"/>
        <v>0</v>
      </c>
      <c r="M56" s="715">
        <f t="shared" si="7"/>
        <v>0</v>
      </c>
      <c r="N56" s="715">
        <f t="shared" si="7"/>
        <v>0</v>
      </c>
      <c r="O56" s="715">
        <f t="shared" si="7"/>
        <v>0</v>
      </c>
      <c r="P56" s="715">
        <f t="shared" si="7"/>
        <v>0</v>
      </c>
      <c r="Q56" s="716">
        <f t="shared" si="7"/>
        <v>0</v>
      </c>
      <c r="R56" s="717">
        <f ca="1">SUM(R54:R55)</f>
        <v>9533.241599438581</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7073.2111020097564</v>
      </c>
      <c r="D61" s="723">
        <f t="shared" ref="D61:Q61" ca="1" si="8">D46+D52+D56</f>
        <v>7773.0957983193293</v>
      </c>
      <c r="E61" s="723">
        <f t="shared" ca="1" si="8"/>
        <v>13383.389891196024</v>
      </c>
      <c r="F61" s="723">
        <f t="shared" si="8"/>
        <v>427.76072645158644</v>
      </c>
      <c r="G61" s="723">
        <f t="shared" ca="1" si="8"/>
        <v>7215.8700447269739</v>
      </c>
      <c r="H61" s="723">
        <f t="shared" si="8"/>
        <v>8487.5705964447134</v>
      </c>
      <c r="I61" s="723">
        <f t="shared" si="8"/>
        <v>1874.0603827831894</v>
      </c>
      <c r="J61" s="723">
        <f t="shared" si="8"/>
        <v>0</v>
      </c>
      <c r="K61" s="723">
        <f t="shared" si="8"/>
        <v>128.25360618887333</v>
      </c>
      <c r="L61" s="723">
        <f t="shared" si="8"/>
        <v>0</v>
      </c>
      <c r="M61" s="723">
        <f t="shared" ca="1" si="8"/>
        <v>0</v>
      </c>
      <c r="N61" s="723">
        <f t="shared" si="8"/>
        <v>0</v>
      </c>
      <c r="O61" s="723">
        <f t="shared" ca="1" si="8"/>
        <v>0</v>
      </c>
      <c r="P61" s="723">
        <f t="shared" si="8"/>
        <v>0</v>
      </c>
      <c r="Q61" s="723">
        <f t="shared" si="8"/>
        <v>0</v>
      </c>
      <c r="R61" s="723">
        <f ca="1">R46+R52+R56</f>
        <v>46363.212148120452</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0.21471634266805617</v>
      </c>
      <c r="D63" s="769">
        <f t="shared" ca="1" si="9"/>
        <v>0.23764705882352943</v>
      </c>
      <c r="E63" s="967">
        <f t="shared" ca="1" si="9"/>
        <v>0.20200000000000001</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2661.3033496805033</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22896</v>
      </c>
      <c r="D76" s="950">
        <f>'lokale energieproductie'!C8</f>
        <v>26936.470588235297</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5441.1670588235302</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2661.3033496805033</v>
      </c>
      <c r="C78" s="741">
        <f>SUM(C72:C77)</f>
        <v>22896</v>
      </c>
      <c r="D78" s="742">
        <f t="shared" ref="D78:H78" si="10">SUM(D76:D77)</f>
        <v>26936.470588235297</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5441.1670588235302</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32708.571428571431</v>
      </c>
      <c r="D87" s="765">
        <f>'lokale energieproductie'!C17</f>
        <v>38480.672268907569</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7773.0957983193293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32708.571428571431</v>
      </c>
      <c r="D90" s="741">
        <f t="shared" ref="D90:H90" si="12">SUM(D87:D89)</f>
        <v>38480.672268907569</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7773.0957983193293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18157.102574974011</v>
      </c>
      <c r="C4" s="446">
        <f>huishoudens!C8</f>
        <v>0</v>
      </c>
      <c r="D4" s="446">
        <f>huishoudens!D8</f>
        <v>50165.677487860004</v>
      </c>
      <c r="E4" s="446">
        <f>huishoudens!E8</f>
        <v>1327.3443071851989</v>
      </c>
      <c r="F4" s="446">
        <f>huishoudens!F8</f>
        <v>21398.559324726353</v>
      </c>
      <c r="G4" s="446">
        <f>huishoudens!G8</f>
        <v>0</v>
      </c>
      <c r="H4" s="446">
        <f>huishoudens!H8</f>
        <v>0</v>
      </c>
      <c r="I4" s="446">
        <f>huishoudens!I8</f>
        <v>0</v>
      </c>
      <c r="J4" s="446">
        <f>huishoudens!J8</f>
        <v>85.486301079237037</v>
      </c>
      <c r="K4" s="446">
        <f>huishoudens!K8</f>
        <v>0</v>
      </c>
      <c r="L4" s="446">
        <f>huishoudens!L8</f>
        <v>0</v>
      </c>
      <c r="M4" s="446">
        <f>huishoudens!M8</f>
        <v>0</v>
      </c>
      <c r="N4" s="446">
        <f>huishoudens!N8</f>
        <v>6379.7054051853183</v>
      </c>
      <c r="O4" s="446">
        <f>huishoudens!O8</f>
        <v>234.10706988766975</v>
      </c>
      <c r="P4" s="447">
        <f>huishoudens!P8</f>
        <v>537.23192469193623</v>
      </c>
      <c r="Q4" s="448">
        <f>SUM(B4:P4)</f>
        <v>98285.214395589719</v>
      </c>
    </row>
    <row r="5" spans="1:17">
      <c r="A5" s="445" t="s">
        <v>149</v>
      </c>
      <c r="B5" s="446">
        <f ca="1">tertiair!B16</f>
        <v>10843.110843999999</v>
      </c>
      <c r="C5" s="446">
        <f ca="1">tertiair!C16</f>
        <v>0</v>
      </c>
      <c r="D5" s="446">
        <f ca="1">tertiair!D16</f>
        <v>12105.123616761999</v>
      </c>
      <c r="E5" s="446">
        <f>tertiair!E16</f>
        <v>161.9082014609171</v>
      </c>
      <c r="F5" s="446">
        <f ca="1">tertiair!F16</f>
        <v>1226.0453806731398</v>
      </c>
      <c r="G5" s="446">
        <f>tertiair!G16</f>
        <v>0</v>
      </c>
      <c r="H5" s="446">
        <f>tertiair!H16</f>
        <v>0</v>
      </c>
      <c r="I5" s="446">
        <f>tertiair!I16</f>
        <v>0</v>
      </c>
      <c r="J5" s="446">
        <f>tertiair!J16</f>
        <v>2.197638090727785E-2</v>
      </c>
      <c r="K5" s="446">
        <f>tertiair!K16</f>
        <v>0</v>
      </c>
      <c r="L5" s="446">
        <f ca="1">tertiair!L16</f>
        <v>0</v>
      </c>
      <c r="M5" s="446">
        <f>tertiair!M16</f>
        <v>0</v>
      </c>
      <c r="N5" s="446">
        <f ca="1">tertiair!N16</f>
        <v>866.91849475548247</v>
      </c>
      <c r="O5" s="446">
        <f>tertiair!O16</f>
        <v>0</v>
      </c>
      <c r="P5" s="447">
        <f>tertiair!P16</f>
        <v>0</v>
      </c>
      <c r="Q5" s="445">
        <f t="shared" ref="Q5:Q14" ca="1" si="0">SUM(B5:P5)</f>
        <v>25203.12851403244</v>
      </c>
    </row>
    <row r="6" spans="1:17">
      <c r="A6" s="445" t="s">
        <v>187</v>
      </c>
      <c r="B6" s="446">
        <f>'openbare verlichting'!B8</f>
        <v>624.74599999999998</v>
      </c>
      <c r="C6" s="446"/>
      <c r="D6" s="446"/>
      <c r="E6" s="446"/>
      <c r="F6" s="446"/>
      <c r="G6" s="446"/>
      <c r="H6" s="446"/>
      <c r="I6" s="446"/>
      <c r="J6" s="446"/>
      <c r="K6" s="446"/>
      <c r="L6" s="446"/>
      <c r="M6" s="446"/>
      <c r="N6" s="446"/>
      <c r="O6" s="446"/>
      <c r="P6" s="447"/>
      <c r="Q6" s="445">
        <f t="shared" si="0"/>
        <v>624.74599999999998</v>
      </c>
    </row>
    <row r="7" spans="1:17">
      <c r="A7" s="445" t="s">
        <v>105</v>
      </c>
      <c r="B7" s="446">
        <f>landbouw!B8</f>
        <v>990.26192100000003</v>
      </c>
      <c r="C7" s="446">
        <f>landbouw!C8</f>
        <v>32708.571428571431</v>
      </c>
      <c r="D7" s="446">
        <f>landbouw!D8</f>
        <v>0</v>
      </c>
      <c r="E7" s="446">
        <f>landbouw!E8</f>
        <v>30.905748006314003</v>
      </c>
      <c r="F7" s="446">
        <f>landbouw!F8</f>
        <v>3499.6953270703884</v>
      </c>
      <c r="G7" s="446">
        <f>landbouw!G8</f>
        <v>0</v>
      </c>
      <c r="H7" s="446">
        <f>landbouw!H8</f>
        <v>0</v>
      </c>
      <c r="I7" s="446">
        <f>landbouw!I8</f>
        <v>0</v>
      </c>
      <c r="J7" s="446">
        <f>landbouw!J8</f>
        <v>272.82402664173662</v>
      </c>
      <c r="K7" s="446">
        <f>landbouw!K8</f>
        <v>0</v>
      </c>
      <c r="L7" s="446">
        <f>landbouw!L8</f>
        <v>0</v>
      </c>
      <c r="M7" s="446">
        <f>landbouw!M8</f>
        <v>0</v>
      </c>
      <c r="N7" s="446">
        <f>landbouw!N8</f>
        <v>0</v>
      </c>
      <c r="O7" s="446">
        <f>landbouw!O8</f>
        <v>0</v>
      </c>
      <c r="P7" s="447">
        <f>landbouw!P8</f>
        <v>0</v>
      </c>
      <c r="Q7" s="445">
        <f t="shared" si="0"/>
        <v>37502.258451289868</v>
      </c>
    </row>
    <row r="8" spans="1:17">
      <c r="A8" s="445" t="s">
        <v>612</v>
      </c>
      <c r="B8" s="446">
        <f>industrie!B18</f>
        <v>1709.124804</v>
      </c>
      <c r="C8" s="446">
        <f>industrie!C18</f>
        <v>0</v>
      </c>
      <c r="D8" s="446">
        <f>industrie!D18</f>
        <v>1975.4895190360003</v>
      </c>
      <c r="E8" s="446">
        <f>industrie!E18</f>
        <v>290.70713864197256</v>
      </c>
      <c r="F8" s="446">
        <f>industrie!F18</f>
        <v>901.4304721255246</v>
      </c>
      <c r="G8" s="446">
        <f>industrie!G18</f>
        <v>0</v>
      </c>
      <c r="H8" s="446">
        <f>industrie!H18</f>
        <v>0</v>
      </c>
      <c r="I8" s="446">
        <f>industrie!I18</f>
        <v>0</v>
      </c>
      <c r="J8" s="446">
        <f>industrie!J18</f>
        <v>3.9660184655578536</v>
      </c>
      <c r="K8" s="446">
        <f>industrie!K18</f>
        <v>0</v>
      </c>
      <c r="L8" s="446">
        <f>industrie!L18</f>
        <v>0</v>
      </c>
      <c r="M8" s="446">
        <f>industrie!M18</f>
        <v>0</v>
      </c>
      <c r="N8" s="446">
        <f>industrie!N18</f>
        <v>101.51847735004903</v>
      </c>
      <c r="O8" s="446">
        <f>industrie!O18</f>
        <v>0</v>
      </c>
      <c r="P8" s="447">
        <f>industrie!P18</f>
        <v>0</v>
      </c>
      <c r="Q8" s="445">
        <f t="shared" si="0"/>
        <v>4982.2364296191035</v>
      </c>
    </row>
    <row r="9" spans="1:17" s="451" customFormat="1">
      <c r="A9" s="449" t="s">
        <v>538</v>
      </c>
      <c r="B9" s="450">
        <f>transport!B14</f>
        <v>48.264056021824345</v>
      </c>
      <c r="C9" s="450">
        <f>transport!C14</f>
        <v>0</v>
      </c>
      <c r="D9" s="450">
        <f>transport!D14</f>
        <v>84.609816302508833</v>
      </c>
      <c r="E9" s="450">
        <f>transport!E14</f>
        <v>73.543091276462846</v>
      </c>
      <c r="F9" s="450">
        <f>transport!F14</f>
        <v>0</v>
      </c>
      <c r="G9" s="450">
        <f>transport!G14</f>
        <v>31341.824126952979</v>
      </c>
      <c r="H9" s="450">
        <f>transport!H14</f>
        <v>7526.3469188079898</v>
      </c>
      <c r="I9" s="450">
        <f>transport!I14</f>
        <v>0</v>
      </c>
      <c r="J9" s="450">
        <f>transport!J14</f>
        <v>0</v>
      </c>
      <c r="K9" s="450">
        <f>transport!K14</f>
        <v>0</v>
      </c>
      <c r="L9" s="450">
        <f>transport!L14</f>
        <v>0</v>
      </c>
      <c r="M9" s="450">
        <f>transport!M14</f>
        <v>2304.9210854803414</v>
      </c>
      <c r="N9" s="450">
        <f>transport!N14</f>
        <v>0</v>
      </c>
      <c r="O9" s="450">
        <f>transport!O14</f>
        <v>0</v>
      </c>
      <c r="P9" s="450">
        <f>transport!P14</f>
        <v>0</v>
      </c>
      <c r="Q9" s="449">
        <f>SUM(B9:P9)</f>
        <v>41379.509094842106</v>
      </c>
    </row>
    <row r="10" spans="1:17">
      <c r="A10" s="445" t="s">
        <v>528</v>
      </c>
      <c r="B10" s="446">
        <f>transport!B54</f>
        <v>6.1672947354707111</v>
      </c>
      <c r="C10" s="446">
        <f>transport!C54</f>
        <v>0</v>
      </c>
      <c r="D10" s="446">
        <f>transport!D54</f>
        <v>0</v>
      </c>
      <c r="E10" s="446">
        <f>transport!E54</f>
        <v>0</v>
      </c>
      <c r="F10" s="446">
        <f>transport!F54</f>
        <v>0</v>
      </c>
      <c r="G10" s="446">
        <f>transport!G54</f>
        <v>446.8297923156079</v>
      </c>
      <c r="H10" s="446">
        <f>transport!H54</f>
        <v>0</v>
      </c>
      <c r="I10" s="446">
        <f>transport!I54</f>
        <v>0</v>
      </c>
      <c r="J10" s="446">
        <f>transport!J54</f>
        <v>0</v>
      </c>
      <c r="K10" s="446">
        <f>transport!K54</f>
        <v>0</v>
      </c>
      <c r="L10" s="446">
        <f>transport!L54</f>
        <v>0</v>
      </c>
      <c r="M10" s="446">
        <f>transport!M54</f>
        <v>25.274023712960261</v>
      </c>
      <c r="N10" s="446">
        <f>transport!N54</f>
        <v>0</v>
      </c>
      <c r="O10" s="446">
        <f>transport!O54</f>
        <v>0</v>
      </c>
      <c r="P10" s="447">
        <f>transport!P54</f>
        <v>0</v>
      </c>
      <c r="Q10" s="445">
        <f t="shared" si="0"/>
        <v>478.27111076403889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563.34053000000006</v>
      </c>
      <c r="C14" s="453"/>
      <c r="D14" s="453">
        <f>'SEAP template'!E25</f>
        <v>1923.504962</v>
      </c>
      <c r="E14" s="453"/>
      <c r="F14" s="453"/>
      <c r="G14" s="453"/>
      <c r="H14" s="453"/>
      <c r="I14" s="453"/>
      <c r="J14" s="453"/>
      <c r="K14" s="453"/>
      <c r="L14" s="453"/>
      <c r="M14" s="453"/>
      <c r="N14" s="453"/>
      <c r="O14" s="453"/>
      <c r="P14" s="454"/>
      <c r="Q14" s="445">
        <f t="shared" si="0"/>
        <v>2486.8454919999999</v>
      </c>
    </row>
    <row r="15" spans="1:17" s="457" customFormat="1">
      <c r="A15" s="455" t="s">
        <v>532</v>
      </c>
      <c r="B15" s="456">
        <f ca="1">SUM(B4:B14)</f>
        <v>32942.118024731302</v>
      </c>
      <c r="C15" s="456">
        <f t="shared" ref="C15:Q15" ca="1" si="1">SUM(C4:C14)</f>
        <v>32708.571428571431</v>
      </c>
      <c r="D15" s="456">
        <f t="shared" ca="1" si="1"/>
        <v>66254.40540196051</v>
      </c>
      <c r="E15" s="456">
        <f t="shared" si="1"/>
        <v>1884.4084865708653</v>
      </c>
      <c r="F15" s="456">
        <f t="shared" ca="1" si="1"/>
        <v>27025.730504595405</v>
      </c>
      <c r="G15" s="456">
        <f t="shared" si="1"/>
        <v>31788.653919268589</v>
      </c>
      <c r="H15" s="456">
        <f t="shared" si="1"/>
        <v>7526.3469188079898</v>
      </c>
      <c r="I15" s="456">
        <f t="shared" si="1"/>
        <v>0</v>
      </c>
      <c r="J15" s="456">
        <f t="shared" si="1"/>
        <v>362.29832256743879</v>
      </c>
      <c r="K15" s="456">
        <f t="shared" si="1"/>
        <v>0</v>
      </c>
      <c r="L15" s="456">
        <f t="shared" ca="1" si="1"/>
        <v>0</v>
      </c>
      <c r="M15" s="456">
        <f t="shared" si="1"/>
        <v>2330.1951091933015</v>
      </c>
      <c r="N15" s="456">
        <f t="shared" ca="1" si="1"/>
        <v>7348.1423772908493</v>
      </c>
      <c r="O15" s="456">
        <f t="shared" si="1"/>
        <v>234.10706988766975</v>
      </c>
      <c r="P15" s="456">
        <f t="shared" si="1"/>
        <v>537.23192469193623</v>
      </c>
      <c r="Q15" s="456">
        <f t="shared" ca="1" si="1"/>
        <v>210942.20948813725</v>
      </c>
    </row>
    <row r="17" spans="1:17">
      <c r="A17" s="458" t="s">
        <v>533</v>
      </c>
      <c r="B17" s="774">
        <f ca="1">huishoudens!B10</f>
        <v>0.21471634266805617</v>
      </c>
      <c r="C17" s="774">
        <f ca="1">huishoudens!C10</f>
        <v>0.23764705882352943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3898.6266583471647</v>
      </c>
      <c r="C22" s="446">
        <f t="shared" ref="C22:C32" ca="1" si="3">C4*$C$17</f>
        <v>0</v>
      </c>
      <c r="D22" s="446">
        <f t="shared" ref="D22:D32" si="4">D4*$D$17</f>
        <v>10133.466852547721</v>
      </c>
      <c r="E22" s="446">
        <f t="shared" ref="E22:E32" si="5">E4*$E$17</f>
        <v>301.30715773104015</v>
      </c>
      <c r="F22" s="446">
        <f t="shared" ref="F22:F32" si="6">F4*$F$17</f>
        <v>5713.4153397019363</v>
      </c>
      <c r="G22" s="446">
        <f t="shared" ref="G22:G32" si="7">G4*$G$17</f>
        <v>0</v>
      </c>
      <c r="H22" s="446">
        <f t="shared" ref="H22:H32" si="8">H4*$H$17</f>
        <v>0</v>
      </c>
      <c r="I22" s="446">
        <f t="shared" ref="I22:I32" si="9">I4*$I$17</f>
        <v>0</v>
      </c>
      <c r="J22" s="446">
        <f t="shared" ref="J22:J32" si="10">J4*$J$17</f>
        <v>30.262150582049909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20077.078158909913</v>
      </c>
    </row>
    <row r="23" spans="1:17">
      <c r="A23" s="445" t="s">
        <v>149</v>
      </c>
      <c r="B23" s="446">
        <f t="shared" ca="1" si="2"/>
        <v>2328.1931035680195</v>
      </c>
      <c r="C23" s="446">
        <f t="shared" ca="1" si="3"/>
        <v>0</v>
      </c>
      <c r="D23" s="446">
        <f t="shared" ca="1" si="4"/>
        <v>2445.2349705859237</v>
      </c>
      <c r="E23" s="446">
        <f t="shared" si="5"/>
        <v>36.753161731628182</v>
      </c>
      <c r="F23" s="446">
        <f t="shared" ca="1" si="6"/>
        <v>327.35411663972832</v>
      </c>
      <c r="G23" s="446">
        <f t="shared" si="7"/>
        <v>0</v>
      </c>
      <c r="H23" s="446">
        <f t="shared" si="8"/>
        <v>0</v>
      </c>
      <c r="I23" s="446">
        <f t="shared" si="9"/>
        <v>0</v>
      </c>
      <c r="J23" s="446">
        <f t="shared" si="10"/>
        <v>7.7796388411763588E-3</v>
      </c>
      <c r="K23" s="446">
        <f t="shared" si="11"/>
        <v>0</v>
      </c>
      <c r="L23" s="446">
        <f t="shared" ca="1" si="12"/>
        <v>0</v>
      </c>
      <c r="M23" s="446">
        <f t="shared" si="13"/>
        <v>0</v>
      </c>
      <c r="N23" s="446">
        <f t="shared" ca="1" si="14"/>
        <v>0</v>
      </c>
      <c r="O23" s="446">
        <f t="shared" si="15"/>
        <v>0</v>
      </c>
      <c r="P23" s="447">
        <f t="shared" si="16"/>
        <v>0</v>
      </c>
      <c r="Q23" s="445">
        <f t="shared" ref="Q23:Q31" ca="1" si="17">SUM(B23:P23)</f>
        <v>5137.5431321641408</v>
      </c>
    </row>
    <row r="24" spans="1:17">
      <c r="A24" s="445" t="s">
        <v>187</v>
      </c>
      <c r="B24" s="446">
        <f t="shared" ca="1" si="2"/>
        <v>134.14317621649741</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134.14317621649741</v>
      </c>
    </row>
    <row r="25" spans="1:17">
      <c r="A25" s="445" t="s">
        <v>105</v>
      </c>
      <c r="B25" s="446">
        <f t="shared" ca="1" si="2"/>
        <v>212.62541796056357</v>
      </c>
      <c r="C25" s="446">
        <f t="shared" ca="1" si="3"/>
        <v>7773.0957983193293</v>
      </c>
      <c r="D25" s="446">
        <f t="shared" si="4"/>
        <v>0</v>
      </c>
      <c r="E25" s="446">
        <f t="shared" si="5"/>
        <v>7.0156047974332791</v>
      </c>
      <c r="F25" s="446">
        <f t="shared" si="6"/>
        <v>934.41865232779378</v>
      </c>
      <c r="G25" s="446">
        <f t="shared" si="7"/>
        <v>0</v>
      </c>
      <c r="H25" s="446">
        <f t="shared" si="8"/>
        <v>0</v>
      </c>
      <c r="I25" s="446">
        <f t="shared" si="9"/>
        <v>0</v>
      </c>
      <c r="J25" s="446">
        <f t="shared" si="10"/>
        <v>96.579705431174759</v>
      </c>
      <c r="K25" s="446">
        <f t="shared" si="11"/>
        <v>0</v>
      </c>
      <c r="L25" s="446">
        <f t="shared" si="12"/>
        <v>0</v>
      </c>
      <c r="M25" s="446">
        <f t="shared" si="13"/>
        <v>0</v>
      </c>
      <c r="N25" s="446">
        <f t="shared" si="14"/>
        <v>0</v>
      </c>
      <c r="O25" s="446">
        <f t="shared" si="15"/>
        <v>0</v>
      </c>
      <c r="P25" s="447">
        <f t="shared" si="16"/>
        <v>0</v>
      </c>
      <c r="Q25" s="445">
        <f t="shared" ca="1" si="17"/>
        <v>9023.7351788362957</v>
      </c>
    </row>
    <row r="26" spans="1:17">
      <c r="A26" s="445" t="s">
        <v>612</v>
      </c>
      <c r="B26" s="446">
        <f t="shared" ca="1" si="2"/>
        <v>366.97702707813835</v>
      </c>
      <c r="C26" s="446">
        <f t="shared" ca="1" si="3"/>
        <v>0</v>
      </c>
      <c r="D26" s="446">
        <f t="shared" si="4"/>
        <v>399.04888284527209</v>
      </c>
      <c r="E26" s="446">
        <f t="shared" si="5"/>
        <v>65.990520471727777</v>
      </c>
      <c r="F26" s="446">
        <f t="shared" si="6"/>
        <v>240.68193605751509</v>
      </c>
      <c r="G26" s="446">
        <f t="shared" si="7"/>
        <v>0</v>
      </c>
      <c r="H26" s="446">
        <f t="shared" si="8"/>
        <v>0</v>
      </c>
      <c r="I26" s="446">
        <f t="shared" si="9"/>
        <v>0</v>
      </c>
      <c r="J26" s="446">
        <f t="shared" si="10"/>
        <v>1.4039705368074802</v>
      </c>
      <c r="K26" s="446">
        <f t="shared" si="11"/>
        <v>0</v>
      </c>
      <c r="L26" s="446">
        <f t="shared" si="12"/>
        <v>0</v>
      </c>
      <c r="M26" s="446">
        <f t="shared" si="13"/>
        <v>0</v>
      </c>
      <c r="N26" s="446">
        <f t="shared" si="14"/>
        <v>0</v>
      </c>
      <c r="O26" s="446">
        <f t="shared" si="15"/>
        <v>0</v>
      </c>
      <c r="P26" s="447">
        <f t="shared" si="16"/>
        <v>0</v>
      </c>
      <c r="Q26" s="445">
        <f t="shared" ca="1" si="17"/>
        <v>1074.1023369894608</v>
      </c>
    </row>
    <row r="27" spans="1:17" s="451" customFormat="1">
      <c r="A27" s="449" t="s">
        <v>538</v>
      </c>
      <c r="B27" s="768">
        <f t="shared" ca="1" si="2"/>
        <v>10.363081591332296</v>
      </c>
      <c r="C27" s="450">
        <f t="shared" ca="1" si="3"/>
        <v>0</v>
      </c>
      <c r="D27" s="450">
        <f t="shared" si="4"/>
        <v>17.091182893106787</v>
      </c>
      <c r="E27" s="450">
        <f t="shared" si="5"/>
        <v>16.694281719757068</v>
      </c>
      <c r="F27" s="450">
        <f t="shared" si="6"/>
        <v>0</v>
      </c>
      <c r="G27" s="450">
        <f t="shared" si="7"/>
        <v>8368.2670418964462</v>
      </c>
      <c r="H27" s="450">
        <f t="shared" si="8"/>
        <v>1874.0603827831894</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10286.475970883832</v>
      </c>
    </row>
    <row r="28" spans="1:17" ht="16.5" customHeight="1">
      <c r="A28" s="445" t="s">
        <v>528</v>
      </c>
      <c r="B28" s="446">
        <f t="shared" ca="1" si="2"/>
        <v>1.3242189697562281</v>
      </c>
      <c r="C28" s="446">
        <f t="shared" ca="1" si="3"/>
        <v>0</v>
      </c>
      <c r="D28" s="446">
        <f t="shared" si="4"/>
        <v>0</v>
      </c>
      <c r="E28" s="446">
        <f t="shared" si="5"/>
        <v>0</v>
      </c>
      <c r="F28" s="446">
        <f t="shared" si="6"/>
        <v>0</v>
      </c>
      <c r="G28" s="446">
        <f t="shared" si="7"/>
        <v>119.30355454826731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120.62777351802355</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120.95841827828438</v>
      </c>
      <c r="C32" s="446">
        <f t="shared" ca="1" si="3"/>
        <v>0</v>
      </c>
      <c r="D32" s="446">
        <f t="shared" si="4"/>
        <v>388.54800232400004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509.50642060228444</v>
      </c>
    </row>
    <row r="33" spans="1:17" s="457" customFormat="1">
      <c r="A33" s="455" t="s">
        <v>532</v>
      </c>
      <c r="B33" s="456">
        <f ca="1">SUM(B22:B32)</f>
        <v>7073.2111020097573</v>
      </c>
      <c r="C33" s="456">
        <f t="shared" ref="C33:Q33" ca="1" si="19">SUM(C22:C32)</f>
        <v>7773.0957983193293</v>
      </c>
      <c r="D33" s="456">
        <f t="shared" ca="1" si="19"/>
        <v>13383.389891196024</v>
      </c>
      <c r="E33" s="456">
        <f t="shared" si="19"/>
        <v>427.76072645158644</v>
      </c>
      <c r="F33" s="456">
        <f t="shared" ca="1" si="19"/>
        <v>7215.8700447269739</v>
      </c>
      <c r="G33" s="456">
        <f t="shared" si="19"/>
        <v>8487.5705964447134</v>
      </c>
      <c r="H33" s="456">
        <f t="shared" si="19"/>
        <v>1874.0603827831894</v>
      </c>
      <c r="I33" s="456">
        <f t="shared" si="19"/>
        <v>0</v>
      </c>
      <c r="J33" s="456">
        <f t="shared" si="19"/>
        <v>128.25360618887333</v>
      </c>
      <c r="K33" s="456">
        <f t="shared" si="19"/>
        <v>0</v>
      </c>
      <c r="L33" s="456">
        <f t="shared" ca="1" si="19"/>
        <v>0</v>
      </c>
      <c r="M33" s="456">
        <f t="shared" si="19"/>
        <v>0</v>
      </c>
      <c r="N33" s="456">
        <f t="shared" ca="1" si="19"/>
        <v>0</v>
      </c>
      <c r="O33" s="456">
        <f t="shared" si="19"/>
        <v>0</v>
      </c>
      <c r="P33" s="456">
        <f t="shared" si="19"/>
        <v>0</v>
      </c>
      <c r="Q33" s="456">
        <f t="shared" ca="1" si="19"/>
        <v>46363.212148120452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2661.3033496805033</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22896</v>
      </c>
      <c r="D8" s="1019">
        <f>'SEAP template'!D76</f>
        <v>26936.470588235297</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5441.1670588235302</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2661.3033496805033</v>
      </c>
      <c r="C10" s="1021">
        <f>SUM(C4:C9)</f>
        <v>22896</v>
      </c>
      <c r="D10" s="1021">
        <f t="shared" ref="D10:H10" si="0">SUM(D8:D9)</f>
        <v>26936.470588235297</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5441.1670588235302</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0.21471634266805617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32708.571428571431</v>
      </c>
      <c r="D17" s="1020">
        <f>'SEAP template'!D87</f>
        <v>38480.672268907569</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7773.0957983193293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32708.571428571431</v>
      </c>
      <c r="D20" s="1021">
        <f t="shared" ref="D20:H20" si="2">SUM(D17:D19)</f>
        <v>38480.672268907569</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7773.0957983193293</v>
      </c>
    </row>
    <row r="21" spans="1:16">
      <c r="B21" s="879"/>
    </row>
    <row r="22" spans="1:16">
      <c r="A22" s="458" t="s">
        <v>780</v>
      </c>
      <c r="B22" s="774" t="s">
        <v>778</v>
      </c>
      <c r="C22" s="774">
        <f ca="1">'EF ele_warmte'!B22</f>
        <v>0.23764705882352943</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0.21471634266805617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0.21471634266805617</v>
      </c>
      <c r="C17" s="494">
        <f ca="1">'EF ele_warmte'!B22</f>
        <v>0.23764705882352943</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0.21471634266805617</v>
      </c>
      <c r="C29" s="495">
        <f ca="1">'EF ele_warmte'!B22</f>
        <v>0.23764705882352943</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4741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1316.7</v>
      </c>
      <c r="C14" s="326"/>
      <c r="D14" s="326"/>
      <c r="E14" s="326"/>
      <c r="F14" s="326"/>
    </row>
    <row r="15" spans="1:6">
      <c r="A15" s="1296" t="s">
        <v>177</v>
      </c>
      <c r="B15" s="1297">
        <v>13</v>
      </c>
      <c r="C15" s="326"/>
      <c r="D15" s="326"/>
      <c r="E15" s="326"/>
      <c r="F15" s="326"/>
    </row>
    <row r="16" spans="1:6">
      <c r="A16" s="1296" t="s">
        <v>6</v>
      </c>
      <c r="B16" s="1297">
        <v>657</v>
      </c>
      <c r="C16" s="326"/>
      <c r="D16" s="326"/>
      <c r="E16" s="326"/>
      <c r="F16" s="326"/>
    </row>
    <row r="17" spans="1:6">
      <c r="A17" s="1296" t="s">
        <v>7</v>
      </c>
      <c r="B17" s="1297">
        <v>74</v>
      </c>
      <c r="C17" s="326"/>
      <c r="D17" s="326"/>
      <c r="E17" s="326"/>
      <c r="F17" s="326"/>
    </row>
    <row r="18" spans="1:6">
      <c r="A18" s="1296" t="s">
        <v>8</v>
      </c>
      <c r="B18" s="1297">
        <v>395</v>
      </c>
      <c r="C18" s="326"/>
      <c r="D18" s="326"/>
      <c r="E18" s="326"/>
      <c r="F18" s="326"/>
    </row>
    <row r="19" spans="1:6">
      <c r="A19" s="1296" t="s">
        <v>9</v>
      </c>
      <c r="B19" s="1297">
        <v>386</v>
      </c>
      <c r="C19" s="326"/>
      <c r="D19" s="326"/>
      <c r="E19" s="326"/>
      <c r="F19" s="326"/>
    </row>
    <row r="20" spans="1:6">
      <c r="A20" s="1296" t="s">
        <v>10</v>
      </c>
      <c r="B20" s="1297">
        <v>189</v>
      </c>
      <c r="C20" s="326"/>
      <c r="D20" s="326"/>
      <c r="E20" s="326"/>
      <c r="F20" s="326"/>
    </row>
    <row r="21" spans="1:6">
      <c r="A21" s="1296" t="s">
        <v>11</v>
      </c>
      <c r="B21" s="1297">
        <v>498</v>
      </c>
      <c r="C21" s="326"/>
      <c r="D21" s="326"/>
      <c r="E21" s="326"/>
      <c r="F21" s="326"/>
    </row>
    <row r="22" spans="1:6">
      <c r="A22" s="1296" t="s">
        <v>12</v>
      </c>
      <c r="B22" s="1297">
        <v>2251</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460</v>
      </c>
      <c r="C26" s="326"/>
      <c r="D26" s="326"/>
      <c r="E26" s="326"/>
      <c r="F26" s="326"/>
    </row>
    <row r="27" spans="1:6">
      <c r="A27" s="1296" t="s">
        <v>17</v>
      </c>
      <c r="B27" s="1297">
        <v>2</v>
      </c>
      <c r="C27" s="326"/>
      <c r="D27" s="326"/>
      <c r="E27" s="326"/>
      <c r="F27" s="326"/>
    </row>
    <row r="28" spans="1:6">
      <c r="A28" s="1296" t="s">
        <v>18</v>
      </c>
      <c r="B28" s="1298">
        <v>0</v>
      </c>
      <c r="C28" s="326"/>
      <c r="D28" s="326"/>
      <c r="E28" s="326"/>
      <c r="F28" s="326"/>
    </row>
    <row r="29" spans="1:6">
      <c r="A29" s="1296" t="s">
        <v>689</v>
      </c>
      <c r="B29" s="1298">
        <v>166</v>
      </c>
      <c r="C29" s="326"/>
      <c r="D29" s="326"/>
      <c r="E29" s="326"/>
      <c r="F29" s="326"/>
    </row>
    <row r="30" spans="1:6">
      <c r="A30" s="1291" t="s">
        <v>690</v>
      </c>
      <c r="B30" s="1299">
        <v>56</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3681</v>
      </c>
    </row>
    <row r="39" spans="1:6">
      <c r="A39" s="1296" t="s">
        <v>29</v>
      </c>
      <c r="B39" s="1296" t="s">
        <v>30</v>
      </c>
      <c r="C39" s="1297">
        <v>3317</v>
      </c>
      <c r="D39" s="1297">
        <v>55616050.43</v>
      </c>
      <c r="E39" s="1297">
        <v>4620</v>
      </c>
      <c r="F39" s="1297">
        <v>15951477.550000001</v>
      </c>
    </row>
    <row r="40" spans="1:6">
      <c r="A40" s="1296" t="s">
        <v>29</v>
      </c>
      <c r="B40" s="1296" t="s">
        <v>28</v>
      </c>
      <c r="C40" s="1297">
        <v>0</v>
      </c>
      <c r="D40" s="1297">
        <v>0</v>
      </c>
      <c r="E40" s="1297">
        <v>0</v>
      </c>
      <c r="F40" s="1297">
        <v>0</v>
      </c>
    </row>
    <row r="41" spans="1:6">
      <c r="A41" s="1296" t="s">
        <v>31</v>
      </c>
      <c r="B41" s="1296" t="s">
        <v>32</v>
      </c>
      <c r="C41" s="1297">
        <v>42</v>
      </c>
      <c r="D41" s="1297">
        <v>1211910.128</v>
      </c>
      <c r="E41" s="1297">
        <v>102</v>
      </c>
      <c r="F41" s="1297">
        <v>965517.8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6</v>
      </c>
      <c r="F44" s="1297">
        <v>63587.290999999997</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16</v>
      </c>
      <c r="D48" s="1297">
        <v>497020.11599999998</v>
      </c>
      <c r="E48" s="1297">
        <v>30</v>
      </c>
      <c r="F48" s="1297">
        <v>472335.20799999998</v>
      </c>
    </row>
    <row r="49" spans="1:6">
      <c r="A49" s="1296" t="s">
        <v>31</v>
      </c>
      <c r="B49" s="1296" t="s">
        <v>39</v>
      </c>
      <c r="C49" s="1297">
        <v>0</v>
      </c>
      <c r="D49" s="1297">
        <v>0</v>
      </c>
      <c r="E49" s="1297">
        <v>0</v>
      </c>
      <c r="F49" s="1297">
        <v>0</v>
      </c>
    </row>
    <row r="50" spans="1:6">
      <c r="A50" s="1296" t="s">
        <v>31</v>
      </c>
      <c r="B50" s="1296" t="s">
        <v>40</v>
      </c>
      <c r="C50" s="1297">
        <v>3</v>
      </c>
      <c r="D50" s="1297">
        <v>481191.174</v>
      </c>
      <c r="E50" s="1297">
        <v>7</v>
      </c>
      <c r="F50" s="1297">
        <v>207684.505</v>
      </c>
    </row>
    <row r="51" spans="1:6">
      <c r="A51" s="1296" t="s">
        <v>41</v>
      </c>
      <c r="B51" s="1296" t="s">
        <v>42</v>
      </c>
      <c r="C51" s="1297">
        <v>5</v>
      </c>
      <c r="D51" s="1297">
        <v>72154645.730000004</v>
      </c>
      <c r="E51" s="1297">
        <v>43</v>
      </c>
      <c r="F51" s="1297">
        <v>956423.34</v>
      </c>
    </row>
    <row r="52" spans="1:6">
      <c r="A52" s="1296" t="s">
        <v>41</v>
      </c>
      <c r="B52" s="1296" t="s">
        <v>28</v>
      </c>
      <c r="C52" s="1297">
        <v>5</v>
      </c>
      <c r="D52" s="1297">
        <v>102747.46799999999</v>
      </c>
      <c r="E52" s="1297">
        <v>7</v>
      </c>
      <c r="F52" s="1297">
        <v>33838.580999999998</v>
      </c>
    </row>
    <row r="53" spans="1:6">
      <c r="A53" s="1296" t="s">
        <v>43</v>
      </c>
      <c r="B53" s="1296" t="s">
        <v>44</v>
      </c>
      <c r="C53" s="1297">
        <v>66</v>
      </c>
      <c r="D53" s="1297">
        <v>1923504.9620000001</v>
      </c>
      <c r="E53" s="1297">
        <v>166</v>
      </c>
      <c r="F53" s="1297">
        <v>563340.53</v>
      </c>
    </row>
    <row r="54" spans="1:6">
      <c r="A54" s="1296" t="s">
        <v>45</v>
      </c>
      <c r="B54" s="1296" t="s">
        <v>46</v>
      </c>
      <c r="C54" s="1297">
        <v>0</v>
      </c>
      <c r="D54" s="1297">
        <v>0</v>
      </c>
      <c r="E54" s="1297">
        <v>1</v>
      </c>
      <c r="F54" s="1297">
        <v>624746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26</v>
      </c>
      <c r="D57" s="1297">
        <v>618290.32900000003</v>
      </c>
      <c r="E57" s="1297">
        <v>52</v>
      </c>
      <c r="F57" s="1297">
        <v>920019.86199999996</v>
      </c>
    </row>
    <row r="58" spans="1:6">
      <c r="A58" s="1296" t="s">
        <v>48</v>
      </c>
      <c r="B58" s="1296" t="s">
        <v>50</v>
      </c>
      <c r="C58" s="1297">
        <v>11</v>
      </c>
      <c r="D58" s="1297">
        <v>2788232.2149999999</v>
      </c>
      <c r="E58" s="1297">
        <v>18</v>
      </c>
      <c r="F58" s="1297">
        <v>497396.33500000002</v>
      </c>
    </row>
    <row r="59" spans="1:6">
      <c r="A59" s="1296" t="s">
        <v>48</v>
      </c>
      <c r="B59" s="1296" t="s">
        <v>51</v>
      </c>
      <c r="C59" s="1297">
        <v>53</v>
      </c>
      <c r="D59" s="1297">
        <v>1723537.112</v>
      </c>
      <c r="E59" s="1297">
        <v>99</v>
      </c>
      <c r="F59" s="1297">
        <v>3096153.676</v>
      </c>
    </row>
    <row r="60" spans="1:6">
      <c r="A60" s="1296" t="s">
        <v>48</v>
      </c>
      <c r="B60" s="1296" t="s">
        <v>52</v>
      </c>
      <c r="C60" s="1297">
        <v>35</v>
      </c>
      <c r="D60" s="1297">
        <v>1227124.4850000001</v>
      </c>
      <c r="E60" s="1297">
        <v>49</v>
      </c>
      <c r="F60" s="1297">
        <v>869150.02099999995</v>
      </c>
    </row>
    <row r="61" spans="1:6">
      <c r="A61" s="1296" t="s">
        <v>48</v>
      </c>
      <c r="B61" s="1296" t="s">
        <v>53</v>
      </c>
      <c r="C61" s="1297">
        <v>100</v>
      </c>
      <c r="D61" s="1297">
        <v>3288720.9070000001</v>
      </c>
      <c r="E61" s="1297">
        <v>198</v>
      </c>
      <c r="F61" s="1297">
        <v>1738034.5390000001</v>
      </c>
    </row>
    <row r="62" spans="1:6">
      <c r="A62" s="1296" t="s">
        <v>48</v>
      </c>
      <c r="B62" s="1296" t="s">
        <v>54</v>
      </c>
      <c r="C62" s="1297">
        <v>5</v>
      </c>
      <c r="D62" s="1297">
        <v>480869.27899999998</v>
      </c>
      <c r="E62" s="1297">
        <v>3</v>
      </c>
      <c r="F62" s="1297">
        <v>404720.614</v>
      </c>
    </row>
    <row r="63" spans="1:6">
      <c r="A63" s="1296" t="s">
        <v>48</v>
      </c>
      <c r="B63" s="1296" t="s">
        <v>28</v>
      </c>
      <c r="C63" s="1297">
        <v>70</v>
      </c>
      <c r="D63" s="1297">
        <v>3293540.1039999998</v>
      </c>
      <c r="E63" s="1297">
        <v>101</v>
      </c>
      <c r="F63" s="1297">
        <v>3317635.7969999998</v>
      </c>
    </row>
    <row r="64" spans="1:6">
      <c r="A64" s="1296" t="s">
        <v>55</v>
      </c>
      <c r="B64" s="1296" t="s">
        <v>56</v>
      </c>
      <c r="C64" s="1297">
        <v>0</v>
      </c>
      <c r="D64" s="1297">
        <v>0</v>
      </c>
      <c r="E64" s="1297">
        <v>0</v>
      </c>
      <c r="F64" s="1297">
        <v>0</v>
      </c>
    </row>
    <row r="65" spans="1:6">
      <c r="A65" s="1296" t="s">
        <v>55</v>
      </c>
      <c r="B65" s="1296" t="s">
        <v>28</v>
      </c>
      <c r="C65" s="1297">
        <v>2</v>
      </c>
      <c r="D65" s="1297">
        <v>20670.165000000001</v>
      </c>
      <c r="E65" s="1297">
        <v>2</v>
      </c>
      <c r="F65" s="1297">
        <v>47603.805999999997</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6</v>
      </c>
      <c r="F68" s="1299">
        <v>24762.763999999999</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44949227</v>
      </c>
      <c r="E73" s="444"/>
      <c r="F73" s="326"/>
    </row>
    <row r="74" spans="1:6">
      <c r="A74" s="1296" t="s">
        <v>63</v>
      </c>
      <c r="B74" s="1296" t="s">
        <v>633</v>
      </c>
      <c r="C74" s="1309" t="s">
        <v>635</v>
      </c>
      <c r="D74" s="1297">
        <v>3255588</v>
      </c>
      <c r="E74" s="444"/>
      <c r="F74" s="326"/>
    </row>
    <row r="75" spans="1:6">
      <c r="A75" s="1296" t="s">
        <v>64</v>
      </c>
      <c r="B75" s="1296" t="s">
        <v>632</v>
      </c>
      <c r="C75" s="1309" t="s">
        <v>636</v>
      </c>
      <c r="D75" s="1297">
        <v>6275202</v>
      </c>
      <c r="E75" s="444"/>
      <c r="F75" s="326"/>
    </row>
    <row r="76" spans="1:6">
      <c r="A76" s="1296" t="s">
        <v>64</v>
      </c>
      <c r="B76" s="1296" t="s">
        <v>633</v>
      </c>
      <c r="C76" s="1309" t="s">
        <v>637</v>
      </c>
      <c r="D76" s="1297">
        <v>32747</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131056</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2205.6250249740083</v>
      </c>
      <c r="C91" s="326"/>
      <c r="D91" s="326"/>
      <c r="E91" s="326"/>
      <c r="F91" s="326"/>
    </row>
    <row r="92" spans="1:6">
      <c r="A92" s="1291" t="s">
        <v>68</v>
      </c>
      <c r="B92" s="1292">
        <v>455.67832470649495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2012</v>
      </c>
      <c r="C97" s="326"/>
      <c r="D97" s="326"/>
      <c r="E97" s="326"/>
      <c r="F97" s="326"/>
    </row>
    <row r="98" spans="1:6">
      <c r="A98" s="1296" t="s">
        <v>71</v>
      </c>
      <c r="B98" s="1297">
        <v>4</v>
      </c>
      <c r="C98" s="326"/>
      <c r="D98" s="326"/>
      <c r="E98" s="326"/>
      <c r="F98" s="326"/>
    </row>
    <row r="99" spans="1:6">
      <c r="A99" s="1296" t="s">
        <v>72</v>
      </c>
      <c r="B99" s="1297">
        <v>39</v>
      </c>
      <c r="C99" s="326"/>
      <c r="D99" s="326"/>
      <c r="E99" s="326"/>
      <c r="F99" s="326"/>
    </row>
    <row r="100" spans="1:6">
      <c r="A100" s="1296" t="s">
        <v>73</v>
      </c>
      <c r="B100" s="1297">
        <v>182</v>
      </c>
      <c r="C100" s="326"/>
      <c r="D100" s="326"/>
      <c r="E100" s="326"/>
      <c r="F100" s="326"/>
    </row>
    <row r="101" spans="1:6">
      <c r="A101" s="1296" t="s">
        <v>74</v>
      </c>
      <c r="B101" s="1297">
        <v>46</v>
      </c>
      <c r="C101" s="326"/>
      <c r="D101" s="326"/>
      <c r="E101" s="326"/>
      <c r="F101" s="326"/>
    </row>
    <row r="102" spans="1:6">
      <c r="A102" s="1296" t="s">
        <v>75</v>
      </c>
      <c r="B102" s="1297">
        <v>34</v>
      </c>
      <c r="C102" s="326"/>
      <c r="D102" s="326"/>
      <c r="E102" s="326"/>
      <c r="F102" s="326"/>
    </row>
    <row r="103" spans="1:6">
      <c r="A103" s="1296" t="s">
        <v>76</v>
      </c>
      <c r="B103" s="1297">
        <v>111</v>
      </c>
      <c r="C103" s="326"/>
      <c r="D103" s="326"/>
      <c r="E103" s="326"/>
      <c r="F103" s="326"/>
    </row>
    <row r="104" spans="1:6">
      <c r="A104" s="1296" t="s">
        <v>77</v>
      </c>
      <c r="B104" s="1297">
        <v>1499</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31</v>
      </c>
      <c r="C123" s="1297">
        <v>32</v>
      </c>
      <c r="D123" s="326"/>
      <c r="E123" s="326"/>
      <c r="F123" s="326"/>
    </row>
    <row r="124" spans="1:6">
      <c r="A124" s="1296" t="s">
        <v>88</v>
      </c>
      <c r="B124" s="1297">
        <v>1</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85</v>
      </c>
      <c r="C129" s="326"/>
      <c r="D129" s="326"/>
      <c r="E129" s="326"/>
      <c r="F129" s="326"/>
    </row>
    <row r="130" spans="1:6">
      <c r="A130" s="1296" t="s">
        <v>283</v>
      </c>
      <c r="B130" s="1297">
        <v>0</v>
      </c>
      <c r="C130" s="326"/>
      <c r="D130" s="326"/>
      <c r="E130" s="326"/>
      <c r="F130" s="326"/>
    </row>
    <row r="131" spans="1:6">
      <c r="A131" s="1296" t="s">
        <v>284</v>
      </c>
      <c r="B131" s="1297">
        <v>0</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32942.118024731302</v>
      </c>
      <c r="C3" s="43" t="s">
        <v>163</v>
      </c>
      <c r="D3" s="43"/>
      <c r="E3" s="154"/>
      <c r="F3" s="43"/>
      <c r="G3" s="43"/>
      <c r="H3" s="43"/>
      <c r="I3" s="43"/>
      <c r="J3" s="43"/>
      <c r="K3" s="96"/>
    </row>
    <row r="4" spans="1:11">
      <c r="A4" s="352" t="s">
        <v>164</v>
      </c>
      <c r="B4" s="49">
        <f>IF(ISERROR('SEAP template'!B78+'SEAP template'!C78),0,'SEAP template'!B78+'SEAP template'!C78)</f>
        <v>25557.303349680504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5441.1670588235302</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0.21471634266805617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7773.0957983193293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32708.571428571431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624.74599999999998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624.74599999999998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0.21471634266805617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134.14317621649741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15951.477550000001</v>
      </c>
      <c r="C5" s="17">
        <f>IF(ISERROR('Eigen informatie GS &amp; warmtenet'!B59),0,'Eigen informatie GS &amp; warmtenet'!B59)</f>
        <v>0</v>
      </c>
      <c r="D5" s="30">
        <f>(SUM(HH_hh_gas_kWh,HH_rest_gas_kWh)/1000)*0.902</f>
        <v>50165.677487860004</v>
      </c>
      <c r="E5" s="17">
        <f>B32*B41</f>
        <v>1327.3443071851989</v>
      </c>
      <c r="F5" s="17">
        <f>B36*B45</f>
        <v>21398.559324726353</v>
      </c>
      <c r="G5" s="18"/>
      <c r="H5" s="17"/>
      <c r="I5" s="17"/>
      <c r="J5" s="17">
        <f>B35*B44+C35*C44</f>
        <v>85.486301079237037</v>
      </c>
      <c r="K5" s="17"/>
      <c r="L5" s="17"/>
      <c r="M5" s="17"/>
      <c r="N5" s="17">
        <f>B34*B43+C34*C43</f>
        <v>6379.7054051853183</v>
      </c>
      <c r="O5" s="17">
        <f>B52*B53*B54</f>
        <v>234.10706988766975</v>
      </c>
      <c r="P5" s="17">
        <f>B60*B61*B62/1000-B60*B61*B62/1000/B63</f>
        <v>537.23192469193623</v>
      </c>
    </row>
    <row r="6" spans="1:16">
      <c r="A6" s="16" t="s">
        <v>598</v>
      </c>
      <c r="B6" s="776">
        <f>kWh_PV_kleiner_dan_10kW</f>
        <v>2205.6250249740083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18157.102574974011</v>
      </c>
      <c r="C8" s="21">
        <f>C5</f>
        <v>0</v>
      </c>
      <c r="D8" s="21">
        <f>D5</f>
        <v>50165.677487860004</v>
      </c>
      <c r="E8" s="21">
        <f>E5</f>
        <v>1327.3443071851989</v>
      </c>
      <c r="F8" s="21">
        <f>F5</f>
        <v>21398.559324726353</v>
      </c>
      <c r="G8" s="21"/>
      <c r="H8" s="21"/>
      <c r="I8" s="21"/>
      <c r="J8" s="21">
        <f>J5</f>
        <v>85.486301079237037</v>
      </c>
      <c r="K8" s="21"/>
      <c r="L8" s="21">
        <f>L5</f>
        <v>0</v>
      </c>
      <c r="M8" s="21">
        <f>M5</f>
        <v>0</v>
      </c>
      <c r="N8" s="21">
        <f>N5</f>
        <v>6379.7054051853183</v>
      </c>
      <c r="O8" s="21">
        <f>O5</f>
        <v>234.10706988766975</v>
      </c>
      <c r="P8" s="21">
        <f>P5</f>
        <v>537.23192469193623</v>
      </c>
    </row>
    <row r="9" spans="1:16">
      <c r="B9" s="19"/>
      <c r="C9" s="19"/>
      <c r="D9" s="256"/>
      <c r="E9" s="19"/>
      <c r="F9" s="19"/>
      <c r="G9" s="19"/>
      <c r="H9" s="19"/>
      <c r="I9" s="19"/>
      <c r="J9" s="19"/>
      <c r="K9" s="19"/>
      <c r="L9" s="19"/>
      <c r="M9" s="19"/>
      <c r="N9" s="19"/>
      <c r="O9" s="19"/>
      <c r="P9" s="19"/>
    </row>
    <row r="10" spans="1:16">
      <c r="A10" s="24" t="s">
        <v>207</v>
      </c>
      <c r="B10" s="25">
        <f ca="1">'EF ele_warmte'!B12</f>
        <v>0.21471634266805617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3898.6266583471647</v>
      </c>
      <c r="C12" s="23">
        <f ca="1">C10*C8</f>
        <v>0</v>
      </c>
      <c r="D12" s="23">
        <f>D8*D10</f>
        <v>10133.466852547721</v>
      </c>
      <c r="E12" s="23">
        <f>E10*E8</f>
        <v>301.30715773104015</v>
      </c>
      <c r="F12" s="23">
        <f>F10*F8</f>
        <v>5713.4153397019363</v>
      </c>
      <c r="G12" s="23"/>
      <c r="H12" s="23"/>
      <c r="I12" s="23"/>
      <c r="J12" s="23">
        <f>J10*J8</f>
        <v>30.262150582049909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4741</v>
      </c>
      <c r="C26" s="36"/>
      <c r="D26" s="226"/>
    </row>
    <row r="27" spans="1:7" s="15" customFormat="1">
      <c r="A27" s="228" t="s">
        <v>800</v>
      </c>
      <c r="B27" s="37">
        <f>SUM(HH_hh_gas_aantal,HH_rest_gas_aantal)</f>
        <v>3317</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3151.15</v>
      </c>
      <c r="C31" s="166" t="s">
        <v>104</v>
      </c>
      <c r="D31" s="231"/>
      <c r="G31" s="15"/>
    </row>
    <row r="32" spans="1:7">
      <c r="A32" s="169" t="s">
        <v>72</v>
      </c>
      <c r="B32" s="166">
        <f>IF((B21*($B$26-($B$27-0.05*$B$27)-$B$60))&lt;0,0,B21*($B$26-($B$27-0.05*$B$27)-$B$60))</f>
        <v>24.429549510161408</v>
      </c>
      <c r="C32" s="166" t="s">
        <v>104</v>
      </c>
      <c r="D32" s="231"/>
      <c r="G32" s="15"/>
    </row>
    <row r="33" spans="1:7">
      <c r="A33" s="169" t="s">
        <v>73</v>
      </c>
      <c r="B33" s="166">
        <f>IF((B22*($B$26-($B$27-0.05*$B$27)-$B$60))&lt;0,0,B22*($B$26-($B$27-0.05*$B$27)-$B$60))</f>
        <v>396.68750079116722</v>
      </c>
      <c r="C33" s="166" t="s">
        <v>104</v>
      </c>
      <c r="D33" s="231"/>
      <c r="G33" s="15"/>
    </row>
    <row r="34" spans="1:7">
      <c r="A34" s="169" t="s">
        <v>74</v>
      </c>
      <c r="B34" s="166">
        <f>IF((B24*($B$26-($B$27-0.05*$B$27)-$B$60))&lt;0,0,B24*($B$26-($B$27-0.05*$B$27)-$B$60))</f>
        <v>76.050302557903393</v>
      </c>
      <c r="C34" s="166">
        <f>B26*C24</f>
        <v>971.45906062282597</v>
      </c>
      <c r="D34" s="231"/>
      <c r="G34" s="15"/>
    </row>
    <row r="35" spans="1:7">
      <c r="A35" s="169" t="s">
        <v>76</v>
      </c>
      <c r="B35" s="166">
        <f>IF((B19*($B$26-($B$27-0.05*$B$27)-$B$60))&lt;0,0,B19*($B$26-($B$27-0.05*$B$27)-$B$60))</f>
        <v>10.619466930426977</v>
      </c>
      <c r="C35" s="166">
        <f>B35/2</f>
        <v>5.3097334652134887</v>
      </c>
      <c r="D35" s="232"/>
      <c r="G35" s="15"/>
    </row>
    <row r="36" spans="1:7">
      <c r="A36" s="169" t="s">
        <v>77</v>
      </c>
      <c r="B36" s="166">
        <f>IF((B18*($B$26-($B$27-0.05*$B$27)-$B$60))&lt;0,0,B18*($B$26-($B$27-0.05*$B$27)-$B$60))</f>
        <v>1031.0631802103405</v>
      </c>
      <c r="C36" s="166" t="s">
        <v>104</v>
      </c>
      <c r="D36" s="232"/>
      <c r="G36" s="15"/>
    </row>
    <row r="37" spans="1:7">
      <c r="A37" s="169" t="s">
        <v>78</v>
      </c>
      <c r="B37" s="166">
        <f>B60</f>
        <v>51</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118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51</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10843.110843999999</v>
      </c>
      <c r="C5" s="17">
        <f>IF(ISERROR('Eigen informatie GS &amp; warmtenet'!B60),0,'Eigen informatie GS &amp; warmtenet'!B60)</f>
        <v>0</v>
      </c>
      <c r="D5" s="30">
        <f>SUM(D6:D12)</f>
        <v>12105.123616761999</v>
      </c>
      <c r="E5" s="17">
        <f>SUM(E6:E12)</f>
        <v>161.9082014609171</v>
      </c>
      <c r="F5" s="17">
        <f>SUM(F6:F12)</f>
        <v>1226.0453806731398</v>
      </c>
      <c r="G5" s="18"/>
      <c r="H5" s="17"/>
      <c r="I5" s="17"/>
      <c r="J5" s="17">
        <f>SUM(J6:J12)</f>
        <v>2.197638090727785E-2</v>
      </c>
      <c r="K5" s="17"/>
      <c r="L5" s="17"/>
      <c r="M5" s="17"/>
      <c r="N5" s="17">
        <f>SUM(N6:N12)</f>
        <v>866.91849475548247</v>
      </c>
      <c r="O5" s="17">
        <f>B38*B39*B40</f>
        <v>0</v>
      </c>
      <c r="P5" s="17">
        <f>B46*B47*B48/1000-B46*B47*B48/1000/B49</f>
        <v>0</v>
      </c>
      <c r="R5" s="32"/>
    </row>
    <row r="6" spans="1:18">
      <c r="A6" s="32" t="s">
        <v>53</v>
      </c>
      <c r="B6" s="37">
        <f>B26</f>
        <v>1738.034539</v>
      </c>
      <c r="C6" s="33"/>
      <c r="D6" s="37">
        <f>IF(ISERROR(TER_kantoor_gas_kWh/1000),0,TER_kantoor_gas_kWh/1000)*0.902</f>
        <v>2966.4262581140001</v>
      </c>
      <c r="E6" s="33">
        <f>$C$26*'E Balans VL '!I12/100/3.6*1000000</f>
        <v>13.985406677557693</v>
      </c>
      <c r="F6" s="33">
        <f>$C$26*('E Balans VL '!L12+'E Balans VL '!N12)/100/3.6*1000000</f>
        <v>212.49300593074076</v>
      </c>
      <c r="G6" s="34"/>
      <c r="H6" s="33"/>
      <c r="I6" s="33"/>
      <c r="J6" s="33">
        <f>$C$26*('E Balans VL '!D12+'E Balans VL '!E12)/100/3.6*1000000</f>
        <v>0</v>
      </c>
      <c r="K6" s="33"/>
      <c r="L6" s="33"/>
      <c r="M6" s="33"/>
      <c r="N6" s="33">
        <f>$C$26*'E Balans VL '!Y12/100/3.6*1000000</f>
        <v>0.93410797577512994</v>
      </c>
      <c r="O6" s="33"/>
      <c r="P6" s="33"/>
      <c r="R6" s="32"/>
    </row>
    <row r="7" spans="1:18">
      <c r="A7" s="32" t="s">
        <v>52</v>
      </c>
      <c r="B7" s="37">
        <f t="shared" ref="B7:B12" si="0">B27</f>
        <v>869.15002099999992</v>
      </c>
      <c r="C7" s="33"/>
      <c r="D7" s="37">
        <f>IF(ISERROR(TER_horeca_gas_kWh/1000),0,TER_horeca_gas_kWh/1000)*0.902</f>
        <v>1106.8662854700001</v>
      </c>
      <c r="E7" s="33">
        <f>$C$27*'E Balans VL '!I9/100/3.6*1000000</f>
        <v>9.3325369662172832</v>
      </c>
      <c r="F7" s="33">
        <f>$C$27*('E Balans VL '!L9+'E Balans VL '!N9)/100/3.6*1000000</f>
        <v>104.53767177452582</v>
      </c>
      <c r="G7" s="34"/>
      <c r="H7" s="33"/>
      <c r="I7" s="33"/>
      <c r="J7" s="33">
        <f>$C$27*('E Balans VL '!D9+'E Balans VL '!E9)/100/3.6*1000000</f>
        <v>0</v>
      </c>
      <c r="K7" s="33"/>
      <c r="L7" s="33"/>
      <c r="M7" s="33"/>
      <c r="N7" s="33">
        <f>$C$27*'E Balans VL '!Y9/100/3.6*1000000</f>
        <v>0.13030320377367732</v>
      </c>
      <c r="O7" s="33"/>
      <c r="P7" s="33"/>
      <c r="R7" s="32"/>
    </row>
    <row r="8" spans="1:18">
      <c r="A8" s="6" t="s">
        <v>51</v>
      </c>
      <c r="B8" s="37">
        <f t="shared" si="0"/>
        <v>3096.1536759999999</v>
      </c>
      <c r="C8" s="33"/>
      <c r="D8" s="37">
        <f>IF(ISERROR(TER_handel_gas_kWh/1000),0,TER_handel_gas_kWh/1000)*0.902</f>
        <v>1554.6304750240001</v>
      </c>
      <c r="E8" s="33">
        <f>$C$28*'E Balans VL '!I13/100/3.6*1000000</f>
        <v>83.091285881312629</v>
      </c>
      <c r="F8" s="33">
        <f>$C$28*('E Balans VL '!L13+'E Balans VL '!N13)/100/3.6*1000000</f>
        <v>295.46848660722804</v>
      </c>
      <c r="G8" s="34"/>
      <c r="H8" s="33"/>
      <c r="I8" s="33"/>
      <c r="J8" s="33">
        <f>$C$28*('E Balans VL '!D13+'E Balans VL '!E13)/100/3.6*1000000</f>
        <v>0</v>
      </c>
      <c r="K8" s="33"/>
      <c r="L8" s="33"/>
      <c r="M8" s="33"/>
      <c r="N8" s="33">
        <f>$C$28*'E Balans VL '!Y13/100/3.6*1000000</f>
        <v>1.2273505216272036</v>
      </c>
      <c r="O8" s="33"/>
      <c r="P8" s="33"/>
      <c r="R8" s="32"/>
    </row>
    <row r="9" spans="1:18">
      <c r="A9" s="32" t="s">
        <v>50</v>
      </c>
      <c r="B9" s="37">
        <f t="shared" si="0"/>
        <v>497.39633500000002</v>
      </c>
      <c r="C9" s="33"/>
      <c r="D9" s="37">
        <f>IF(ISERROR(TER_gezond_gas_kWh/1000),0,TER_gezond_gas_kWh/1000)*0.902</f>
        <v>2514.9854579299999</v>
      </c>
      <c r="E9" s="33">
        <f>$C$29*'E Balans VL '!I10/100/3.6*1000000</f>
        <v>0.93228269106956307</v>
      </c>
      <c r="F9" s="33">
        <f>$C$29*('E Balans VL '!L10+'E Balans VL '!N10)/100/3.6*1000000</f>
        <v>40.89051712885874</v>
      </c>
      <c r="G9" s="34"/>
      <c r="H9" s="33"/>
      <c r="I9" s="33"/>
      <c r="J9" s="33">
        <f>$C$29*('E Balans VL '!D10+'E Balans VL '!E10)/100/3.6*1000000</f>
        <v>0</v>
      </c>
      <c r="K9" s="33"/>
      <c r="L9" s="33"/>
      <c r="M9" s="33"/>
      <c r="N9" s="33">
        <f>$C$29*'E Balans VL '!Y10/100/3.6*1000000</f>
        <v>3.8701145972897182</v>
      </c>
      <c r="O9" s="33"/>
      <c r="P9" s="33"/>
      <c r="R9" s="32"/>
    </row>
    <row r="10" spans="1:18">
      <c r="A10" s="32" t="s">
        <v>49</v>
      </c>
      <c r="B10" s="37">
        <f t="shared" si="0"/>
        <v>920.01986199999999</v>
      </c>
      <c r="C10" s="33"/>
      <c r="D10" s="37">
        <f>IF(ISERROR(TER_ander_gas_kWh/1000),0,TER_ander_gas_kWh/1000)*0.902</f>
        <v>557.69787675800001</v>
      </c>
      <c r="E10" s="33">
        <f>$C$30*'E Balans VL '!I14/100/3.6*1000000</f>
        <v>1.418219939690218</v>
      </c>
      <c r="F10" s="33">
        <f>$C$30*('E Balans VL '!L14+'E Balans VL '!N14)/100/3.6*1000000</f>
        <v>142.83333756094672</v>
      </c>
      <c r="G10" s="34"/>
      <c r="H10" s="33"/>
      <c r="I10" s="33"/>
      <c r="J10" s="33">
        <f>$C$30*('E Balans VL '!D14+'E Balans VL '!E14)/100/3.6*1000000</f>
        <v>1.56183074332128E-2</v>
      </c>
      <c r="K10" s="33"/>
      <c r="L10" s="33"/>
      <c r="M10" s="33"/>
      <c r="N10" s="33">
        <f>$C$30*'E Balans VL '!Y14/100/3.6*1000000</f>
        <v>608.65565428395882</v>
      </c>
      <c r="O10" s="33"/>
      <c r="P10" s="33"/>
      <c r="R10" s="32"/>
    </row>
    <row r="11" spans="1:18">
      <c r="A11" s="32" t="s">
        <v>54</v>
      </c>
      <c r="B11" s="37">
        <f t="shared" si="0"/>
        <v>404.72061400000001</v>
      </c>
      <c r="C11" s="33"/>
      <c r="D11" s="37">
        <f>IF(ISERROR(TER_onderwijs_gas_kWh/1000),0,TER_onderwijs_gas_kWh/1000)*0.902</f>
        <v>433.74408965800001</v>
      </c>
      <c r="E11" s="33">
        <f>$C$31*'E Balans VL '!I11/100/3.6*1000000</f>
        <v>10.323139921633361</v>
      </c>
      <c r="F11" s="33">
        <f>$C$31*('E Balans VL '!L11+'E Balans VL '!N11)/100/3.6*1000000</f>
        <v>48.671463208985074</v>
      </c>
      <c r="G11" s="34"/>
      <c r="H11" s="33"/>
      <c r="I11" s="33"/>
      <c r="J11" s="33">
        <f>$C$31*('E Balans VL '!D11+'E Balans VL '!E11)/100/3.6*1000000</f>
        <v>0</v>
      </c>
      <c r="K11" s="33"/>
      <c r="L11" s="33"/>
      <c r="M11" s="33"/>
      <c r="N11" s="33">
        <f>$C$31*'E Balans VL '!Y11/100/3.6*1000000</f>
        <v>0.90008877026792644</v>
      </c>
      <c r="O11" s="33"/>
      <c r="P11" s="33"/>
      <c r="R11" s="32"/>
    </row>
    <row r="12" spans="1:18">
      <c r="A12" s="32" t="s">
        <v>248</v>
      </c>
      <c r="B12" s="37">
        <f t="shared" si="0"/>
        <v>3317.6357969999999</v>
      </c>
      <c r="C12" s="33"/>
      <c r="D12" s="37">
        <f>IF(ISERROR(TER_rest_gas_kWh/1000),0,TER_rest_gas_kWh/1000)*0.902</f>
        <v>2970.7731738079997</v>
      </c>
      <c r="E12" s="33">
        <f>$C$32*'E Balans VL '!I8/100/3.6*1000000</f>
        <v>42.825329383436362</v>
      </c>
      <c r="F12" s="33">
        <f>$C$32*('E Balans VL '!L8+'E Balans VL '!N8)/100/3.6*1000000</f>
        <v>381.15089846185469</v>
      </c>
      <c r="G12" s="34"/>
      <c r="H12" s="33"/>
      <c r="I12" s="33"/>
      <c r="J12" s="33">
        <f>$C$32*('E Balans VL '!D8+'E Balans VL '!E8)/100/3.6*1000000</f>
        <v>6.3580734740650499E-3</v>
      </c>
      <c r="K12" s="33"/>
      <c r="L12" s="33"/>
      <c r="M12" s="33"/>
      <c r="N12" s="33">
        <f>$C$32*'E Balans VL '!Y8/100/3.6*1000000</f>
        <v>251.20087540279002</v>
      </c>
      <c r="O12" s="33"/>
      <c r="P12" s="33"/>
      <c r="R12" s="32"/>
    </row>
    <row r="13" spans="1:18">
      <c r="A13" s="16" t="s">
        <v>465</v>
      </c>
      <c r="B13" s="245">
        <f ca="1">'lokale energieproductie'!N40+'lokale energieproductie'!N33</f>
        <v>0</v>
      </c>
      <c r="C13" s="245">
        <f ca="1">'lokale energieproductie'!O40+'lokale energieproductie'!O33</f>
        <v>0</v>
      </c>
      <c r="D13" s="304">
        <f ca="1">('lokale energieproductie'!P33+'lokale energieproductie'!P40)*(-1)</f>
        <v>0</v>
      </c>
      <c r="E13" s="246"/>
      <c r="F13" s="304">
        <f ca="1">('lokale energieproductie'!S33+'lokale energieproductie'!S40)*(-1)</f>
        <v>0</v>
      </c>
      <c r="G13" s="247"/>
      <c r="H13" s="246"/>
      <c r="I13" s="246"/>
      <c r="J13" s="246"/>
      <c r="K13" s="246"/>
      <c r="L13" s="304">
        <f ca="1">('lokale energieproductie'!U33+'lokale energieproductie'!T33+'lokale energieproductie'!U40+'lokale energieproductie'!T40)*(-1)</f>
        <v>0</v>
      </c>
      <c r="M13" s="246"/>
      <c r="N13" s="304">
        <f ca="1">('lokale energieproductie'!Q33+'lokale energieproductie'!R33+'lokale energieproductie'!V33+'lokale energieproductie'!Q40+'lokale energieproductie'!R40+'lokale energieproductie'!V40)*(-1)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10843.110843999999</v>
      </c>
      <c r="C16" s="21">
        <f t="shared" ca="1" si="1"/>
        <v>0</v>
      </c>
      <c r="D16" s="21">
        <f t="shared" ca="1" si="1"/>
        <v>12105.123616761999</v>
      </c>
      <c r="E16" s="21">
        <f t="shared" si="1"/>
        <v>161.9082014609171</v>
      </c>
      <c r="F16" s="21">
        <f t="shared" ca="1" si="1"/>
        <v>1226.0453806731398</v>
      </c>
      <c r="G16" s="21">
        <f t="shared" si="1"/>
        <v>0</v>
      </c>
      <c r="H16" s="21">
        <f t="shared" si="1"/>
        <v>0</v>
      </c>
      <c r="I16" s="21">
        <f t="shared" si="1"/>
        <v>0</v>
      </c>
      <c r="J16" s="21">
        <f t="shared" si="1"/>
        <v>2.197638090727785E-2</v>
      </c>
      <c r="K16" s="21">
        <f t="shared" si="1"/>
        <v>0</v>
      </c>
      <c r="L16" s="21">
        <f t="shared" ca="1" si="1"/>
        <v>0</v>
      </c>
      <c r="M16" s="21">
        <f t="shared" si="1"/>
        <v>0</v>
      </c>
      <c r="N16" s="21">
        <f t="shared" ca="1" si="1"/>
        <v>866.91849475548247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0.21471634266805617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2328.1931035680195</v>
      </c>
      <c r="C20" s="23">
        <f t="shared" ref="C20:P20" ca="1" si="2">C16*C18</f>
        <v>0</v>
      </c>
      <c r="D20" s="23">
        <f t="shared" ca="1" si="2"/>
        <v>2445.2349705859237</v>
      </c>
      <c r="E20" s="23">
        <f t="shared" si="2"/>
        <v>36.753161731628182</v>
      </c>
      <c r="F20" s="23">
        <f t="shared" ca="1" si="2"/>
        <v>327.35411663972832</v>
      </c>
      <c r="G20" s="23">
        <f t="shared" si="2"/>
        <v>0</v>
      </c>
      <c r="H20" s="23">
        <f t="shared" si="2"/>
        <v>0</v>
      </c>
      <c r="I20" s="23">
        <f t="shared" si="2"/>
        <v>0</v>
      </c>
      <c r="J20" s="23">
        <f t="shared" si="2"/>
        <v>7.7796388411763588E-3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1738.034539</v>
      </c>
      <c r="C26" s="39">
        <f>IF(ISERROR(B26*3.6/1000000/'E Balans VL '!Z12*100),0,B26*3.6/1000000/'E Balans VL '!Z12*100)</f>
        <v>3.687081262588101E-2</v>
      </c>
      <c r="D26" s="235" t="s">
        <v>692</v>
      </c>
      <c r="F26" s="6"/>
    </row>
    <row r="27" spans="1:18">
      <c r="A27" s="229" t="s">
        <v>52</v>
      </c>
      <c r="B27" s="33">
        <f>IF(ISERROR(TER_horeca_ele_kWh/1000),0,TER_horeca_ele_kWh/1000)</f>
        <v>869.15002099999992</v>
      </c>
      <c r="C27" s="39">
        <f>IF(ISERROR(B27*3.6/1000000/'E Balans VL '!Z9*100),0,B27*3.6/1000000/'E Balans VL '!Z9*100)</f>
        <v>6.5454695952460548E-2</v>
      </c>
      <c r="D27" s="235" t="s">
        <v>692</v>
      </c>
      <c r="F27" s="6"/>
    </row>
    <row r="28" spans="1:18">
      <c r="A28" s="169" t="s">
        <v>51</v>
      </c>
      <c r="B28" s="33">
        <f>IF(ISERROR(TER_handel_ele_kWh/1000),0,TER_handel_ele_kWh/1000)</f>
        <v>3096.1536759999999</v>
      </c>
      <c r="C28" s="39">
        <f>IF(ISERROR(B28*3.6/1000000/'E Balans VL '!Z13*100),0,B28*3.6/1000000/'E Balans VL '!Z13*100)</f>
        <v>8.9870370685865522E-2</v>
      </c>
      <c r="D28" s="235" t="s">
        <v>692</v>
      </c>
      <c r="F28" s="6"/>
    </row>
    <row r="29" spans="1:18">
      <c r="A29" s="229" t="s">
        <v>50</v>
      </c>
      <c r="B29" s="33">
        <f>IF(ISERROR(TER_gezond_ele_kWh/1000),0,TER_gezond_ele_kWh/1000)</f>
        <v>497.39633500000002</v>
      </c>
      <c r="C29" s="39">
        <f>IF(ISERROR(B29*3.6/1000000/'E Balans VL '!Z10*100),0,B29*3.6/1000000/'E Balans VL '!Z10*100)</f>
        <v>5.0163013554038752E-2</v>
      </c>
      <c r="D29" s="235" t="s">
        <v>692</v>
      </c>
      <c r="F29" s="6"/>
    </row>
    <row r="30" spans="1:18">
      <c r="A30" s="229" t="s">
        <v>49</v>
      </c>
      <c r="B30" s="33">
        <f>IF(ISERROR(TER_ander_ele_kWh/1000),0,TER_ander_ele_kWh/1000)</f>
        <v>920.01986199999999</v>
      </c>
      <c r="C30" s="39">
        <f>IF(ISERROR(B30*3.6/1000000/'E Balans VL '!Z14*100),0,B30*3.6/1000000/'E Balans VL '!Z14*100)</f>
        <v>6.6759992360375595E-2</v>
      </c>
      <c r="D30" s="235" t="s">
        <v>692</v>
      </c>
      <c r="F30" s="6"/>
    </row>
    <row r="31" spans="1:18">
      <c r="A31" s="229" t="s">
        <v>54</v>
      </c>
      <c r="B31" s="33">
        <f>IF(ISERROR(TER_onderwijs_ele_kWh/1000),0,TER_onderwijs_ele_kWh/1000)</f>
        <v>404.72061400000001</v>
      </c>
      <c r="C31" s="39">
        <f>IF(ISERROR(B31*3.6/1000000/'E Balans VL '!Z11*100),0,B31*3.6/1000000/'E Balans VL '!Z11*100)</f>
        <v>0.11536185598081679</v>
      </c>
      <c r="D31" s="235" t="s">
        <v>692</v>
      </c>
    </row>
    <row r="32" spans="1:18">
      <c r="A32" s="229" t="s">
        <v>248</v>
      </c>
      <c r="B32" s="33">
        <f>IF(ISERROR(TER_rest_ele_kWh/1000),0,TER_rest_ele_kWh/1000)</f>
        <v>3317.6357969999999</v>
      </c>
      <c r="C32" s="39">
        <f>IF(ISERROR(B32*3.6/1000000/'E Balans VL '!Z8*100),0,B32*3.6/1000000/'E Balans VL '!Z8*100)</f>
        <v>2.7177396678250289E-2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0</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1709.124804</v>
      </c>
      <c r="C5" s="17">
        <f>IF(ISERROR('Eigen informatie GS &amp; warmtenet'!B61),0,'Eigen informatie GS &amp; warmtenet'!B61)</f>
        <v>0</v>
      </c>
      <c r="D5" s="30">
        <f>SUM(D6:D15)</f>
        <v>1975.4895190360003</v>
      </c>
      <c r="E5" s="17">
        <f>SUM(E6:E15)</f>
        <v>290.70713864197256</v>
      </c>
      <c r="F5" s="17">
        <f>SUM(F6:F15)</f>
        <v>901.4304721255246</v>
      </c>
      <c r="G5" s="18"/>
      <c r="H5" s="17"/>
      <c r="I5" s="17"/>
      <c r="J5" s="17">
        <f>SUM(J6:J15)</f>
        <v>3.9660184655578536</v>
      </c>
      <c r="K5" s="17"/>
      <c r="L5" s="17"/>
      <c r="M5" s="17"/>
      <c r="N5" s="17">
        <f>SUM(N6:N15)</f>
        <v>101.51847735004903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63.587291</v>
      </c>
      <c r="C8" s="33"/>
      <c r="D8" s="37">
        <f>IF( ISERROR(IND_metaal_Gas_kWH/1000),0,IND_metaal_Gas_kWH/1000)*0.902</f>
        <v>0</v>
      </c>
      <c r="E8" s="33">
        <f>C30*'E Balans VL '!I18/100/3.6*1000000</f>
        <v>0.45873767483310096</v>
      </c>
      <c r="F8" s="33">
        <f>C30*'E Balans VL '!L18/100/3.6*1000000+C30*'E Balans VL '!N18/100/3.6*1000000</f>
        <v>6.014185261085558</v>
      </c>
      <c r="G8" s="34"/>
      <c r="H8" s="33"/>
      <c r="I8" s="33"/>
      <c r="J8" s="40">
        <f>C30*'E Balans VL '!D18/100/3.6*1000000+C30*'E Balans VL '!E18/100/3.6*1000000</f>
        <v>6.3956466806145737E-2</v>
      </c>
      <c r="K8" s="33"/>
      <c r="L8" s="33"/>
      <c r="M8" s="33"/>
      <c r="N8" s="33">
        <f>C30*'E Balans VL '!Y18/100/3.6*1000000</f>
        <v>0.80391159360270559</v>
      </c>
      <c r="O8" s="33"/>
      <c r="P8" s="33"/>
      <c r="R8" s="32"/>
    </row>
    <row r="9" spans="1:18">
      <c r="A9" s="6" t="s">
        <v>32</v>
      </c>
      <c r="B9" s="37">
        <f t="shared" si="0"/>
        <v>965.51780000000008</v>
      </c>
      <c r="C9" s="33"/>
      <c r="D9" s="37">
        <f>IF( ISERROR(IND_andere_gas_kWh/1000),0,IND_andere_gas_kWh/1000)*0.902</f>
        <v>1093.142935456</v>
      </c>
      <c r="E9" s="33">
        <f>C31*'E Balans VL '!I19/100/3.6*1000000</f>
        <v>267.55789297045362</v>
      </c>
      <c r="F9" s="33">
        <f>C31*'E Balans VL '!L19/100/3.6*1000000+C31*'E Balans VL '!N19/100/3.6*1000000</f>
        <v>800.22323914004653</v>
      </c>
      <c r="G9" s="34"/>
      <c r="H9" s="33"/>
      <c r="I9" s="33"/>
      <c r="J9" s="40">
        <f>C31*'E Balans VL '!D19/100/3.6*1000000+C31*'E Balans VL '!E19/100/3.6*1000000</f>
        <v>0</v>
      </c>
      <c r="K9" s="33"/>
      <c r="L9" s="33"/>
      <c r="M9" s="33"/>
      <c r="N9" s="33">
        <f>C31*'E Balans VL '!Y19/100/3.6*1000000</f>
        <v>70.084782718823433</v>
      </c>
      <c r="O9" s="33"/>
      <c r="P9" s="33"/>
      <c r="R9" s="32"/>
    </row>
    <row r="10" spans="1:18">
      <c r="A10" s="6" t="s">
        <v>40</v>
      </c>
      <c r="B10" s="37">
        <f t="shared" si="0"/>
        <v>207.684505</v>
      </c>
      <c r="C10" s="33"/>
      <c r="D10" s="37">
        <f>IF( ISERROR(IND_voed_gas_kWh/1000),0,IND_voed_gas_kWh/1000)*0.902</f>
        <v>434.034438948</v>
      </c>
      <c r="E10" s="33">
        <f>C32*'E Balans VL '!I20/100/3.6*1000000</f>
        <v>0.36767192110200736</v>
      </c>
      <c r="F10" s="33">
        <f>C32*'E Balans VL '!L20/100/3.6*1000000+C32*'E Balans VL '!N20/100/3.6*1000000</f>
        <v>11.216803961256543</v>
      </c>
      <c r="G10" s="34"/>
      <c r="H10" s="33"/>
      <c r="I10" s="33"/>
      <c r="J10" s="40">
        <f>C32*'E Balans VL '!D20/100/3.6*1000000+C32*'E Balans VL '!E20/100/3.6*1000000</f>
        <v>0</v>
      </c>
      <c r="K10" s="33"/>
      <c r="L10" s="33"/>
      <c r="M10" s="33"/>
      <c r="N10" s="33">
        <f>C32*'E Balans VL '!Y20/100/3.6*1000000</f>
        <v>12.068055846828981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472.33520799999997</v>
      </c>
      <c r="C15" s="33"/>
      <c r="D15" s="37">
        <f>IF( ISERROR(IND_rest_gas_kWh/1000),0,IND_rest_gas_kWh/1000)*0.902</f>
        <v>448.31214463200001</v>
      </c>
      <c r="E15" s="33">
        <f>C37*'E Balans VL '!I15/100/3.6*1000000</f>
        <v>22.322836075583862</v>
      </c>
      <c r="F15" s="33">
        <f>C37*'E Balans VL '!L15/100/3.6*1000000+C37*'E Balans VL '!N15/100/3.6*1000000</f>
        <v>83.976243763135898</v>
      </c>
      <c r="G15" s="34"/>
      <c r="H15" s="33"/>
      <c r="I15" s="33"/>
      <c r="J15" s="40">
        <f>C37*'E Balans VL '!D15/100/3.6*1000000+C37*'E Balans VL '!E15/100/3.6*1000000</f>
        <v>3.9020619987517078</v>
      </c>
      <c r="K15" s="33"/>
      <c r="L15" s="33"/>
      <c r="M15" s="33"/>
      <c r="N15" s="33">
        <f>C37*'E Balans VL '!Y15/100/3.6*1000000</f>
        <v>18.561727190793899</v>
      </c>
      <c r="O15" s="33"/>
      <c r="P15" s="33"/>
      <c r="R15" s="32"/>
    </row>
    <row r="16" spans="1:18">
      <c r="A16" s="16" t="s">
        <v>465</v>
      </c>
      <c r="B16" s="245">
        <f>'lokale energieproductie'!N39+'lokale energieproductie'!N32</f>
        <v>0</v>
      </c>
      <c r="C16" s="245">
        <f>'lokale energieproductie'!O39+'lokale energieproductie'!O32</f>
        <v>0</v>
      </c>
      <c r="D16" s="304">
        <f>('lokale energieproductie'!P32+'lokale energieproductie'!P39)*(-1)</f>
        <v>0</v>
      </c>
      <c r="E16" s="246"/>
      <c r="F16" s="304">
        <f>('lokale energieproductie'!S32+'lokale energieproductie'!S39)*(-1)</f>
        <v>0</v>
      </c>
      <c r="G16" s="247"/>
      <c r="H16" s="246"/>
      <c r="I16" s="246"/>
      <c r="J16" s="246"/>
      <c r="K16" s="246"/>
      <c r="L16" s="304">
        <f>('lokale energieproductie'!T32+'lokale energieproductie'!U32+'lokale energieproductie'!T39+'lokale energieproductie'!U39)*(-1)</f>
        <v>0</v>
      </c>
      <c r="M16" s="246"/>
      <c r="N16" s="304">
        <f>('lokale energieproductie'!Q32+'lokale energieproductie'!R32+'lokale energieproductie'!V32+'lokale energieproductie'!Q39+'lokale energieproductie'!R39+'lokale energieproductie'!V39)*(-1)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1709.124804</v>
      </c>
      <c r="C18" s="21">
        <f>C5+C16</f>
        <v>0</v>
      </c>
      <c r="D18" s="21">
        <f>MAX((D5+D16),0)</f>
        <v>1975.4895190360003</v>
      </c>
      <c r="E18" s="21">
        <f>MAX((E5+E16),0)</f>
        <v>290.70713864197256</v>
      </c>
      <c r="F18" s="21">
        <f>MAX((F5+F16),0)</f>
        <v>901.4304721255246</v>
      </c>
      <c r="G18" s="21"/>
      <c r="H18" s="21"/>
      <c r="I18" s="21"/>
      <c r="J18" s="21">
        <f>MAX((J5+J16),0)</f>
        <v>3.9660184655578536</v>
      </c>
      <c r="K18" s="21"/>
      <c r="L18" s="21">
        <f>MAX((L5+L16),0)</f>
        <v>0</v>
      </c>
      <c r="M18" s="21"/>
      <c r="N18" s="21">
        <f>MAX((N5+N16),0)</f>
        <v>101.51847735004903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0.21471634266805617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366.97702707813835</v>
      </c>
      <c r="C22" s="23">
        <f ca="1">C18*C20</f>
        <v>0</v>
      </c>
      <c r="D22" s="23">
        <f>D18*D20</f>
        <v>399.04888284527209</v>
      </c>
      <c r="E22" s="23">
        <f>E18*E20</f>
        <v>65.990520471727777</v>
      </c>
      <c r="F22" s="23">
        <f>F18*F20</f>
        <v>240.68193605751509</v>
      </c>
      <c r="G22" s="23"/>
      <c r="H22" s="23"/>
      <c r="I22" s="23"/>
      <c r="J22" s="23">
        <f>J18*J20</f>
        <v>1.4039705368074802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63.587291</v>
      </c>
      <c r="C30" s="39">
        <f>IF(ISERROR(B30*3.6/1000000/'E Balans VL '!Z18*100),0,B30*3.6/1000000/'E Balans VL '!Z18*100)</f>
        <v>3.6707950911487861E-3</v>
      </c>
      <c r="D30" s="235" t="s">
        <v>692</v>
      </c>
    </row>
    <row r="31" spans="1:18">
      <c r="A31" s="6" t="s">
        <v>32</v>
      </c>
      <c r="B31" s="37">
        <f>IF( ISERROR(IND_ander_ele_kWh/1000),0,IND_ander_ele_kWh/1000)</f>
        <v>965.51780000000008</v>
      </c>
      <c r="C31" s="39">
        <f>IF(ISERROR(B31*3.6/1000000/'E Balans VL '!Z19*100),0,B31*3.6/1000000/'E Balans VL '!Z19*100)</f>
        <v>4.8562415735232657E-2</v>
      </c>
      <c r="D31" s="235" t="s">
        <v>692</v>
      </c>
    </row>
    <row r="32" spans="1:18">
      <c r="A32" s="169" t="s">
        <v>40</v>
      </c>
      <c r="B32" s="37">
        <f>IF( ISERROR(IND_voed_ele_kWh/1000),0,IND_voed_ele_kWh/1000)</f>
        <v>207.684505</v>
      </c>
      <c r="C32" s="39">
        <f>IF(ISERROR(B32*3.6/1000000/'E Balans VL '!Z20*100),0,B32*3.6/1000000/'E Balans VL '!Z20*100)</f>
        <v>6.9171272986141771E-3</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472.33520799999997</v>
      </c>
      <c r="C37" s="39">
        <f>IF(ISERROR(B37*3.6/1000000/'E Balans VL '!Z15*100),0,B37*3.6/1000000/'E Balans VL '!Z15*100)</f>
        <v>3.6855062849934003E-3</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990.26192100000003</v>
      </c>
      <c r="C5" s="17">
        <f>'Eigen informatie GS &amp; warmtenet'!B62</f>
        <v>0</v>
      </c>
      <c r="D5" s="30">
        <f>IF(ISERROR(SUM(LB_lb_gas_kWh,LB_rest_gas_kWh)/1000),0,SUM(LB_lb_gas_kWh,LB_rest_gas_kWh)/1000)*0.902</f>
        <v>65176.168664596007</v>
      </c>
      <c r="E5" s="17">
        <f>B17*'E Balans VL '!I25/3.6*1000000/100</f>
        <v>30.905748006314003</v>
      </c>
      <c r="F5" s="17">
        <f>B17*('E Balans VL '!L25/3.6*1000000+'E Balans VL '!N25/3.6*1000000)/100</f>
        <v>3499.6953270703884</v>
      </c>
      <c r="G5" s="18"/>
      <c r="H5" s="17"/>
      <c r="I5" s="17"/>
      <c r="J5" s="17">
        <f>('E Balans VL '!D25+'E Balans VL '!E25)/3.6*1000000*landbouw!B17/100</f>
        <v>272.82402664173662</v>
      </c>
      <c r="K5" s="17"/>
      <c r="L5" s="17">
        <f>L6*(-1)</f>
        <v>0</v>
      </c>
      <c r="M5" s="17"/>
      <c r="N5" s="17">
        <f>N6*(-1)</f>
        <v>0</v>
      </c>
      <c r="O5" s="17"/>
      <c r="P5" s="17"/>
      <c r="R5" s="32"/>
    </row>
    <row r="6" spans="1:18">
      <c r="A6" s="16" t="s">
        <v>465</v>
      </c>
      <c r="B6" s="17" t="s">
        <v>204</v>
      </c>
      <c r="C6" s="17">
        <f>'lokale energieproductie'!O41+'lokale energieproductie'!O34</f>
        <v>32708.571428571431</v>
      </c>
      <c r="D6" s="304">
        <f>('lokale energieproductie'!P34+'lokale energieproductie'!P41)*(-1)</f>
        <v>-65417.14285714287</v>
      </c>
      <c r="E6" s="246"/>
      <c r="F6" s="304">
        <f>('lokale energieproductie'!S34+'lokale energieproductie'!S41)*(-1)</f>
        <v>0</v>
      </c>
      <c r="G6" s="247"/>
      <c r="H6" s="246"/>
      <c r="I6" s="246"/>
      <c r="J6" s="246"/>
      <c r="K6" s="246"/>
      <c r="L6" s="304">
        <f>('lokale energieproductie'!T34+'lokale energieproductie'!U34+'lokale energieproductie'!T41+'lokale energieproductie'!U41)*(-1)</f>
        <v>0</v>
      </c>
      <c r="M6" s="246"/>
      <c r="N6" s="304">
        <f>('lokale energieproductie'!V34+'lokale energieproductie'!R34+'lokale energieproductie'!Q34+'lokale energieproductie'!Q41+'lokale energieproductie'!R41+'lokale energieproductie'!V41)*(-1)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990.26192100000003</v>
      </c>
      <c r="C8" s="21">
        <f>C5+C6</f>
        <v>32708.571428571431</v>
      </c>
      <c r="D8" s="21">
        <f>MAX((D5+D6),0)</f>
        <v>0</v>
      </c>
      <c r="E8" s="21">
        <f>MAX((E5+E6),0)</f>
        <v>30.905748006314003</v>
      </c>
      <c r="F8" s="21">
        <f>MAX((F5+F6),0)</f>
        <v>3499.6953270703884</v>
      </c>
      <c r="G8" s="21"/>
      <c r="H8" s="21"/>
      <c r="I8" s="21"/>
      <c r="J8" s="21">
        <f>MAX((J5+J6),0)</f>
        <v>272.82402664173662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0.21471634266805617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212.62541796056357</v>
      </c>
      <c r="C12" s="23">
        <f ca="1">C8*C10</f>
        <v>7773.0957983193293</v>
      </c>
      <c r="D12" s="23">
        <f>D8*D10</f>
        <v>0</v>
      </c>
      <c r="E12" s="23">
        <f>E8*E10</f>
        <v>7.0156047974332791</v>
      </c>
      <c r="F12" s="23">
        <f>F8*F10</f>
        <v>934.41865232779378</v>
      </c>
      <c r="G12" s="23"/>
      <c r="H12" s="23"/>
      <c r="I12" s="23"/>
      <c r="J12" s="23">
        <f>J8*J10</f>
        <v>96.579705431174759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0.14720953342652013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141.18270424548561</v>
      </c>
      <c r="C26" s="245">
        <f>B26*'GWP N2O_CH4'!B5</f>
        <v>2964.8367891551979</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36.622317345876155</v>
      </c>
      <c r="C27" s="245">
        <f>B27*'GWP N2O_CH4'!B5</f>
        <v>769.06866426339923</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1.6712211427439292</v>
      </c>
      <c r="C28" s="245">
        <f>B28*'GWP N2O_CH4'!B4</f>
        <v>518.07855425061803</v>
      </c>
      <c r="D28" s="50"/>
    </row>
    <row r="29" spans="1:4">
      <c r="A29" s="41" t="s">
        <v>265</v>
      </c>
      <c r="B29" s="245">
        <f>B34*'ha_N2O bodem landbouw'!B4</f>
        <v>8.8901722584820906</v>
      </c>
      <c r="C29" s="245">
        <f>B29*'GWP N2O_CH4'!B4</f>
        <v>2755.9534001294483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1.9494547123326171E-3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1.7375060167856764E-4</v>
      </c>
      <c r="C5" s="431" t="s">
        <v>204</v>
      </c>
      <c r="D5" s="416">
        <f>SUM(D6:D11)</f>
        <v>3.045953386890318E-4</v>
      </c>
      <c r="E5" s="416">
        <f>SUM(E6:E11)</f>
        <v>2.6475512859526625E-4</v>
      </c>
      <c r="F5" s="429" t="s">
        <v>204</v>
      </c>
      <c r="G5" s="416">
        <f>SUM(G6:G11)</f>
        <v>0.11283056685703072</v>
      </c>
      <c r="H5" s="416">
        <f>SUM(H6:H11)</f>
        <v>2.7094848907708764E-2</v>
      </c>
      <c r="I5" s="431" t="s">
        <v>204</v>
      </c>
      <c r="J5" s="431" t="s">
        <v>204</v>
      </c>
      <c r="K5" s="431" t="s">
        <v>204</v>
      </c>
      <c r="L5" s="431" t="s">
        <v>204</v>
      </c>
      <c r="M5" s="416">
        <f>SUM(M6:M11)</f>
        <v>8.2977159077292292E-3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1.4583044694697336E-4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2.4617597435105807E-4</v>
      </c>
      <c r="E6" s="882">
        <f>vkm_GW_PW*SUMIFS(TableVerdeelsleutelVkm[LPG],TableVerdeelsleutelVkm[Voertuigtype],"Lichte voertuigen")*SUMIFS(TableECFTransport[EnergieConsumptieFactor (PJ per km)],TableECFTransport[Index],CONCATENATE($A6,"_LPG_LPG"))</f>
        <v>2.1571721934902002E-4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6.7385869726157122E-2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2.1958938623832351E-2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5.3381596305567044E-3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8.0939353860439082E-7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3.0892287954195217E-2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4.294127058086371E-7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1.7807049985374258E-3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2.7102619741980518E-5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5.8419364337973735E-5</v>
      </c>
      <c r="E8" s="419">
        <f>vkm_NGW_PW*SUMIFS(TableVerdeelsleutelVkm[LPG],TableVerdeelsleutelVkm[Voertuigtype],"Lichte voertuigen")*SUMIFS(TableECFTransport[EnergieConsumptieFactor (PJ per km)],TableECFTransport[Index],CONCATENATE($A8,"_LPG_LPG"))</f>
        <v>4.9037909246246211E-5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1.4152933492103859E-2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5.1354756576221074E-3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1.155824571925233E-3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8.1414510093654313E-9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3.9947568457452369E-4</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5.2135484948262661E-9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2.3026706709866892E-5</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48.264056021824345</v>
      </c>
      <c r="C14" s="21"/>
      <c r="D14" s="21">
        <f t="shared" ref="D14:M14" si="0">((D5)*10^9/3600)+D12</f>
        <v>84.609816302508833</v>
      </c>
      <c r="E14" s="21">
        <f t="shared" si="0"/>
        <v>73.543091276462846</v>
      </c>
      <c r="F14" s="21"/>
      <c r="G14" s="21">
        <f t="shared" si="0"/>
        <v>31341.824126952979</v>
      </c>
      <c r="H14" s="21">
        <f t="shared" si="0"/>
        <v>7526.3469188079898</v>
      </c>
      <c r="I14" s="21"/>
      <c r="J14" s="21"/>
      <c r="K14" s="21"/>
      <c r="L14" s="21"/>
      <c r="M14" s="21">
        <f t="shared" si="0"/>
        <v>2304.9210854803414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0.21471634266805617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10.363081591332296</v>
      </c>
      <c r="C18" s="23"/>
      <c r="D18" s="23">
        <f t="shared" ref="D18:M18" si="1">D14*D16</f>
        <v>17.091182893106787</v>
      </c>
      <c r="E18" s="23">
        <f t="shared" si="1"/>
        <v>16.694281719757068</v>
      </c>
      <c r="F18" s="23"/>
      <c r="G18" s="23">
        <f t="shared" si="1"/>
        <v>8368.2670418964462</v>
      </c>
      <c r="H18" s="23">
        <f t="shared" si="1"/>
        <v>1874.0603827831894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2.2202261047694558E-5</v>
      </c>
      <c r="C50" s="315">
        <f t="shared" ref="C50:P50" si="2">SUM(C51:C52)</f>
        <v>0</v>
      </c>
      <c r="D50" s="315">
        <f t="shared" si="2"/>
        <v>0</v>
      </c>
      <c r="E50" s="315">
        <f t="shared" si="2"/>
        <v>0</v>
      </c>
      <c r="F50" s="315">
        <f t="shared" si="2"/>
        <v>0</v>
      </c>
      <c r="G50" s="315">
        <f t="shared" si="2"/>
        <v>1.6085872523361885E-3</v>
      </c>
      <c r="H50" s="315">
        <f t="shared" si="2"/>
        <v>0</v>
      </c>
      <c r="I50" s="315">
        <f t="shared" si="2"/>
        <v>0</v>
      </c>
      <c r="J50" s="315">
        <f t="shared" si="2"/>
        <v>0</v>
      </c>
      <c r="K50" s="315">
        <f t="shared" si="2"/>
        <v>0</v>
      </c>
      <c r="L50" s="315">
        <f t="shared" si="2"/>
        <v>0</v>
      </c>
      <c r="M50" s="315">
        <f t="shared" si="2"/>
        <v>9.098648536665694E-5</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2.2202261047694558E-5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1.6085872523361885E-3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9.098648536665694E-5</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6.1672947354707111</v>
      </c>
      <c r="C54" s="21">
        <f t="shared" ref="C54:P54" si="3">(C50)*10^9/3600</f>
        <v>0</v>
      </c>
      <c r="D54" s="21">
        <f t="shared" si="3"/>
        <v>0</v>
      </c>
      <c r="E54" s="21">
        <f t="shared" si="3"/>
        <v>0</v>
      </c>
      <c r="F54" s="21">
        <f t="shared" si="3"/>
        <v>0</v>
      </c>
      <c r="G54" s="21">
        <f t="shared" si="3"/>
        <v>446.8297923156079</v>
      </c>
      <c r="H54" s="21">
        <f t="shared" si="3"/>
        <v>0</v>
      </c>
      <c r="I54" s="21">
        <f t="shared" si="3"/>
        <v>0</v>
      </c>
      <c r="J54" s="21">
        <f t="shared" si="3"/>
        <v>0</v>
      </c>
      <c r="K54" s="21">
        <f t="shared" si="3"/>
        <v>0</v>
      </c>
      <c r="L54" s="21">
        <f t="shared" si="3"/>
        <v>0</v>
      </c>
      <c r="M54" s="21">
        <f t="shared" si="3"/>
        <v>25.274023712960261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0.21471634266805617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1.3242189697562281</v>
      </c>
      <c r="C58" s="23">
        <f t="shared" ref="C58:P58" ca="1" si="4">C54*C56</f>
        <v>0</v>
      </c>
      <c r="D58" s="23">
        <f t="shared" si="4"/>
        <v>0</v>
      </c>
      <c r="E58" s="23">
        <f t="shared" si="4"/>
        <v>0</v>
      </c>
      <c r="F58" s="23">
        <f t="shared" si="4"/>
        <v>0</v>
      </c>
      <c r="G58" s="23">
        <f t="shared" si="4"/>
        <v>119.30355454826731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2661.3033496805033</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N31</f>
        <v>22896</v>
      </c>
      <c r="C8" s="541">
        <f>B50</f>
        <v>26936.470588235297</v>
      </c>
      <c r="D8" s="542"/>
      <c r="E8" s="542">
        <f>E50</f>
        <v>0</v>
      </c>
      <c r="F8" s="543"/>
      <c r="G8" s="544"/>
      <c r="H8" s="542">
        <f>I50</f>
        <v>0</v>
      </c>
      <c r="I8" s="542">
        <f>G50+F50</f>
        <v>0</v>
      </c>
      <c r="J8" s="542">
        <f>H50+D50+C50</f>
        <v>0</v>
      </c>
      <c r="K8" s="542"/>
      <c r="L8" s="542"/>
      <c r="M8" s="542"/>
      <c r="N8" s="545"/>
      <c r="O8" s="546">
        <f>C8*$C$12+D8*$D$12+E8*$E$12+F8*$F$12+G8*$G$12+H8*$H$12+I8*$I$12+J8*$J$12</f>
        <v>5441.1670588235302</v>
      </c>
      <c r="P8" s="1269"/>
      <c r="Q8" s="1270"/>
      <c r="S8" s="536"/>
      <c r="T8" s="1266"/>
      <c r="U8" s="1266"/>
    </row>
    <row r="9" spans="1:21" s="527" customFormat="1" ht="17.45" customHeight="1" thickBot="1">
      <c r="A9" s="547" t="s">
        <v>236</v>
      </c>
      <c r="B9" s="548">
        <f>N38+'Eigen informatie GS &amp; warmtenet'!B12</f>
        <v>0</v>
      </c>
      <c r="C9" s="54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25557.303349680504</v>
      </c>
      <c r="C10" s="556">
        <f t="shared" ref="C10:L10" si="0">SUM(C8:C9)</f>
        <v>26936.470588235297</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5441.1670588235302</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O31</f>
        <v>32708.571428571431</v>
      </c>
      <c r="C17" s="572">
        <f>B51</f>
        <v>38480.672268907569</v>
      </c>
      <c r="D17" s="573"/>
      <c r="E17" s="573">
        <f>E51</f>
        <v>0</v>
      </c>
      <c r="F17" s="574"/>
      <c r="G17" s="575"/>
      <c r="H17" s="572">
        <f>I51</f>
        <v>0</v>
      </c>
      <c r="I17" s="573">
        <f>G51+F51</f>
        <v>0</v>
      </c>
      <c r="J17" s="573">
        <f>H51+D51+C51</f>
        <v>0</v>
      </c>
      <c r="K17" s="573"/>
      <c r="L17" s="573"/>
      <c r="M17" s="573"/>
      <c r="N17" s="964"/>
      <c r="O17" s="576">
        <f>C17*$C$22+E17*$E$22+H17*$H$22+I17*$I$22+J17*$J$22+D17*$D$22+F17*$F$22+G17*$G$22+K17*$K$22+L17*$L$22</f>
        <v>7773.0957983193293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32708.571428571431</v>
      </c>
      <c r="C20" s="555">
        <f>SUM(C17:C19)</f>
        <v>38480.672268907569</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7773.0957983193293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12002</v>
      </c>
      <c r="C28" s="783">
        <v>2590</v>
      </c>
      <c r="D28" s="633"/>
      <c r="E28" s="632"/>
      <c r="F28" s="632"/>
      <c r="G28" s="632" t="s">
        <v>900</v>
      </c>
      <c r="H28" s="632" t="s">
        <v>901</v>
      </c>
      <c r="I28" s="632"/>
      <c r="J28" s="782"/>
      <c r="K28" s="782"/>
      <c r="L28" s="632" t="s">
        <v>902</v>
      </c>
      <c r="M28" s="632">
        <v>1532</v>
      </c>
      <c r="N28" s="632">
        <v>6894</v>
      </c>
      <c r="O28" s="632">
        <v>9848.5714285714294</v>
      </c>
      <c r="P28" s="632">
        <v>19697.142857142859</v>
      </c>
      <c r="Q28" s="632">
        <v>0</v>
      </c>
      <c r="R28" s="632">
        <v>0</v>
      </c>
      <c r="S28" s="632">
        <v>0</v>
      </c>
      <c r="T28" s="632">
        <v>0</v>
      </c>
      <c r="U28" s="632">
        <v>0</v>
      </c>
      <c r="V28" s="632">
        <v>0</v>
      </c>
      <c r="W28" s="632">
        <v>0</v>
      </c>
      <c r="X28" s="632">
        <v>10</v>
      </c>
      <c r="Y28" s="632" t="s">
        <v>105</v>
      </c>
      <c r="Z28" s="634" t="s">
        <v>105</v>
      </c>
    </row>
    <row r="29" spans="1:26" s="586" customFormat="1" ht="25.5" hidden="1">
      <c r="A29" s="585"/>
      <c r="B29" s="783">
        <v>12002</v>
      </c>
      <c r="C29" s="783">
        <v>2590</v>
      </c>
      <c r="D29" s="633"/>
      <c r="E29" s="632"/>
      <c r="F29" s="632"/>
      <c r="G29" s="632" t="s">
        <v>900</v>
      </c>
      <c r="H29" s="632" t="s">
        <v>901</v>
      </c>
      <c r="I29" s="632"/>
      <c r="J29" s="782"/>
      <c r="K29" s="782"/>
      <c r="L29" s="632" t="s">
        <v>902</v>
      </c>
      <c r="M29" s="632">
        <v>1558</v>
      </c>
      <c r="N29" s="632">
        <v>7011</v>
      </c>
      <c r="O29" s="632">
        <v>10015.714285714286</v>
      </c>
      <c r="P29" s="632">
        <v>20031.428571428572</v>
      </c>
      <c r="Q29" s="632">
        <v>0</v>
      </c>
      <c r="R29" s="632">
        <v>0</v>
      </c>
      <c r="S29" s="632">
        <v>0</v>
      </c>
      <c r="T29" s="632">
        <v>0</v>
      </c>
      <c r="U29" s="632">
        <v>0</v>
      </c>
      <c r="V29" s="632">
        <v>0</v>
      </c>
      <c r="W29" s="632">
        <v>0</v>
      </c>
      <c r="X29" s="632">
        <v>10</v>
      </c>
      <c r="Y29" s="632" t="s">
        <v>105</v>
      </c>
      <c r="Z29" s="634" t="s">
        <v>105</v>
      </c>
    </row>
    <row r="30" spans="1:26" s="586" customFormat="1" ht="25.5" hidden="1">
      <c r="A30" s="585"/>
      <c r="B30" s="783">
        <v>12002</v>
      </c>
      <c r="C30" s="783">
        <v>2590</v>
      </c>
      <c r="D30" s="633"/>
      <c r="E30" s="632"/>
      <c r="F30" s="632"/>
      <c r="G30" s="632" t="s">
        <v>900</v>
      </c>
      <c r="H30" s="632" t="s">
        <v>901</v>
      </c>
      <c r="I30" s="632"/>
      <c r="J30" s="782"/>
      <c r="K30" s="782"/>
      <c r="L30" s="632" t="s">
        <v>902</v>
      </c>
      <c r="M30" s="632">
        <v>1998</v>
      </c>
      <c r="N30" s="632">
        <v>8991</v>
      </c>
      <c r="O30" s="632">
        <v>12844.285714285714</v>
      </c>
      <c r="P30" s="632">
        <v>25688.571428571431</v>
      </c>
      <c r="Q30" s="632">
        <v>0</v>
      </c>
      <c r="R30" s="632">
        <v>0</v>
      </c>
      <c r="S30" s="632">
        <v>0</v>
      </c>
      <c r="T30" s="632">
        <v>0</v>
      </c>
      <c r="U30" s="632">
        <v>0</v>
      </c>
      <c r="V30" s="632">
        <v>0</v>
      </c>
      <c r="W30" s="632">
        <v>0</v>
      </c>
      <c r="X30" s="632">
        <v>10</v>
      </c>
      <c r="Y30" s="632" t="s">
        <v>105</v>
      </c>
      <c r="Z30" s="634" t="s">
        <v>105</v>
      </c>
    </row>
    <row r="31" spans="1:26" s="566" customFormat="1" hidden="1">
      <c r="A31" s="588" t="s">
        <v>268</v>
      </c>
      <c r="B31" s="589"/>
      <c r="C31" s="589"/>
      <c r="D31" s="589"/>
      <c r="E31" s="589"/>
      <c r="F31" s="589"/>
      <c r="G31" s="589"/>
      <c r="H31" s="589"/>
      <c r="I31" s="589"/>
      <c r="J31" s="589"/>
      <c r="K31" s="589"/>
      <c r="L31" s="590"/>
      <c r="M31" s="590">
        <f>SUM(M28:M30)</f>
        <v>5088</v>
      </c>
      <c r="N31" s="590">
        <f>SUM(N28:N30)</f>
        <v>22896</v>
      </c>
      <c r="O31" s="590">
        <f>SUM(O28:O30)</f>
        <v>32708.571428571431</v>
      </c>
      <c r="P31" s="590">
        <f>SUM(P28:P30)</f>
        <v>65417.14285714287</v>
      </c>
      <c r="Q31" s="590">
        <f>SUM(Q28:Q30)</f>
        <v>0</v>
      </c>
      <c r="R31" s="590">
        <f>SUM(R28:R30)</f>
        <v>0</v>
      </c>
      <c r="S31" s="590">
        <f>SUM(S28:S30)</f>
        <v>0</v>
      </c>
      <c r="T31" s="590">
        <f>SUM(T28:T30)</f>
        <v>0</v>
      </c>
      <c r="U31" s="590">
        <f>SUM(U28:U30)</f>
        <v>0</v>
      </c>
      <c r="V31" s="590">
        <f>SUM(V28:V30)</f>
        <v>0</v>
      </c>
      <c r="W31" s="590">
        <f>SUM(W28:W30)</f>
        <v>0</v>
      </c>
      <c r="X31" s="591"/>
      <c r="Y31" s="591"/>
      <c r="Z31" s="592"/>
    </row>
    <row r="32" spans="1:26" s="566" customFormat="1">
      <c r="A32" s="588" t="s">
        <v>275</v>
      </c>
      <c r="B32" s="589"/>
      <c r="C32" s="589"/>
      <c r="D32" s="589"/>
      <c r="E32" s="589"/>
      <c r="F32" s="589"/>
      <c r="G32" s="589"/>
      <c r="H32" s="589"/>
      <c r="I32" s="589"/>
      <c r="J32" s="589"/>
      <c r="K32" s="589"/>
      <c r="L32" s="590"/>
      <c r="M32" s="590">
        <f>SUMIF($Z$28:$Z$30,"industrie",M28:M30)</f>
        <v>0</v>
      </c>
      <c r="N32" s="590">
        <f>SUMIF($Z$28:$Z$30,"industrie",N28:N30)</f>
        <v>0</v>
      </c>
      <c r="O32" s="590">
        <f>SUMIF($Z$28:$Z$30,"industrie",O28:O30)</f>
        <v>0</v>
      </c>
      <c r="P32" s="590">
        <f>SUMIF($Z$28:$Z$30,"industrie",P28:P30)</f>
        <v>0</v>
      </c>
      <c r="Q32" s="590">
        <f>SUMIF($Z$28:$Z$30,"industrie",Q28:Q30)</f>
        <v>0</v>
      </c>
      <c r="R32" s="590">
        <f>SUMIF($Z$28:$Z$30,"industrie",R28:R30)</f>
        <v>0</v>
      </c>
      <c r="S32" s="590">
        <f>SUMIF($Z$28:$Z$30,"industrie",S28:S30)</f>
        <v>0</v>
      </c>
      <c r="T32" s="590">
        <f>SUMIF($Z$28:$Z$30,"industrie",T28:T30)</f>
        <v>0</v>
      </c>
      <c r="U32" s="590">
        <f>SUMIF($Z$28:$Z$30,"industrie",U28:U30)</f>
        <v>0</v>
      </c>
      <c r="V32" s="590">
        <f>SUMIF($Z$28:$Z$30,"industrie",V28:V30)</f>
        <v>0</v>
      </c>
      <c r="W32" s="590">
        <f>SUMIF($Z$28:$Z$30,"industrie",W28:W30)</f>
        <v>0</v>
      </c>
      <c r="X32" s="591"/>
      <c r="Y32" s="591"/>
      <c r="Z32" s="592"/>
    </row>
    <row r="33" spans="1:27" s="566" customFormat="1">
      <c r="A33" s="588" t="s">
        <v>276</v>
      </c>
      <c r="B33" s="589"/>
      <c r="C33" s="589"/>
      <c r="D33" s="589"/>
      <c r="E33" s="589"/>
      <c r="F33" s="589"/>
      <c r="G33" s="589"/>
      <c r="H33" s="589"/>
      <c r="I33" s="589"/>
      <c r="J33" s="589"/>
      <c r="K33" s="589"/>
      <c r="L33" s="590"/>
      <c r="M33" s="590">
        <f ca="1">SUMIF($Z$28:AC30,"tertiair",M28:M30)</f>
        <v>0</v>
      </c>
      <c r="N33" s="590">
        <f ca="1">SUMIF($Z$28:AD30,"tertiair",N28:N30)</f>
        <v>0</v>
      </c>
      <c r="O33" s="590">
        <f ca="1">SUMIF($Z$28:AE30,"tertiair",O28:O30)</f>
        <v>0</v>
      </c>
      <c r="P33" s="590">
        <f ca="1">SUMIF($Z$28:AF30,"tertiair",P28:P30)</f>
        <v>0</v>
      </c>
      <c r="Q33" s="590">
        <f ca="1">SUMIF($Z$28:AG30,"tertiair",Q28:Q30)</f>
        <v>0</v>
      </c>
      <c r="R33" s="590">
        <f ca="1">SUMIF($Z$28:AH30,"tertiair",R28:R30)</f>
        <v>0</v>
      </c>
      <c r="S33" s="590">
        <f ca="1">SUMIF($Z$28:AI30,"tertiair",S28:S30)</f>
        <v>0</v>
      </c>
      <c r="T33" s="590">
        <f ca="1">SUMIF($Z$28:AJ30,"tertiair",T28:T30)</f>
        <v>0</v>
      </c>
      <c r="U33" s="590">
        <f ca="1">SUMIF($Z$28:AK30,"tertiair",U28:U30)</f>
        <v>0</v>
      </c>
      <c r="V33" s="590">
        <f ca="1">SUMIF($Z$28:AL30,"tertiair",V28:V30)</f>
        <v>0</v>
      </c>
      <c r="W33" s="590">
        <f ca="1">SUMIF($Z$28:AM30,"tertiair",W28:W30)</f>
        <v>0</v>
      </c>
      <c r="X33" s="591"/>
      <c r="Y33" s="591"/>
      <c r="Z33" s="592"/>
    </row>
    <row r="34" spans="1:27" s="566" customFormat="1" ht="15.75" thickBot="1">
      <c r="A34" s="593" t="s">
        <v>277</v>
      </c>
      <c r="B34" s="594"/>
      <c r="C34" s="594"/>
      <c r="D34" s="594"/>
      <c r="E34" s="594"/>
      <c r="F34" s="594"/>
      <c r="G34" s="594"/>
      <c r="H34" s="594"/>
      <c r="I34" s="594"/>
      <c r="J34" s="594"/>
      <c r="K34" s="594"/>
      <c r="L34" s="595"/>
      <c r="M34" s="595">
        <f>SUMIF($Z$28:$Z$30,"landbouw",M28:M30)</f>
        <v>5088</v>
      </c>
      <c r="N34" s="595">
        <f>SUMIF($Z$28:$Z$30,"landbouw",N28:N30)</f>
        <v>22896</v>
      </c>
      <c r="O34" s="595">
        <f>SUMIF($Z$28:$Z$30,"landbouw",O28:O30)</f>
        <v>32708.571428571431</v>
      </c>
      <c r="P34" s="595">
        <f>SUMIF($Z$28:$Z$30,"landbouw",P28:P30)</f>
        <v>65417.14285714287</v>
      </c>
      <c r="Q34" s="595">
        <f>SUMIF($Z$28:$Z$30,"landbouw",Q28:Q30)</f>
        <v>0</v>
      </c>
      <c r="R34" s="595">
        <f>SUMIF($Z$28:$Z$30,"landbouw",R28:R30)</f>
        <v>0</v>
      </c>
      <c r="S34" s="595">
        <f>SUMIF($Z$28:$Z$30,"landbouw",S28:S30)</f>
        <v>0</v>
      </c>
      <c r="T34" s="595">
        <f>SUMIF($Z$28:$Z$30,"landbouw",T28:T30)</f>
        <v>0</v>
      </c>
      <c r="U34" s="595">
        <f>SUMIF($Z$28:$Z$30,"landbouw",U28:U30)</f>
        <v>0</v>
      </c>
      <c r="V34" s="595">
        <f>SUMIF($Z$28:$Z$30,"landbouw",V28:V30)</f>
        <v>0</v>
      </c>
      <c r="W34" s="595">
        <f>SUMIF($Z$28:$Z$30,"landbouw",W28:W30)</f>
        <v>0</v>
      </c>
      <c r="X34" s="596"/>
      <c r="Y34" s="596"/>
      <c r="Z34" s="597"/>
    </row>
    <row r="35" spans="1:27" s="527" customFormat="1" ht="15.75" thickBot="1">
      <c r="A35" s="598"/>
      <c r="B35" s="599"/>
      <c r="C35" s="599"/>
      <c r="D35" s="599"/>
      <c r="E35" s="599"/>
      <c r="F35" s="599"/>
      <c r="G35" s="599"/>
      <c r="H35" s="599"/>
      <c r="I35" s="599"/>
      <c r="J35" s="599"/>
      <c r="K35" s="599"/>
      <c r="L35" s="582"/>
      <c r="M35" s="582"/>
      <c r="N35" s="582"/>
      <c r="O35" s="583"/>
      <c r="P35" s="583"/>
    </row>
    <row r="36" spans="1:27" s="527" customFormat="1" ht="45">
      <c r="A36" s="600" t="s">
        <v>269</v>
      </c>
      <c r="B36" s="629" t="s">
        <v>89</v>
      </c>
      <c r="C36" s="629" t="s">
        <v>90</v>
      </c>
      <c r="D36" s="629"/>
      <c r="E36" s="629"/>
      <c r="F36" s="629"/>
      <c r="G36" s="629" t="s">
        <v>91</v>
      </c>
      <c r="H36" s="629" t="s">
        <v>92</v>
      </c>
      <c r="I36" s="629"/>
      <c r="J36" s="629"/>
      <c r="K36" s="629"/>
      <c r="L36" s="629" t="s">
        <v>93</v>
      </c>
      <c r="M36" s="630" t="s">
        <v>286</v>
      </c>
      <c r="N36" s="630" t="s">
        <v>94</v>
      </c>
      <c r="O36" s="630" t="s">
        <v>95</v>
      </c>
      <c r="P36" s="630" t="s">
        <v>511</v>
      </c>
      <c r="Q36" s="630" t="s">
        <v>96</v>
      </c>
      <c r="R36" s="630" t="s">
        <v>97</v>
      </c>
      <c r="S36" s="630" t="s">
        <v>98</v>
      </c>
      <c r="T36" s="630" t="s">
        <v>99</v>
      </c>
      <c r="U36" s="630" t="s">
        <v>100</v>
      </c>
      <c r="V36" s="630" t="s">
        <v>101</v>
      </c>
      <c r="W36" s="629" t="s">
        <v>102</v>
      </c>
      <c r="X36" s="629" t="s">
        <v>287</v>
      </c>
      <c r="Y36" s="629" t="s">
        <v>103</v>
      </c>
      <c r="Z36" s="631" t="s">
        <v>288</v>
      </c>
    </row>
    <row r="37" spans="1:27" s="601" customFormat="1" ht="12.75" hidden="1">
      <c r="A37" s="587"/>
      <c r="B37" s="783"/>
      <c r="C37" s="783"/>
      <c r="D37" s="635"/>
      <c r="E37" s="635"/>
      <c r="F37" s="635"/>
      <c r="G37" s="635"/>
      <c r="H37" s="635"/>
      <c r="I37" s="635"/>
      <c r="J37" s="782"/>
      <c r="K37" s="782"/>
      <c r="L37" s="635"/>
      <c r="M37" s="635"/>
      <c r="N37" s="635"/>
      <c r="O37" s="635"/>
      <c r="P37" s="635"/>
      <c r="Q37" s="635"/>
      <c r="R37" s="635"/>
      <c r="S37" s="635"/>
      <c r="T37" s="635"/>
      <c r="U37" s="635"/>
      <c r="V37" s="635"/>
      <c r="W37" s="635"/>
      <c r="X37" s="635"/>
      <c r="Y37" s="635"/>
      <c r="Z37" s="636"/>
    </row>
    <row r="38" spans="1:27" s="566" customFormat="1" hidden="1">
      <c r="A38" s="588" t="s">
        <v>268</v>
      </c>
      <c r="B38" s="589"/>
      <c r="C38" s="589"/>
      <c r="D38" s="589"/>
      <c r="E38" s="589"/>
      <c r="F38" s="589"/>
      <c r="G38" s="589"/>
      <c r="H38" s="589"/>
      <c r="I38" s="589"/>
      <c r="J38" s="589"/>
      <c r="K38" s="589"/>
      <c r="L38" s="590"/>
      <c r="M38" s="590">
        <f>SUM(M37:M37)</f>
        <v>0</v>
      </c>
      <c r="N38" s="590">
        <f>SUM(N37:N37)</f>
        <v>0</v>
      </c>
      <c r="O38" s="590">
        <f>SUM(O37:O37)</f>
        <v>0</v>
      </c>
      <c r="P38" s="590">
        <f>SUM(P37:P37)</f>
        <v>0</v>
      </c>
      <c r="Q38" s="590">
        <f>SUM(Q37:Q37)</f>
        <v>0</v>
      </c>
      <c r="R38" s="590">
        <f>SUM(R37:R37)</f>
        <v>0</v>
      </c>
      <c r="S38" s="590">
        <f>SUM(S37:S37)</f>
        <v>0</v>
      </c>
      <c r="T38" s="590">
        <f>SUM(T37:T37)</f>
        <v>0</v>
      </c>
      <c r="U38" s="590">
        <f>SUM(U37:U37)</f>
        <v>0</v>
      </c>
      <c r="V38" s="590">
        <f>SUM(V37:V37)</f>
        <v>0</v>
      </c>
      <c r="W38" s="590">
        <f>SUM(W37:W37)</f>
        <v>0</v>
      </c>
      <c r="X38" s="591"/>
      <c r="Y38" s="591"/>
      <c r="Z38" s="592"/>
    </row>
    <row r="39" spans="1:27" s="566" customFormat="1">
      <c r="A39" s="588" t="s">
        <v>275</v>
      </c>
      <c r="B39" s="589"/>
      <c r="C39" s="589"/>
      <c r="D39" s="589"/>
      <c r="E39" s="589"/>
      <c r="F39" s="589"/>
      <c r="G39" s="589"/>
      <c r="H39" s="589"/>
      <c r="I39" s="589"/>
      <c r="J39" s="589"/>
      <c r="K39" s="589"/>
      <c r="L39" s="590"/>
      <c r="M39" s="590">
        <f>SUMIF($Z$37:$Z$37,"industrie",M37:M37)</f>
        <v>0</v>
      </c>
      <c r="N39" s="590">
        <f>SUMIF($Z$37:$Z$37,"industrie",N37:N37)</f>
        <v>0</v>
      </c>
      <c r="O39" s="590">
        <f>SUMIF($Z$37:$Z$37,"industrie",O37:O37)</f>
        <v>0</v>
      </c>
      <c r="P39" s="590">
        <f>SUMIF($Z$37:$Z$37,"industrie",P37:P37)</f>
        <v>0</v>
      </c>
      <c r="Q39" s="590">
        <f>SUMIF($Z$37:$Z$37,"industrie",Q37:Q37)</f>
        <v>0</v>
      </c>
      <c r="R39" s="590">
        <f>SUMIF($Z$37:$Z$37,"industrie",R37:R37)</f>
        <v>0</v>
      </c>
      <c r="S39" s="590">
        <f>SUMIF($Z$37:$Z$37,"industrie",S37:S37)</f>
        <v>0</v>
      </c>
      <c r="T39" s="590">
        <f>SUMIF($Z$37:$Z$37,"industrie",T37:T37)</f>
        <v>0</v>
      </c>
      <c r="U39" s="590">
        <f>SUMIF($Z$37:$Z$37,"industrie",U37:U37)</f>
        <v>0</v>
      </c>
      <c r="V39" s="590">
        <f>SUMIF($Z$37:$Z$37,"industrie",V37:V37)</f>
        <v>0</v>
      </c>
      <c r="W39" s="590">
        <f>SUMIF($Z$37:$Z$37,"industrie",W37:W37)</f>
        <v>0</v>
      </c>
      <c r="X39" s="591"/>
      <c r="Y39" s="591"/>
      <c r="Z39" s="592"/>
    </row>
    <row r="40" spans="1:27" s="566" customFormat="1">
      <c r="A40" s="588" t="s">
        <v>276</v>
      </c>
      <c r="B40" s="589"/>
      <c r="C40" s="589"/>
      <c r="D40" s="589"/>
      <c r="E40" s="589"/>
      <c r="F40" s="589"/>
      <c r="G40" s="589"/>
      <c r="H40" s="589"/>
      <c r="I40" s="589"/>
      <c r="J40" s="589"/>
      <c r="K40" s="589"/>
      <c r="L40" s="590"/>
      <c r="M40" s="590">
        <f>SUMIF($Z$37:$Z$38,"tertiair",M37:M38)</f>
        <v>0</v>
      </c>
      <c r="N40" s="590">
        <f>SUMIF($Z$37:$Z$38,"tertiair",N37:N38)</f>
        <v>0</v>
      </c>
      <c r="O40" s="590">
        <f>SUMIF($Z$37:$Z$38,"tertiair",O37:O38)</f>
        <v>0</v>
      </c>
      <c r="P40" s="590">
        <f>SUMIF($Z$37:$Z$38,"tertiair",P37:P38)</f>
        <v>0</v>
      </c>
      <c r="Q40" s="590">
        <f>SUMIF($Z$37:$Z$38,"tertiair",Q37:Q38)</f>
        <v>0</v>
      </c>
      <c r="R40" s="590">
        <f>SUMIF($Z$37:$Z$38,"tertiair",R37:R38)</f>
        <v>0</v>
      </c>
      <c r="S40" s="590">
        <f>SUMIF($Z$37:$Z$38,"tertiair",S37:S38)</f>
        <v>0</v>
      </c>
      <c r="T40" s="590">
        <f>SUMIF($Z$37:$Z$38,"tertiair",T37:T38)</f>
        <v>0</v>
      </c>
      <c r="U40" s="590">
        <f>SUMIF($Z$37:$Z$38,"tertiair",U37:U38)</f>
        <v>0</v>
      </c>
      <c r="V40" s="590">
        <f>SUMIF($Z$37:$Z$38,"tertiair",V37:V38)</f>
        <v>0</v>
      </c>
      <c r="W40" s="590">
        <f>SUMIF($Z$37:$Z$38,"tertiair",W37:W38)</f>
        <v>0</v>
      </c>
      <c r="X40" s="591"/>
      <c r="Y40" s="591"/>
      <c r="Z40" s="592"/>
    </row>
    <row r="41" spans="1:27" s="566" customFormat="1" ht="15.75" thickBot="1">
      <c r="A41" s="593" t="s">
        <v>277</v>
      </c>
      <c r="B41" s="594"/>
      <c r="C41" s="594"/>
      <c r="D41" s="594"/>
      <c r="E41" s="594"/>
      <c r="F41" s="594"/>
      <c r="G41" s="594"/>
      <c r="H41" s="594"/>
      <c r="I41" s="594"/>
      <c r="J41" s="594"/>
      <c r="K41" s="594"/>
      <c r="L41" s="595"/>
      <c r="M41" s="595">
        <f>SUMIF($Z$37:$Z$39,"landbouw",M37:M39)</f>
        <v>0</v>
      </c>
      <c r="N41" s="595">
        <f>SUMIF($Z$37:$Z$39,"landbouw",N37:N39)</f>
        <v>0</v>
      </c>
      <c r="O41" s="595">
        <f>SUMIF($Z$37:$Z$39,"landbouw",O37:O39)</f>
        <v>0</v>
      </c>
      <c r="P41" s="595">
        <f>SUMIF($Z$37:$Z$39,"landbouw",P37:P39)</f>
        <v>0</v>
      </c>
      <c r="Q41" s="595">
        <f>SUMIF($Z$37:$Z$39,"landbouw",Q37:Q39)</f>
        <v>0</v>
      </c>
      <c r="R41" s="595">
        <f>SUMIF($Z$37:$Z$39,"landbouw",R37:R39)</f>
        <v>0</v>
      </c>
      <c r="S41" s="595">
        <f>SUMIF($Z$37:$Z$39,"landbouw",S37:S39)</f>
        <v>0</v>
      </c>
      <c r="T41" s="595">
        <f>SUMIF($Z$37:$Z$39,"landbouw",T37:T39)</f>
        <v>0</v>
      </c>
      <c r="U41" s="595">
        <f>SUMIF($Z$37:$Z$39,"landbouw",U37:U39)</f>
        <v>0</v>
      </c>
      <c r="V41" s="595">
        <f>SUMIF($Z$37:$Z$39,"landbouw",V37:V39)</f>
        <v>0</v>
      </c>
      <c r="W41" s="595">
        <f>SUMIF($Z$37:$Z$39,"landbouw",W37:W39)</f>
        <v>0</v>
      </c>
      <c r="X41" s="596"/>
      <c r="Y41" s="596"/>
      <c r="Z41" s="597"/>
    </row>
    <row r="42" spans="1:27" s="602" customForma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row>
    <row r="43" spans="1:27" s="602" customFormat="1" ht="15.75" thickBot="1">
      <c r="A43" s="598"/>
      <c r="B43" s="582"/>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row>
    <row r="44" spans="1:27">
      <c r="A44" s="603" t="s">
        <v>270</v>
      </c>
      <c r="B44" s="604"/>
      <c r="C44" s="604"/>
      <c r="D44" s="604"/>
      <c r="E44" s="604"/>
      <c r="F44" s="604"/>
      <c r="G44" s="604"/>
      <c r="H44" s="604"/>
      <c r="I44" s="605"/>
      <c r="J44" s="606"/>
      <c r="K44" s="606"/>
      <c r="L44" s="607"/>
      <c r="M44" s="607"/>
      <c r="N44" s="607"/>
      <c r="O44" s="607"/>
      <c r="P44" s="607"/>
    </row>
    <row r="45" spans="1:27">
      <c r="A45" s="609"/>
      <c r="B45" s="599"/>
      <c r="C45" s="599"/>
      <c r="D45" s="599"/>
      <c r="E45" s="599"/>
      <c r="F45" s="599"/>
      <c r="G45" s="599"/>
      <c r="H45" s="599"/>
      <c r="I45" s="610"/>
      <c r="J45" s="599"/>
      <c r="K45" s="599"/>
      <c r="L45" s="607"/>
      <c r="M45" s="607"/>
      <c r="N45" s="607"/>
      <c r="O45" s="607"/>
      <c r="P45" s="607"/>
    </row>
    <row r="46" spans="1:27">
      <c r="A46" s="611"/>
      <c r="B46" s="612" t="s">
        <v>271</v>
      </c>
      <c r="C46" s="612" t="s">
        <v>272</v>
      </c>
      <c r="D46" s="612"/>
      <c r="E46" s="612"/>
      <c r="F46" s="612"/>
      <c r="G46" s="612"/>
      <c r="H46" s="612"/>
      <c r="I46" s="613"/>
      <c r="J46" s="612"/>
      <c r="K46" s="612"/>
      <c r="L46" s="612"/>
      <c r="M46" s="612"/>
      <c r="N46" s="612"/>
      <c r="O46" s="612"/>
      <c r="P46" s="607"/>
    </row>
    <row r="47" spans="1:27">
      <c r="A47" s="609" t="s">
        <v>268</v>
      </c>
      <c r="B47" s="614">
        <f>IF(ISERROR(O31/(O31+N31)),0,O31/(O31+N31))</f>
        <v>0.58823529411764708</v>
      </c>
      <c r="C47" s="615">
        <f>IF(ISERROR(N31/(O31+N31)),0,N31/(N31+O31))</f>
        <v>0.41176470588235292</v>
      </c>
      <c r="D47" s="582"/>
      <c r="E47" s="582"/>
      <c r="F47" s="582"/>
      <c r="G47" s="582"/>
      <c r="H47" s="582"/>
      <c r="I47" s="616"/>
      <c r="J47" s="582"/>
      <c r="K47" s="582"/>
      <c r="L47" s="617"/>
      <c r="M47" s="617"/>
      <c r="N47" s="617"/>
      <c r="O47" s="617"/>
      <c r="P47" s="607"/>
    </row>
    <row r="48" spans="1:27">
      <c r="A48" s="609"/>
      <c r="B48" s="618"/>
      <c r="C48" s="618"/>
      <c r="D48" s="618"/>
      <c r="E48" s="618"/>
      <c r="F48" s="618"/>
      <c r="G48" s="618"/>
      <c r="H48" s="618"/>
      <c r="I48" s="619"/>
      <c r="J48" s="618"/>
      <c r="K48" s="618"/>
      <c r="L48" s="620"/>
      <c r="M48" s="620"/>
      <c r="N48" s="620"/>
      <c r="O48" s="620"/>
      <c r="P48" s="607"/>
    </row>
    <row r="49" spans="1:16" ht="30">
      <c r="A49" s="621"/>
      <c r="B49" s="622" t="s">
        <v>511</v>
      </c>
      <c r="C49" s="622" t="s">
        <v>96</v>
      </c>
      <c r="D49" s="622" t="s">
        <v>97</v>
      </c>
      <c r="E49" s="622" t="s">
        <v>98</v>
      </c>
      <c r="F49" s="622" t="s">
        <v>99</v>
      </c>
      <c r="G49" s="622" t="s">
        <v>100</v>
      </c>
      <c r="H49" s="622" t="s">
        <v>101</v>
      </c>
      <c r="I49" s="623" t="s">
        <v>102</v>
      </c>
      <c r="J49" s="612"/>
      <c r="K49" s="612"/>
      <c r="L49" s="620"/>
      <c r="M49" s="620"/>
      <c r="N49" s="620"/>
      <c r="O49" s="607"/>
      <c r="P49" s="607"/>
    </row>
    <row r="50" spans="1:16">
      <c r="A50" s="611" t="s">
        <v>273</v>
      </c>
      <c r="B50" s="624">
        <f t="shared" ref="B50:I50" si="2">$C$47*P31</f>
        <v>26936.470588235297</v>
      </c>
      <c r="C50" s="624">
        <f t="shared" si="2"/>
        <v>0</v>
      </c>
      <c r="D50" s="624">
        <f t="shared" si="2"/>
        <v>0</v>
      </c>
      <c r="E50" s="624">
        <f t="shared" si="2"/>
        <v>0</v>
      </c>
      <c r="F50" s="624">
        <f t="shared" si="2"/>
        <v>0</v>
      </c>
      <c r="G50" s="624">
        <f t="shared" si="2"/>
        <v>0</v>
      </c>
      <c r="H50" s="624">
        <f t="shared" si="2"/>
        <v>0</v>
      </c>
      <c r="I50" s="625">
        <f t="shared" si="2"/>
        <v>0</v>
      </c>
      <c r="J50" s="582"/>
      <c r="K50" s="582"/>
      <c r="L50" s="620"/>
      <c r="M50" s="620"/>
      <c r="N50" s="620"/>
      <c r="O50" s="607"/>
      <c r="P50" s="607"/>
    </row>
    <row r="51" spans="1:16" ht="15.75" thickBot="1">
      <c r="A51" s="626" t="s">
        <v>274</v>
      </c>
      <c r="B51" s="627">
        <f t="shared" ref="B51:I51" si="3">$B$47*P31</f>
        <v>38480.672268907569</v>
      </c>
      <c r="C51" s="627">
        <f t="shared" si="3"/>
        <v>0</v>
      </c>
      <c r="D51" s="627">
        <f t="shared" si="3"/>
        <v>0</v>
      </c>
      <c r="E51" s="627">
        <f t="shared" si="3"/>
        <v>0</v>
      </c>
      <c r="F51" s="627">
        <f t="shared" si="3"/>
        <v>0</v>
      </c>
      <c r="G51" s="627">
        <f t="shared" si="3"/>
        <v>0</v>
      </c>
      <c r="H51" s="627">
        <f t="shared" si="3"/>
        <v>0</v>
      </c>
      <c r="I51" s="628">
        <f t="shared" si="3"/>
        <v>0</v>
      </c>
      <c r="J51" s="582"/>
      <c r="K51" s="582"/>
      <c r="L51" s="620"/>
      <c r="M51" s="620"/>
      <c r="N51" s="620"/>
      <c r="O51" s="607"/>
      <c r="P51" s="607"/>
    </row>
    <row r="52" spans="1:16">
      <c r="J52" s="562"/>
      <c r="K52" s="562"/>
      <c r="L52" s="562"/>
      <c r="M52" s="562"/>
      <c r="N52" s="562"/>
    </row>
    <row r="53" spans="1:16">
      <c r="J53" s="562"/>
      <c r="K53" s="562"/>
      <c r="L53" s="562"/>
      <c r="M53" s="562"/>
      <c r="N53"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2021-11-11T12:35:26Z</dcterms:modified>
</cp:coreProperties>
</file>