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1DB52F9-A552-4CAB-9EF7-BC2F4AC70EA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<sst xmlns="http://schemas.openxmlformats.org/spreadsheetml/2006/main" count="2464" uniqueCount="896">
  <si>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</si>
  <si>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</si>
  <si>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</si>
  <si>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</si>
  <si>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</si>
  <si>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</si>
  <si>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</si>
  <si>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</si>
  <si>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</si>
  <si>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</si>
  <si>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</si>
  <si>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</si>
  <si>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</si>
  <si>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</si>
  <si>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</si>
  <si>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</si>
  <si>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</si>
  <si>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</si>
  <si>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</si>
  <si>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</si>
  <si>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</si>
  <si>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</si>
  <si>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</si>
  <si>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</si>
  <si>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</si>
  <si>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</si>
  <si>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</si>
  <si>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</si>
  <si>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</si>
  <si>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</si>
  <si>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</si>
  <si>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</si>
  <si>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</si>
  <si>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</si>
  <si>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</si>
  <si>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</si>
  <si>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</si>
  <si>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</si>
  <si>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</si>
  <si>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</si>
  <si>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</si>
  <si>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</si>
  <si>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</si>
  <si>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</si>
  <si>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</si>
  <si>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</si>
  <si>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</si>
  <si>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</si>
  <si>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</si>
  <si>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</si>
  <si>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</si>
  <si>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</si>
  <si>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</si>
  <si>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</si>
  <si>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</si>
  <si>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</si>
  <si>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</si>
  <si>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</si>
  <si>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</si>
  <si>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</si>
  <si>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</si>
  <si>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</si>
  <si>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</si>
  <si>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</si>
  <si>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</si>
  <si>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</si>
  <si>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</si>
  <si>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</si>
  <si>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</si>
  <si>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</si>
  <si>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</si>
  <si>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</si>
  <si>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</si>
  <si>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</si>
  <si>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</si>
  <si>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</si>
  <si>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</si>
  <si>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</si>
  <si>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</si>
  <si>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</si>
  <si>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</si>
  <si>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</si>
  <si>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</si>
  <si>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</si>
  <si>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</si>
  <si>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</si>
  <si>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</si>
  <si>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</si>
  <si>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</si>
  <si>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</si>
  <si>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</si>
  <si>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</si>
  <si>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</si>
  <si>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</si>
  <si>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</si>
  <si>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</si>
  <si>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</si>
  <si>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</si>
  <si>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</si>
  <si>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</si>
  <si>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</si>
  <si>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</si>
  <si>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</si>
  <si>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</si>
  <si>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</si>
  <si>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</si>
  <si>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</si>
  <si>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</si>
  <si>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</si>
  <si>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</si>
  <si>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</si>
  <si>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</si>
  <si>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</si>
  <si>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</si>
  <si>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</si>
  <si>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</si>
  <si>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</si>
  <si>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</si>
  <si>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</si>
  <si>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</si>
  <si>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</si>
  <si>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</si>
  <si>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</si>
  <si>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</si>
  <si>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</si>
  <si>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</si>
  <si>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</si>
  <si>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</si>
  <si>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</si>
  <si>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</si>
  <si>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</si>
  <si>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</si>
  <si>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</si>
  <si>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</si>
  <si>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</si>
  <si>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</si>
  <si>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</si>
  <si>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</si>
  <si>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</si>
  <si>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</si>
  <si>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</si>
  <si>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</si>
  <si>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</si>
  <si>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</si>
  <si>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</si>
  <si>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</si>
  <si>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</si>
  <si>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</si>
  <si>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</si>
  <si>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</si>
  <si>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</si>
  <si>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</si>
  <si>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</si>
  <si>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</si>
  <si>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</si>
  <si>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</si>
  <si>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</si>
  <si>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</si>
  <si>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</si>
  <si>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</si>
  <si>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</si>
  <si>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</si>
  <si>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</si>
  <si>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</si>
  <si>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</si>
  <si>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</si>
  <si>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</si>
  <si>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</si>
  <si>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</si>
  <si>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</si>
  <si>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</si>
  <si>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</si>
  <si>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</si>
  <si>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</si>
  <si>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</si>
  <si>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</si>
  <si>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</si>
  <si>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</si>
  <si>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</si>
  <si>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</si>
  <si>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</si>
  <si>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</si>
  <si>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</si>
  <si>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</si>
  <si>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</si>
  <si>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</si>
  <si>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</si>
  <si>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</si>
  <si>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</si>
  <si>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</si>
  <si>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</si>
  <si>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</si>
  <si>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</si>
  <si>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</si>
  <si>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</si>
  <si>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</si>
  <si>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</si>
  <si>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</si>
  <si>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</si>
  <si>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</si>
  <si>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</si>
  <si>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</si>
  <si>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</si>
  <si>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</si>
  <si>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</si>
  <si>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</si>
  <si>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</si>
  <si>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</si>
  <si>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</si>
  <si>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</si>
  <si>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</si>
  <si>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</si>
  <si>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</si>
  <si>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</si>
  <si>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</si>
  <si>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</si>
  <si>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</si>
  <si>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</si>
  <si>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</si>
  <si>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</si>
  <si>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</si>
  <si>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</si>
  <si>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</si>
  <si>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</si>
  <si>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</si>
  <si>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</si>
  <si>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</si>
  <si>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</si>
  <si>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</si>
  <si>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</si>
  <si>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</si>
  <si>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</si>
  <si>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</si>
  <si>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</si>
  <si>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</si>
  <si>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</si>
  <si>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</si>
  <si>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</si>
  <si>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</si>
  <si>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</si>
  <si>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</si>
  <si>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</si>
  <si>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</si>
  <si>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</si>
  <si>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</si>
  <si>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</si>
  <si>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</si>
  <si>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</si>
  <si>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</si>
  <si>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</si>
  <si>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</si>
  <si>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</si>
  <si>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</si>
  <si>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</si>
  <si>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</si>
  <si>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</si>
  <si>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</si>
  <si>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</si>
  <si>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</si>
  <si>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</si>
  <si>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</si>
  <si>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</si>
  <si>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</si>
  <si>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</si>
  <si>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</si>
  <si>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</si>
  <si>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</si>
  <si>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</si>
  <si>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</si>
  <si>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</si>
  <si>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</si>
  <si>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</si>
  <si>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</si>
  <si>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</si>
  <si>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</si>
  <si>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</si>
  <si>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</si>
  <si>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</si>
  <si>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</si>
  <si>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</si>
  <si>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</si>
  <si>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</si>
  <si>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</si>
  <si>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</si>
  <si>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</si>
  <si>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</si>
  <si>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</si>
  <si>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</si>
  <si>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</si>
  <si>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</si>
  <si>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</si>
  <si>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</si>
  <si>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</si>
  <si>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</si>
  <si>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</si>
  <si>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</si>
  <si>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</si>
  <si>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</si>
  <si>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</si>
  <si>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</si>
  <si>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</si>
  <si>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</si>
  <si>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</si>
  <si>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</si>
  <si>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</si>
  <si>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</si>
  <si>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</si>
  <si>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</si>
  <si>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</si>
  <si>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</si>
  <si>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</si>
  <si>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</si>
  <si>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</si>
  <si>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</si>
  <si>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</si>
  <si>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</si>
  <si>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</si>
  <si>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</si>
  <si>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</si>
  <si>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</si>
  <si>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</si>
  <si>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</si>
  <si>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</si>
  <si>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</si>
  <si>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</si>
  <si>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</si>
  <si>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</si>
  <si>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</si>
  <si>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</si>
  <si>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</si>
  <si>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</si>
  <si>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</si>
  <si>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</si>
  <si>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</si>
  <si>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</si>
  <si>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</si>
  <si>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</si>
  <si>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</si>
  <si>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</si>
  <si>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</si>
  <si>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</si>
  <si>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</si>
  <si>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</si>
  <si>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</si>
  <si>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</si>
  <si>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</si>
  <si>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</si>
  <si>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</si>
  <si>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</si>
  <si>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</si>
  <si>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</si>
  <si>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</si>
  <si>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</si>
  <si>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</si>
  <si>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</si>
  <si>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</si>
  <si>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</si>
  <si>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</si>
  <si>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</si>
  <si>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</si>
  <si>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</si>
  <si>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</si>
  <si>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</si>
  <si>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</si>
  <si>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</si>
  <si>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</si>
  <si>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</si>
  <si>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</si>
  <si>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</si>
  <si>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</si>
  <si>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</si>
  <si>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</si>
  <si>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</si>
  <si>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</si>
  <si>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</si>
  <si>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</si>
  <si>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</si>
  <si>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</si>
  <si>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</si>
  <si>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</si>
  <si>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</si>
  <si>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</si>
  <si>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</si>
  <si>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</si>
  <si>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</si>
  <si>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</si>
  <si>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</si>
  <si>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</si>
  <si>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</si>
  <si>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</si>
  <si>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</si>
  <si>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</si>
  <si>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</si>
  <si>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</si>
  <si>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</si>
  <si>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</si>
  <si>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</si>
  <si>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</si>
  <si>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</si>
  <si>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</si>
  <si>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</si>
  <si>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</si>
  <si>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</si>
  <si>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</si>
  <si>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</si>
  <si>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</si>
  <si>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</si>
  <si>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</si>
  <si>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</si>
  <si>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</si>
  <si>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</si>
  <si>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</si>
  <si>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</si>
  <si>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</si>
  <si>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</si>
  <si>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</si>
  <si>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</si>
  <si>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</si>
  <si>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</si>
  <si>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</si>
  <si>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</si>
  <si>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</si>
  <si>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</si>
  <si>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</si>
  <si>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</si>
  <si>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</si>
  <si>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</si>
  <si>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</si>
  <si>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</si>
  <si>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</si>
  <si>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</si>
  <si>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</si>
  <si>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</si>
  <si>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</si>
  <si>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</si>
  <si>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</si>
  <si>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</si>
  <si>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</si>
  <si>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</si>
  <si>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</si>
  <si>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</si>
  <si>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</si>
  <si>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</si>
  <si>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</si>
  <si>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</si>
  <si>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</si>
  <si>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</si>
  <si>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</si>
  <si>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</si>
  <si>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</si>
  <si>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</si>
  <si>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</si>
  <si>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</si>
  <si>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</si>
  <si>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</si>
  <si>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</si>
  <si>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</si>
  <si>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</si>
  <si>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</si>
  <si>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</si>
  <si>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</si>
  <si>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</si>
  <si>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</si>
  <si>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</si>
  <si>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</si>
  <si>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</si>
  <si>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</si>
  <si>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</si>
  <si>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</si>
  <si>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</si>
  <si>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</si>
  <si>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</si>
  <si>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</si>
  <si>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</si>
  <si>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</si>
  <si>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</si>
  <si>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</si>
  <si>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</si>
  <si>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</si>
  <si>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</si>
  <si>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</si>
  <si>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</si>
  <si>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</si>
  <si>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</si>
  <si>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</si>
  <si>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</si>
  <si>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</si>
  <si>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</si>
  <si>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</si>
  <si>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</si>
  <si>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</si>
  <si>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</si>
  <si>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</si>
  <si>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</si>
  <si>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</si>
  <si>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</si>
  <si>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</si>
  <si>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</si>
  <si>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</si>
  <si>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</si>
  <si>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</si>
  <si>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</si>
  <si>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</si>
  <si>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</si>
  <si>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</si>
  <si>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</si>
  <si>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</si>
  <si>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</si>
  <si>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</si>
  <si>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</si>
  <si>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</si>
  <si>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</si>
  <si>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</si>
  <si>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</si>
  <si>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</si>
  <si>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</si>
  <si>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</si>
  <si>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</si>
  <si>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</si>
  <si>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</si>
  <si>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</si>
  <si>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</si>
  <si>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</si>
  <si>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</si>
  <si>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</si>
  <si>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</si>
  <si>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</si>
  <si>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</si>
  <si>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</si>
  <si>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</si>
  <si>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</si>
  <si>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</si>
  <si>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</si>
  <si>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</si>
  <si>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</si>
  <si>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</si>
  <si>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</si>
  <si>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</si>
  <si>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</si>
  <si>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</si>
  <si>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</si>
  <si>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</si>
  <si>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</si>
  <si>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</si>
  <si>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</si>
  <si>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</si>
  <si>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</si>
  <si>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</si>
  <si>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</si>
  <si>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</si>
  <si>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</si>
  <si>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</si>
  <si>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</si>
  <si>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</si>
  <si>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</si>
  <si>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</si>
  <si>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</si>
  <si>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</si>
  <si>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</si>
  <si>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</si>
  <si>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</si>
  <si>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</si>
  <si>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</si>
  <si>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</si>
  <si>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</si>
  <si>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</si>
  <si>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</si>
  <si>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</si>
  <si>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</si>
  <si>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</si>
  <si>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</si>
  <si>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</si>
  <si>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</si>
  <si>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</si>
  <si>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</si>
  <si>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</si>
  <si>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</si>
  <si>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</si>
  <si>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</si>
  <si>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</si>
  <si>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</si>
  <si>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</si>
  <si>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</si>
  <si>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</si>
  <si>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</si>
  <si>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</si>
  <si>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</si>
  <si>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</si>
  <si>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</si>
  <si>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</si>
  <si>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</si>
  <si>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</si>
  <si>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</si>
  <si>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</si>
  <si>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</si>
  <si>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</si>
  <si>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</si>
  <si>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</si>
  <si>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</si>
  <si>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</si>
  <si>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</si>
  <si>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</si>
  <si>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</si>
  <si>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</si>
  <si>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</si>
  <si>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</si>
  <si>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</si>
  <si>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</si>
  <si>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</si>
  <si>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</si>
  <si>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</si>
  <si>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</si>
  <si>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</si>
  <si>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</si>
  <si>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</si>
  <si>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</si>
  <si>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</si>
  <si>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</si>
  <si>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</si>
  <si>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</si>
  <si>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</si>
  <si>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</si>
  <si>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</si>
  <si>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</si>
  <si>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</si>
  <si>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</si>
  <si>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</si>
  <si>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</si>
  <si>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</si>
  <si>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</si>
  <si>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</si>
  <si>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</si>
  <si>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</si>
  <si>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</si>
  <si>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</si>
  <si>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</si>
  <si>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</si>
  <si>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</si>
  <si>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</si>
  <si>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</si>
  <si>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</si>
  <si>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</si>
  <si>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</si>
  <si>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</si>
  <si>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</si>
  <si>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</si>
  <si>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</si>
  <si>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</si>
  <si>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</si>
  <si>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</si>
  <si>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</si>
  <si>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</si>
  <si>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</si>
  <si>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</si>
  <si>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</si>
  <si>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</si>
  <si>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</si>
  <si>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</si>
  <si>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</si>
  <si>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</si>
  <si>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</si>
  <si>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</si>
  <si>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</si>
  <si>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</si>
  <si>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</si>
  <si>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</si>
  <si>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</si>
  <si>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</si>
  <si>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</si>
  <si>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</si>
  <si>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</si>
  <si>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</si>
  <si>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</si>
  <si>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</si>
  <si>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</si>
  <si>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</si>
  <si>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</si>
  <si>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</si>
  <si>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</si>
  <si>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</si>
  <si>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</si>
  <si>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</si>
  <si>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</si>
  <si>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</si>
  <si>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</si>
  <si>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</si>
  <si>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</si>
  <si>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</si>
  <si>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</si>
  <si>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</si>
  <si>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</si>
  <si>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</si>
  <si>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</si>
  <si>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</si>
  <si>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</si>
  <si>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</si>
  <si>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</si>
  <si>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</si>
  <si>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</si>
  <si>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</si>
  <si>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</si>
  <si>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</si>
  <si>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</si>
  <si>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</si>
  <si>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</si>
  <si>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</si>
  <si>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</si>
  <si>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</si>
  <si>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</si>
  <si>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</si>
  <si>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</si>
  <si>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</si>
  <si>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</si>
  <si>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</si>
  <si>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</si>
  <si>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</si>
  <si>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</si>
  <si>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</si>
  <si>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</si>
  <si>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</si>
  <si>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</si>
  <si>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</si>
  <si>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</si>
  <si>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</si>
  <si>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</si>
  <si>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</si>
  <si>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</si>
  <si>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</si>
  <si>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</si>
  <si>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</si>
  <si>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</si>
  <si>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</si>
  <si>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</si>
  <si>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</si>
  <si>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</si>
  <si>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</si>
  <si>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</si>
  <si>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</si>
  <si>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</si>
  <si>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</si>
  <si>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</si>
  <si>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</si>
  <si>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</si>
  <si>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</si>
  <si>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</si>
  <si>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</si>
  <si>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</si>
  <si>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</si>
  <si>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</si>
  <si>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</si>
  <si>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</si>
  <si>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</si>
  <si>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</si>
  <si>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</si>
  <si>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</si>
  <si>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</si>
  <si>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</si>
  <si>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</si>
  <si>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</si>
  <si>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</si>
  <si>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</si>
  <si>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</si>
  <si>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</si>
  <si>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</si>
  <si>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</si>
  <si>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</si>
  <si>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</si>
  <si>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</si>
  <si>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</si>
  <si>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</si>
  <si>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</si>
  <si>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</si>
  <si>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</si>
  <si>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</si>
  <si>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</si>
  <si>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</si>
  <si>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</si>
  <si>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</si>
  <si>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</si>
  <si>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</si>
  <si>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</si>
  <si>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</si>
  <si>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</si>
  <si>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</si>
  <si>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</si>
  <si>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</si>
  <si>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</si>
  <si>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</si>
  <si>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</si>
  <si>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</si>
  <si>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</si>
  <si>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</si>
  <si>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</si>
  <si>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</si>
  <si>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</si>
  <si>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</si>
  <si>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</si>
  <si>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</si>
  <si>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</si>
  <si>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</si>
  <si>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</si>
  <si>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</si>
  <si>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</si>
  <si>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</si>
  <si>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</si>
  <si>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</si>
  <si>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</si>
  <si>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</si>
  <si>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</si>
  <si>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</si>
  <si>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</si>
  <si>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</si>
  <si>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</si>
  <si>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</si>
  <si>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</si>
  <si>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</si>
  <si>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</si>
  <si>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</si>
  <si>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</si>
  <si>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</si>
  <si>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</si>
  <si>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</si>
  <si>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</si>
  <si>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</si>
  <si>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</si>
  <si>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</si>
  <si>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</si>
  <si>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</si>
  <si>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</si>
  <si>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</si>
  <si>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</si>
  <si>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</si>
  <si>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</si>
  <si>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</si>
  <si>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</si>
  <si>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</si>
  <si>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</si>
  <si>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</si>
  <si>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</si>
  <si>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</si>
  <si>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</si>
  <si>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</si>
  <si>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</si>
  <si>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</si>
  <si>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</si>
  <si>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</si>
  <si>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</si>
  <si>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</si>
  <si>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</si>
  <si>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</si>
  <si>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</si>
  <si>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</si>
  <si>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</si>
  <si>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</si>
  <si>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</si>
  <si>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</si>
  <si>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</si>
  <si>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</si>
  <si>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</si>
  <si>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</si>
  <si>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</si>
  <si>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</si>
  <si>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</si>
  <si>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</si>
  <si>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</si>
  <si>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</si>
  <si>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</si>
  <si>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</si>
  <si>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</si>
  <si>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</si>
  <si>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</si>
  <si>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</si>
  <si>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</si>
  <si>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</si>
  <si>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</si>
  <si>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</si>
  <si>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</si>
  <si>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</si>
  <si>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</si>
  <si>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</si>
  <si>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</si>
  <si>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</si>
  <si>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</si>
  <si>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</si>
  <si>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</si>
  <si>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</si>
  <si>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</si>
  <si>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</si>
  <si>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</si>
  <si>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</si>
  <si>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</si>
  <si>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</si>
  <si>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72025</t>
  </si>
  <si>
    <t>NEERPELT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</si>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</sst>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2925B4B-579E-4707-97D7-EE7270C6B89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147014.45579474245</c:v>
                </c:pt>
                <c:pt idx="1">
                  <c:v>38403.475322221879</c:v>
                </c:pt>
                <c:pt idx="2">
                  <c:v>1145.1780000000001</c:v>
                </c:pt>
                <c:pt idx="3">
                  <c:v>8382.6097076281749</c:v>
                </c:pt>
                <c:pt idx="4">
                  <c:v>5324.225186575035</c:v>
                </c:pt>
                <c:pt idx="5">
                  <c:v>55773.759017213168</c:v>
                </c:pt>
                <c:pt idx="6">
                  <c:v>1682.3780876156643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147014.45579474245</c:v>
                </c:pt>
                <c:pt idx="1">
                  <c:v>38403.475322221879</c:v>
                </c:pt>
                <c:pt idx="2">
                  <c:v>1145.1780000000001</c:v>
                </c:pt>
                <c:pt idx="3">
                  <c:v>8382.6097076281749</c:v>
                </c:pt>
                <c:pt idx="4">
                  <c:v>5324.225186575035</c:v>
                </c:pt>
                <c:pt idx="5">
                  <c:v>55773.759017213168</c:v>
                </c:pt>
                <c:pt idx="6">
                  <c:v>1682.3780876156643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29340.804030188141</c:v>
                </c:pt>
                <c:pt idx="2">
                  <c:v>7235.7282916304057</c:v>
                </c:pt>
                <c:pt idx="3">
                  <c:v>217.16879614481465</c:v>
                </c:pt>
                <c:pt idx="4">
                  <c:v>2129.7807096437373</c:v>
                </c:pt>
                <c:pt idx="5">
                  <c:v>1105.6268542924097</c:v>
                </c:pt>
                <c:pt idx="6">
                  <c:v>13952.100174492007</c:v>
                </c:pt>
                <c:pt idx="7">
                  <c:v>423.68244452518832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29340.804030188141</c:v>
                </c:pt>
                <c:pt idx="2">
                  <c:v>7235.7282916304057</c:v>
                </c:pt>
                <c:pt idx="3">
                  <c:v>217.16879614481465</c:v>
                </c:pt>
                <c:pt idx="4">
                  <c:v>2129.7807096437373</c:v>
                </c:pt>
                <c:pt idx="5">
                  <c:v>1105.6268542924097</c:v>
                </c:pt>
                <c:pt idx="6">
                  <c:v>13952.100174492007</c:v>
                </c:pt>
                <c:pt idx="7">
                  <c:v>423.68244452518832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72025</v>
      </c>
      <c r="B6" s="382"/>
      <c r="C6" s="383"/>
    </row>
    <row r="7" spans="1:7" s="380" customFormat="1" ht="15.75" customHeight="1">
      <c r="A7" s="384" t="str">
        <f>txtMunicipality</f>
        <v>NEERPELT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15850.091003000003</v>
      </c>
      <c r="D10" s="971">
        <f ca="1">tertiair!C16</f>
        <v>0</v>
      </c>
      <c r="E10" s="971">
        <f ca="1">tertiair!D16</f>
        <v>18153.141600594001</v>
      </c>
      <c r="F10" s="971">
        <f>tertiair!E16</f>
        <v>222.46680947435161</v>
      </c>
      <c r="G10" s="971">
        <f ca="1">tertiair!F16</f>
        <v>2732.8333410113664</v>
      </c>
      <c r="H10" s="971">
        <f>tertiair!G16</f>
        <v>0</v>
      </c>
      <c r="I10" s="971">
        <f>tertiair!H16</f>
        <v>0</v>
      </c>
      <c r="J10" s="971">
        <f>tertiair!I16</f>
        <v>0</v>
      </c>
      <c r="K10" s="971">
        <f>tertiair!J16</f>
        <v>6.4847820118077659E-2</v>
      </c>
      <c r="L10" s="971">
        <f>tertiair!K16</f>
        <v>0</v>
      </c>
      <c r="M10" s="971">
        <f ca="1">tertiair!L16</f>
        <v>0</v>
      </c>
      <c r="N10" s="971">
        <f>tertiair!M16</f>
        <v>0</v>
      </c>
      <c r="O10" s="971">
        <f ca="1">tertiair!N16</f>
        <v>2570.989053655363</v>
      </c>
      <c r="P10" s="971">
        <f>tertiair!O16</f>
        <v>0</v>
      </c>
      <c r="Q10" s="972">
        <f>tertiair!P16</f>
        <v>19.066666666666666</v>
      </c>
      <c r="R10" s="666">
        <f ca="1">SUM(C10:Q10)</f>
        <v>39548.653322221879</v>
      </c>
      <c r="S10" s="67"/>
    </row>
    <row r="11" spans="1:19" s="439" customFormat="1">
      <c r="A11" s="775" t="s">
        <v>213</v>
      </c>
      <c r="B11" s="780"/>
      <c r="C11" s="971">
        <f>huishoudens!B8</f>
        <v>30782.366089067371</v>
      </c>
      <c r="D11" s="971">
        <f>huishoudens!C8</f>
        <v>0</v>
      </c>
      <c r="E11" s="971">
        <f>huishoudens!D8</f>
        <v>66694.321032900087</v>
      </c>
      <c r="F11" s="971">
        <f>huishoudens!E8</f>
        <v>1425.931534765595</v>
      </c>
      <c r="G11" s="971">
        <f>huishoudens!F8</f>
        <v>36126.713325722805</v>
      </c>
      <c r="H11" s="971">
        <f>huishoudens!G8</f>
        <v>0</v>
      </c>
      <c r="I11" s="971">
        <f>huishoudens!H8</f>
        <v>0</v>
      </c>
      <c r="J11" s="971">
        <f>huishoudens!I8</f>
        <v>0</v>
      </c>
      <c r="K11" s="971">
        <f>huishoudens!J8</f>
        <v>173.83769142396497</v>
      </c>
      <c r="L11" s="971">
        <f>huishoudens!K8</f>
        <v>0</v>
      </c>
      <c r="M11" s="971">
        <f>huishoudens!L8</f>
        <v>0</v>
      </c>
      <c r="N11" s="971">
        <f>huishoudens!M8</f>
        <v>0</v>
      </c>
      <c r="O11" s="971">
        <f>huishoudens!N8</f>
        <v>10116.379454195927</v>
      </c>
      <c r="P11" s="971">
        <f>huishoudens!O8</f>
        <v>512.77333333333343</v>
      </c>
      <c r="Q11" s="972">
        <f>huishoudens!P8</f>
        <v>1182.1333333333332</v>
      </c>
      <c r="R11" s="666">
        <f>SUM(C11:Q11)</f>
        <v>147014.45579474245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1969.3208500000001</v>
      </c>
      <c r="D13" s="971">
        <f>industrie!C18</f>
        <v>0</v>
      </c>
      <c r="E13" s="971">
        <f>industrie!D18</f>
        <v>1729.7043797000001</v>
      </c>
      <c r="F13" s="971">
        <f>industrie!E18</f>
        <v>386.21465515363121</v>
      </c>
      <c r="G13" s="971">
        <f>industrie!F18</f>
        <v>1103.8684093738482</v>
      </c>
      <c r="H13" s="971">
        <f>industrie!G18</f>
        <v>0</v>
      </c>
      <c r="I13" s="971">
        <f>industrie!H18</f>
        <v>0</v>
      </c>
      <c r="J13" s="971">
        <f>industrie!I18</f>
        <v>0</v>
      </c>
      <c r="K13" s="971">
        <f>industrie!J18</f>
        <v>1.0331001725271867</v>
      </c>
      <c r="L13" s="971">
        <f>industrie!K18</f>
        <v>0</v>
      </c>
      <c r="M13" s="971">
        <f>industrie!L18</f>
        <v>0</v>
      </c>
      <c r="N13" s="971">
        <f>industrie!M18</f>
        <v>0</v>
      </c>
      <c r="O13" s="971">
        <f>industrie!N18</f>
        <v>134.08379217502832</v>
      </c>
      <c r="P13" s="971">
        <f>industrie!O18</f>
        <v>0</v>
      </c>
      <c r="Q13" s="972">
        <f>industrie!P18</f>
        <v>0</v>
      </c>
      <c r="R13" s="666">
        <f>SUM(C13:Q13)</f>
        <v>5324.225186575035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48601.777942067376</v>
      </c>
      <c r="D16" s="698">
        <f t="shared" ref="D16:R16" ca="1" si="0">SUM(D9:D15)</f>
        <v>0</v>
      </c>
      <c r="E16" s="698">
        <f t="shared" ca="1" si="0"/>
        <v>86577.167013194077</v>
      </c>
      <c r="F16" s="698">
        <f t="shared" si="0"/>
        <v>2034.6129993935776</v>
      </c>
      <c r="G16" s="698">
        <f t="shared" ca="1" si="0"/>
        <v>39963.415076108016</v>
      </c>
      <c r="H16" s="698">
        <f t="shared" si="0"/>
        <v>0</v>
      </c>
      <c r="I16" s="698">
        <f t="shared" si="0"/>
        <v>0</v>
      </c>
      <c r="J16" s="698">
        <f t="shared" si="0"/>
        <v>0</v>
      </c>
      <c r="K16" s="698">
        <f t="shared" si="0"/>
        <v>174.93563941661023</v>
      </c>
      <c r="L16" s="698">
        <f t="shared" si="0"/>
        <v>0</v>
      </c>
      <c r="M16" s="698">
        <f t="shared" ca="1" si="0"/>
        <v>0</v>
      </c>
      <c r="N16" s="698">
        <f t="shared" si="0"/>
        <v>0</v>
      </c>
      <c r="O16" s="698">
        <f t="shared" ca="1" si="0"/>
        <v>12821.452300026318</v>
      </c>
      <c r="P16" s="698">
        <f t="shared" si="0"/>
        <v>512.77333333333343</v>
      </c>
      <c r="Q16" s="698">
        <f t="shared" si="0"/>
        <v>1201.1999999999998</v>
      </c>
      <c r="R16" s="698">
        <f t="shared" ca="1" si="0"/>
        <v>191887.33430353936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16.765136276078469</v>
      </c>
      <c r="D19" s="971">
        <f>transport!C54</f>
        <v>0</v>
      </c>
      <c r="E19" s="971">
        <f>transport!D54</f>
        <v>0</v>
      </c>
      <c r="F19" s="971">
        <f>transport!E54</f>
        <v>0</v>
      </c>
      <c r="G19" s="971">
        <f>transport!F54</f>
        <v>0</v>
      </c>
      <c r="H19" s="971">
        <f>transport!G54</f>
        <v>1574.9181441357739</v>
      </c>
      <c r="I19" s="971">
        <f>transport!H54</f>
        <v>0</v>
      </c>
      <c r="J19" s="971">
        <f>transport!I54</f>
        <v>0</v>
      </c>
      <c r="K19" s="971">
        <f>transport!J54</f>
        <v>0</v>
      </c>
      <c r="L19" s="971">
        <f>transport!K54</f>
        <v>0</v>
      </c>
      <c r="M19" s="971">
        <f>transport!L54</f>
        <v>0</v>
      </c>
      <c r="N19" s="971">
        <f>transport!M54</f>
        <v>90.694807203811862</v>
      </c>
      <c r="O19" s="971">
        <f>transport!N54</f>
        <v>0</v>
      </c>
      <c r="P19" s="971">
        <f>transport!O54</f>
        <v>0</v>
      </c>
      <c r="Q19" s="972">
        <f>transport!P54</f>
        <v>0</v>
      </c>
      <c r="R19" s="666">
        <f>SUM(C19:Q19)</f>
        <v>1682.3780876156643</v>
      </c>
      <c r="S19" s="67"/>
    </row>
    <row r="20" spans="1:19" s="439" customFormat="1">
      <c r="A20" s="775" t="s">
        <v>295</v>
      </c>
      <c r="B20" s="780"/>
      <c r="C20" s="971">
        <f>transport!B14</f>
        <v>34.135196708864932</v>
      </c>
      <c r="D20" s="971">
        <f>transport!C14</f>
        <v>0</v>
      </c>
      <c r="E20" s="971">
        <f>transport!D14</f>
        <v>63.983935295776156</v>
      </c>
      <c r="F20" s="971">
        <f>transport!E14</f>
        <v>110.15330696496824</v>
      </c>
      <c r="G20" s="971">
        <f>transport!F14</f>
        <v>0</v>
      </c>
      <c r="H20" s="971">
        <f>transport!G14</f>
        <v>42548.776413748536</v>
      </c>
      <c r="I20" s="971">
        <f>transport!H14</f>
        <v>10229.614457707692</v>
      </c>
      <c r="J20" s="971">
        <f>transport!I14</f>
        <v>0</v>
      </c>
      <c r="K20" s="971">
        <f>transport!J14</f>
        <v>0</v>
      </c>
      <c r="L20" s="971">
        <f>transport!K14</f>
        <v>0</v>
      </c>
      <c r="M20" s="971">
        <f>transport!L14</f>
        <v>0</v>
      </c>
      <c r="N20" s="971">
        <f>transport!M14</f>
        <v>2787.0957067873333</v>
      </c>
      <c r="O20" s="971">
        <f>transport!N14</f>
        <v>0</v>
      </c>
      <c r="P20" s="971">
        <f>transport!O14</f>
        <v>0</v>
      </c>
      <c r="Q20" s="972">
        <f>transport!P14</f>
        <v>0</v>
      </c>
      <c r="R20" s="666">
        <f>SUM(C20:Q20)</f>
        <v>55773.759017213168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50.900332984943404</v>
      </c>
      <c r="D22" s="778">
        <f t="shared" ref="D22:R22" si="1">SUM(D18:D21)</f>
        <v>0</v>
      </c>
      <c r="E22" s="778">
        <f t="shared" si="1"/>
        <v>63.983935295776156</v>
      </c>
      <c r="F22" s="778">
        <f t="shared" si="1"/>
        <v>110.15330696496824</v>
      </c>
      <c r="G22" s="778">
        <f t="shared" si="1"/>
        <v>0</v>
      </c>
      <c r="H22" s="778">
        <f t="shared" si="1"/>
        <v>44123.694557884308</v>
      </c>
      <c r="I22" s="778">
        <f t="shared" si="1"/>
        <v>10229.614457707692</v>
      </c>
      <c r="J22" s="778">
        <f t="shared" si="1"/>
        <v>0</v>
      </c>
      <c r="K22" s="778">
        <f t="shared" si="1"/>
        <v>0</v>
      </c>
      <c r="L22" s="778">
        <f t="shared" si="1"/>
        <v>0</v>
      </c>
      <c r="M22" s="778">
        <f t="shared" si="1"/>
        <v>0</v>
      </c>
      <c r="N22" s="778">
        <f t="shared" si="1"/>
        <v>2877.790513991145</v>
      </c>
      <c r="O22" s="778">
        <f t="shared" si="1"/>
        <v>0</v>
      </c>
      <c r="P22" s="778">
        <f t="shared" si="1"/>
        <v>0</v>
      </c>
      <c r="Q22" s="778">
        <f t="shared" si="1"/>
        <v>0</v>
      </c>
      <c r="R22" s="778">
        <f t="shared" si="1"/>
        <v>57456.137104828835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1552.3610000000001</v>
      </c>
      <c r="D24" s="971">
        <f>+landbouw!C8</f>
        <v>0</v>
      </c>
      <c r="E24" s="971">
        <f>+landbouw!D8</f>
        <v>92.664264000000003</v>
      </c>
      <c r="F24" s="971">
        <f>+landbouw!E8</f>
        <v>45.628631247760161</v>
      </c>
      <c r="G24" s="971">
        <f>+landbouw!F8</f>
        <v>6467.0520408144976</v>
      </c>
      <c r="H24" s="971">
        <f>+landbouw!G8</f>
        <v>0</v>
      </c>
      <c r="I24" s="971">
        <f>+landbouw!H8</f>
        <v>0</v>
      </c>
      <c r="J24" s="971">
        <f>+landbouw!I8</f>
        <v>0</v>
      </c>
      <c r="K24" s="971">
        <f>+landbouw!J8</f>
        <v>224.90377156591632</v>
      </c>
      <c r="L24" s="971">
        <f>+landbouw!K8</f>
        <v>0</v>
      </c>
      <c r="M24" s="971">
        <f>+landbouw!L8</f>
        <v>0</v>
      </c>
      <c r="N24" s="971">
        <f>+landbouw!M8</f>
        <v>0</v>
      </c>
      <c r="O24" s="971">
        <f>+landbouw!N8</f>
        <v>0</v>
      </c>
      <c r="P24" s="971">
        <f>+landbouw!O8</f>
        <v>0</v>
      </c>
      <c r="Q24" s="972">
        <f>+landbouw!P8</f>
        <v>0</v>
      </c>
      <c r="R24" s="666">
        <f>SUM(C24:Q24)</f>
        <v>8382.6097076281749</v>
      </c>
      <c r="S24" s="67"/>
    </row>
    <row r="25" spans="1:19" s="439" customFormat="1" ht="15" thickBot="1">
      <c r="A25" s="797" t="s">
        <v>802</v>
      </c>
      <c r="B25" s="974"/>
      <c r="C25" s="975">
        <f>IF(Onbekend_ele_kWh="---",0,Onbekend_ele_kWh)/1000+IF(REST_rest_ele_kWh="---",0,REST_rest_ele_kWh)/1000</f>
        <v>810.43984999999998</v>
      </c>
      <c r="D25" s="975"/>
      <c r="E25" s="975">
        <f>IF(onbekend_gas_kWh="---",0,onbekend_gas_kWh)/1000+IF(REST_rest_gas_kWh="---",0,REST_rest_gas_kWh)/1000</f>
        <v>2039.9398500000002</v>
      </c>
      <c r="F25" s="975"/>
      <c r="G25" s="975"/>
      <c r="H25" s="975"/>
      <c r="I25" s="975"/>
      <c r="J25" s="975"/>
      <c r="K25" s="975"/>
      <c r="L25" s="975"/>
      <c r="M25" s="975"/>
      <c r="N25" s="975"/>
      <c r="O25" s="975"/>
      <c r="P25" s="975"/>
      <c r="Q25" s="976"/>
      <c r="R25" s="666">
        <f>SUM(C25:Q25)</f>
        <v>2850.3797000000004</v>
      </c>
      <c r="S25" s="67"/>
    </row>
    <row r="26" spans="1:19" s="439" customFormat="1" ht="15.75" thickBot="1">
      <c r="A26" s="671" t="s">
        <v>803</v>
      </c>
      <c r="B26" s="783"/>
      <c r="C26" s="778">
        <f>SUM(C24:C25)</f>
        <v>2362.8008500000001</v>
      </c>
      <c r="D26" s="778">
        <f t="shared" ref="D26:R26" si="2">SUM(D24:D25)</f>
        <v>0</v>
      </c>
      <c r="E26" s="778">
        <f t="shared" si="2"/>
        <v>2132.6041140000002</v>
      </c>
      <c r="F26" s="778">
        <f t="shared" si="2"/>
        <v>45.628631247760161</v>
      </c>
      <c r="G26" s="778">
        <f t="shared" si="2"/>
        <v>6467.0520408144976</v>
      </c>
      <c r="H26" s="778">
        <f t="shared" si="2"/>
        <v>0</v>
      </c>
      <c r="I26" s="778">
        <f t="shared" si="2"/>
        <v>0</v>
      </c>
      <c r="J26" s="778">
        <f t="shared" si="2"/>
        <v>0</v>
      </c>
      <c r="K26" s="778">
        <f t="shared" si="2"/>
        <v>224.90377156591632</v>
      </c>
      <c r="L26" s="778">
        <f t="shared" si="2"/>
        <v>0</v>
      </c>
      <c r="M26" s="778">
        <f t="shared" si="2"/>
        <v>0</v>
      </c>
      <c r="N26" s="778">
        <f t="shared" si="2"/>
        <v>0</v>
      </c>
      <c r="O26" s="778">
        <f t="shared" si="2"/>
        <v>0</v>
      </c>
      <c r="P26" s="778">
        <f t="shared" si="2"/>
        <v>0</v>
      </c>
      <c r="Q26" s="778">
        <f t="shared" si="2"/>
        <v>0</v>
      </c>
      <c r="R26" s="778">
        <f t="shared" si="2"/>
        <v>11232.989407628174</v>
      </c>
      <c r="S26" s="67"/>
    </row>
    <row r="27" spans="1:19" s="439" customFormat="1" ht="17.25" thickTop="1" thickBot="1">
      <c r="A27" s="672" t="s">
        <v>109</v>
      </c>
      <c r="B27" s="771"/>
      <c r="C27" s="673">
        <f ca="1">C22+C16+C26</f>
        <v>51015.479125052319</v>
      </c>
      <c r="D27" s="673">
        <f t="shared" ref="D27:R27" ca="1" si="3">D22+D16+D26</f>
        <v>0</v>
      </c>
      <c r="E27" s="673">
        <f t="shared" ca="1" si="3"/>
        <v>88773.755062489858</v>
      </c>
      <c r="F27" s="673">
        <f t="shared" si="3"/>
        <v>2190.394937606306</v>
      </c>
      <c r="G27" s="673">
        <f t="shared" ca="1" si="3"/>
        <v>46430.467116922511</v>
      </c>
      <c r="H27" s="673">
        <f t="shared" si="3"/>
        <v>44123.694557884308</v>
      </c>
      <c r="I27" s="673">
        <f t="shared" si="3"/>
        <v>10229.614457707692</v>
      </c>
      <c r="J27" s="673">
        <f t="shared" si="3"/>
        <v>0</v>
      </c>
      <c r="K27" s="673">
        <f t="shared" si="3"/>
        <v>399.83941098252654</v>
      </c>
      <c r="L27" s="673">
        <f t="shared" si="3"/>
        <v>0</v>
      </c>
      <c r="M27" s="673">
        <f t="shared" ca="1" si="3"/>
        <v>0</v>
      </c>
      <c r="N27" s="673">
        <f t="shared" si="3"/>
        <v>2877.790513991145</v>
      </c>
      <c r="O27" s="673">
        <f t="shared" ca="1" si="3"/>
        <v>12821.452300026318</v>
      </c>
      <c r="P27" s="673">
        <f t="shared" si="3"/>
        <v>512.77333333333343</v>
      </c>
      <c r="Q27" s="673">
        <f t="shared" si="3"/>
        <v>1201.1999999999998</v>
      </c>
      <c r="R27" s="673">
        <f t="shared" ca="1" si="3"/>
        <v>260576.46081599637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3005.7730605261963</v>
      </c>
      <c r="D40" s="971">
        <f ca="1">tertiair!C20</f>
        <v>0</v>
      </c>
      <c r="E40" s="971">
        <f ca="1">tertiair!D20</f>
        <v>3666.9346033199886</v>
      </c>
      <c r="F40" s="971">
        <f>tertiair!E20</f>
        <v>50.499965750677816</v>
      </c>
      <c r="G40" s="971">
        <f ca="1">tertiair!F20</f>
        <v>729.66650205003486</v>
      </c>
      <c r="H40" s="971">
        <f>tertiair!G20</f>
        <v>0</v>
      </c>
      <c r="I40" s="971">
        <f>tertiair!H20</f>
        <v>0</v>
      </c>
      <c r="J40" s="971">
        <f>tertiair!I20</f>
        <v>0</v>
      </c>
      <c r="K40" s="971">
        <f>tertiair!J20</f>
        <v>2.2956128321799489E-2</v>
      </c>
      <c r="L40" s="971">
        <f>tertiair!K20</f>
        <v>0</v>
      </c>
      <c r="M40" s="971">
        <f ca="1">tertiair!L20</f>
        <v>0</v>
      </c>
      <c r="N40" s="971">
        <f>tertiair!M20</f>
        <v>0</v>
      </c>
      <c r="O40" s="971">
        <f ca="1">tertiair!N20</f>
        <v>0</v>
      </c>
      <c r="P40" s="971">
        <f>tertiair!O20</f>
        <v>0</v>
      </c>
      <c r="Q40" s="740">
        <f>tertiair!P20</f>
        <v>0</v>
      </c>
      <c r="R40" s="816">
        <f t="shared" ca="1" si="4"/>
        <v>7452.8970877752199</v>
      </c>
    </row>
    <row r="41" spans="1:18">
      <c r="A41" s="788" t="s">
        <v>213</v>
      </c>
      <c r="B41" s="795"/>
      <c r="C41" s="971">
        <f ca="1">huishoudens!B12</f>
        <v>5837.4937224184596</v>
      </c>
      <c r="D41" s="971">
        <f ca="1">huishoudens!C12</f>
        <v>0</v>
      </c>
      <c r="E41" s="971">
        <f>huishoudens!D12</f>
        <v>13472.252848645818</v>
      </c>
      <c r="F41" s="971">
        <f>huishoudens!E12</f>
        <v>323.68645839179004</v>
      </c>
      <c r="G41" s="971">
        <f>huishoudens!F12</f>
        <v>9645.8324579679902</v>
      </c>
      <c r="H41" s="971">
        <f>huishoudens!G12</f>
        <v>0</v>
      </c>
      <c r="I41" s="971">
        <f>huishoudens!H12</f>
        <v>0</v>
      </c>
      <c r="J41" s="971">
        <f>huishoudens!I12</f>
        <v>0</v>
      </c>
      <c r="K41" s="971">
        <f>huishoudens!J12</f>
        <v>61.538542764083594</v>
      </c>
      <c r="L41" s="971">
        <f>huishoudens!K12</f>
        <v>0</v>
      </c>
      <c r="M41" s="971">
        <f>huishoudens!L12</f>
        <v>0</v>
      </c>
      <c r="N41" s="971">
        <f>huishoudens!M12</f>
        <v>0</v>
      </c>
      <c r="O41" s="971">
        <f>huishoudens!N12</f>
        <v>0</v>
      </c>
      <c r="P41" s="971">
        <f>huishoudens!O12</f>
        <v>0</v>
      </c>
      <c r="Q41" s="740">
        <f>huishoudens!P12</f>
        <v>0</v>
      </c>
      <c r="R41" s="816">
        <f t="shared" ca="1" si="4"/>
        <v>29340.804030188141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373.45726010924335</v>
      </c>
      <c r="D43" s="971">
        <f ca="1">industrie!C22</f>
        <v>0</v>
      </c>
      <c r="E43" s="971">
        <f>industrie!D22</f>
        <v>349.40028469940006</v>
      </c>
      <c r="F43" s="971">
        <f>industrie!E22</f>
        <v>87.670726719874281</v>
      </c>
      <c r="G43" s="971">
        <f>industrie!F22</f>
        <v>294.73286530281746</v>
      </c>
      <c r="H43" s="971">
        <f>industrie!G22</f>
        <v>0</v>
      </c>
      <c r="I43" s="971">
        <f>industrie!H22</f>
        <v>0</v>
      </c>
      <c r="J43" s="971">
        <f>industrie!I22</f>
        <v>0</v>
      </c>
      <c r="K43" s="971">
        <f>industrie!J22</f>
        <v>0.36571746107462405</v>
      </c>
      <c r="L43" s="971">
        <f>industrie!K22</f>
        <v>0</v>
      </c>
      <c r="M43" s="971">
        <f>industrie!L22</f>
        <v>0</v>
      </c>
      <c r="N43" s="971">
        <f>industrie!M22</f>
        <v>0</v>
      </c>
      <c r="O43" s="971">
        <f>industrie!N22</f>
        <v>0</v>
      </c>
      <c r="P43" s="971">
        <f>industrie!O22</f>
        <v>0</v>
      </c>
      <c r="Q43" s="740">
        <f>industrie!P22</f>
        <v>0</v>
      </c>
      <c r="R43" s="815">
        <f t="shared" ca="1" si="4"/>
        <v>1105.6268542924097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9216.7240430539005</v>
      </c>
      <c r="D46" s="698">
        <f t="shared" ref="D46:Q46" ca="1" si="5">SUM(D39:D45)</f>
        <v>0</v>
      </c>
      <c r="E46" s="698">
        <f t="shared" ca="1" si="5"/>
        <v>17488.587736665206</v>
      </c>
      <c r="F46" s="698">
        <f t="shared" si="5"/>
        <v>461.85715086234211</v>
      </c>
      <c r="G46" s="698">
        <f t="shared" ca="1" si="5"/>
        <v>10670.231825320843</v>
      </c>
      <c r="H46" s="698">
        <f t="shared" si="5"/>
        <v>0</v>
      </c>
      <c r="I46" s="698">
        <f t="shared" si="5"/>
        <v>0</v>
      </c>
      <c r="J46" s="698">
        <f t="shared" si="5"/>
        <v>0</v>
      </c>
      <c r="K46" s="698">
        <f t="shared" si="5"/>
        <v>61.92721635348002</v>
      </c>
      <c r="L46" s="698">
        <f t="shared" si="5"/>
        <v>0</v>
      </c>
      <c r="M46" s="698">
        <f t="shared" ca="1" si="5"/>
        <v>0</v>
      </c>
      <c r="N46" s="698">
        <f t="shared" si="5"/>
        <v>0</v>
      </c>
      <c r="O46" s="698">
        <f t="shared" ca="1" si="5"/>
        <v>0</v>
      </c>
      <c r="P46" s="698">
        <f t="shared" si="5"/>
        <v>0</v>
      </c>
      <c r="Q46" s="698">
        <f t="shared" si="5"/>
        <v>0</v>
      </c>
      <c r="R46" s="698">
        <f ca="1">SUM(R39:R45)</f>
        <v>37899.327972255771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3.1793000409366243</v>
      </c>
      <c r="D49" s="971">
        <f ca="1">transport!C58</f>
        <v>0</v>
      </c>
      <c r="E49" s="971">
        <f>transport!D58</f>
        <v>0</v>
      </c>
      <c r="F49" s="971">
        <f>transport!E58</f>
        <v>0</v>
      </c>
      <c r="G49" s="971">
        <f>transport!F58</f>
        <v>0</v>
      </c>
      <c r="H49" s="971">
        <f>transport!G58</f>
        <v>420.50314448425166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423.68244452518832</v>
      </c>
    </row>
    <row r="50" spans="1:18">
      <c r="A50" s="791" t="s">
        <v>295</v>
      </c>
      <c r="B50" s="801"/>
      <c r="C50" s="669">
        <f ca="1">transport!B18</f>
        <v>6.4733164411389632</v>
      </c>
      <c r="D50" s="669">
        <f>transport!C18</f>
        <v>0</v>
      </c>
      <c r="E50" s="669">
        <f>transport!D18</f>
        <v>12.924754929746785</v>
      </c>
      <c r="F50" s="669">
        <f>transport!E18</f>
        <v>25.00480068104779</v>
      </c>
      <c r="G50" s="669">
        <f>transport!F18</f>
        <v>0</v>
      </c>
      <c r="H50" s="669">
        <f>transport!G18</f>
        <v>11360.52330247086</v>
      </c>
      <c r="I50" s="669">
        <f>transport!H18</f>
        <v>2547.1739999692154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13952.100174492007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9.6526164820755866</v>
      </c>
      <c r="D52" s="698">
        <f t="shared" ref="D52:Q52" ca="1" si="6">SUM(D48:D51)</f>
        <v>0</v>
      </c>
      <c r="E52" s="698">
        <f t="shared" si="6"/>
        <v>12.924754929746785</v>
      </c>
      <c r="F52" s="698">
        <f t="shared" si="6"/>
        <v>25.00480068104779</v>
      </c>
      <c r="G52" s="698">
        <f t="shared" si="6"/>
        <v>0</v>
      </c>
      <c r="H52" s="698">
        <f t="shared" si="6"/>
        <v>11781.026446955111</v>
      </c>
      <c r="I52" s="698">
        <f t="shared" si="6"/>
        <v>2547.1739999692154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14375.782619017195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294.38599899069021</v>
      </c>
      <c r="D54" s="669">
        <f ca="1">+landbouw!C12</f>
        <v>0</v>
      </c>
      <c r="E54" s="669">
        <f>+landbouw!D12</f>
        <v>18.718181328</v>
      </c>
      <c r="F54" s="669">
        <f>+landbouw!E12</f>
        <v>10.357699293241557</v>
      </c>
      <c r="G54" s="669">
        <f>+landbouw!F12</f>
        <v>1726.702894897471</v>
      </c>
      <c r="H54" s="669">
        <f>+landbouw!G12</f>
        <v>0</v>
      </c>
      <c r="I54" s="669">
        <f>+landbouw!H12</f>
        <v>0</v>
      </c>
      <c r="J54" s="669">
        <f>+landbouw!I12</f>
        <v>0</v>
      </c>
      <c r="K54" s="669">
        <f>+landbouw!J12</f>
        <v>79.615935134334364</v>
      </c>
      <c r="L54" s="669">
        <f>+landbouw!K12</f>
        <v>0</v>
      </c>
      <c r="M54" s="669">
        <f>+landbouw!L12</f>
        <v>0</v>
      </c>
      <c r="N54" s="669">
        <f>+landbouw!M12</f>
        <v>0</v>
      </c>
      <c r="O54" s="669">
        <f>+landbouw!N12</f>
        <v>0</v>
      </c>
      <c r="P54" s="669">
        <f>+landbouw!O12</f>
        <v>0</v>
      </c>
      <c r="Q54" s="670">
        <f>+landbouw!P12</f>
        <v>0</v>
      </c>
      <c r="R54" s="697">
        <f ca="1">SUM(C54:Q54)</f>
        <v>2129.7807096437373</v>
      </c>
    </row>
    <row r="55" spans="1:18" ht="15" thickBot="1">
      <c r="A55" s="791" t="s">
        <v>802</v>
      </c>
      <c r="B55" s="801"/>
      <c r="C55" s="669">
        <f ca="1">C25*'EF ele_warmte'!B12</f>
        <v>153.68986006741673</v>
      </c>
      <c r="D55" s="669"/>
      <c r="E55" s="669">
        <f>E25*EF_CO2_aardgas</f>
        <v>412.06784970000007</v>
      </c>
      <c r="F55" s="669"/>
      <c r="G55" s="669"/>
      <c r="H55" s="669"/>
      <c r="I55" s="669"/>
      <c r="J55" s="669"/>
      <c r="K55" s="669"/>
      <c r="L55" s="669"/>
      <c r="M55" s="669"/>
      <c r="N55" s="669"/>
      <c r="O55" s="669"/>
      <c r="P55" s="669"/>
      <c r="Q55" s="670"/>
      <c r="R55" s="697">
        <f ca="1">SUM(C55:Q55)</f>
        <v>565.75770976741683</v>
      </c>
    </row>
    <row r="56" spans="1:18" ht="15.75" thickBot="1">
      <c r="A56" s="789" t="s">
        <v>803</v>
      </c>
      <c r="B56" s="802"/>
      <c r="C56" s="698">
        <f ca="1">SUM(C54:C55)</f>
        <v>448.07585905810697</v>
      </c>
      <c r="D56" s="698">
        <f t="shared" ref="D56:Q56" ca="1" si="7">SUM(D54:D55)</f>
        <v>0</v>
      </c>
      <c r="E56" s="698">
        <f t="shared" si="7"/>
        <v>430.78603102800008</v>
      </c>
      <c r="F56" s="698">
        <f t="shared" si="7"/>
        <v>10.357699293241557</v>
      </c>
      <c r="G56" s="698">
        <f t="shared" si="7"/>
        <v>1726.702894897471</v>
      </c>
      <c r="H56" s="698">
        <f t="shared" si="7"/>
        <v>0</v>
      </c>
      <c r="I56" s="698">
        <f t="shared" si="7"/>
        <v>0</v>
      </c>
      <c r="J56" s="698">
        <f t="shared" si="7"/>
        <v>0</v>
      </c>
      <c r="K56" s="698">
        <f t="shared" si="7"/>
        <v>79.615935134334364</v>
      </c>
      <c r="L56" s="698">
        <f t="shared" si="7"/>
        <v>0</v>
      </c>
      <c r="M56" s="698">
        <f t="shared" si="7"/>
        <v>0</v>
      </c>
      <c r="N56" s="698">
        <f t="shared" si="7"/>
        <v>0</v>
      </c>
      <c r="O56" s="698">
        <f t="shared" si="7"/>
        <v>0</v>
      </c>
      <c r="P56" s="698">
        <f t="shared" si="7"/>
        <v>0</v>
      </c>
      <c r="Q56" s="699">
        <f t="shared" si="7"/>
        <v>0</v>
      </c>
      <c r="R56" s="700">
        <f ca="1">SUM(R54:R55)</f>
        <v>2695.5384194111539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9674.452518594082</v>
      </c>
      <c r="D61" s="706">
        <f t="shared" ref="D61:Q61" ca="1" si="8">D46+D52+D56</f>
        <v>0</v>
      </c>
      <c r="E61" s="706">
        <f t="shared" ca="1" si="8"/>
        <v>17932.298522622954</v>
      </c>
      <c r="F61" s="706">
        <f t="shared" si="8"/>
        <v>497.2196508366315</v>
      </c>
      <c r="G61" s="706">
        <f t="shared" ca="1" si="8"/>
        <v>12396.934720218314</v>
      </c>
      <c r="H61" s="706">
        <f t="shared" si="8"/>
        <v>11781.026446955111</v>
      </c>
      <c r="I61" s="706">
        <f t="shared" si="8"/>
        <v>2547.1739999692154</v>
      </c>
      <c r="J61" s="706">
        <f t="shared" si="8"/>
        <v>0</v>
      </c>
      <c r="K61" s="706">
        <f t="shared" si="8"/>
        <v>141.54315148781438</v>
      </c>
      <c r="L61" s="706">
        <f t="shared" si="8"/>
        <v>0</v>
      </c>
      <c r="M61" s="706">
        <f t="shared" ca="1" si="8"/>
        <v>0</v>
      </c>
      <c r="N61" s="706">
        <f t="shared" si="8"/>
        <v>0</v>
      </c>
      <c r="O61" s="706">
        <f t="shared" ca="1" si="8"/>
        <v>0</v>
      </c>
      <c r="P61" s="706">
        <f t="shared" si="8"/>
        <v>0</v>
      </c>
      <c r="Q61" s="706">
        <f t="shared" si="8"/>
        <v>0</v>
      </c>
      <c r="R61" s="706">
        <f ca="1">R46+R52+R56</f>
        <v>54970.649010684123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0.18963759009063624</v>
      </c>
      <c r="D63" s="747">
        <f t="shared" ca="1" si="9"/>
        <v>0</v>
      </c>
      <c r="E63" s="982">
        <f t="shared" ca="1" si="9"/>
        <v>0.20200000000000004</v>
      </c>
      <c r="F63" s="747">
        <f t="shared" si="9"/>
        <v>0.22700000000000001</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7239.6758734953846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7239.6758734953846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30782.366089067371</v>
      </c>
      <c r="C4" s="443">
        <f>huishoudens!C8</f>
        <v>0</v>
      </c>
      <c r="D4" s="443">
        <f>huishoudens!D8</f>
        <v>66694.321032900087</v>
      </c>
      <c r="E4" s="443">
        <f>huishoudens!E8</f>
        <v>1425.931534765595</v>
      </c>
      <c r="F4" s="443">
        <f>huishoudens!F8</f>
        <v>36126.713325722805</v>
      </c>
      <c r="G4" s="443">
        <f>huishoudens!G8</f>
        <v>0</v>
      </c>
      <c r="H4" s="443">
        <f>huishoudens!H8</f>
        <v>0</v>
      </c>
      <c r="I4" s="443">
        <f>huishoudens!I8</f>
        <v>0</v>
      </c>
      <c r="J4" s="443">
        <f>huishoudens!J8</f>
        <v>173.83769142396497</v>
      </c>
      <c r="K4" s="443">
        <f>huishoudens!K8</f>
        <v>0</v>
      </c>
      <c r="L4" s="443">
        <f>huishoudens!L8</f>
        <v>0</v>
      </c>
      <c r="M4" s="443">
        <f>huishoudens!M8</f>
        <v>0</v>
      </c>
      <c r="N4" s="443">
        <f>huishoudens!N8</f>
        <v>10116.379454195927</v>
      </c>
      <c r="O4" s="443">
        <f>huishoudens!O8</f>
        <v>512.77333333333343</v>
      </c>
      <c r="P4" s="444">
        <f>huishoudens!P8</f>
        <v>1182.1333333333332</v>
      </c>
      <c r="Q4" s="445">
        <f>SUM(B4:P4)</f>
        <v>147014.45579474245</v>
      </c>
    </row>
    <row r="5" spans="1:17">
      <c r="A5" s="442" t="s">
        <v>149</v>
      </c>
      <c r="B5" s="443">
        <f ca="1">tertiair!B16</f>
        <v>14704.913003000003</v>
      </c>
      <c r="C5" s="443">
        <f ca="1">tertiair!C16</f>
        <v>0</v>
      </c>
      <c r="D5" s="443">
        <f ca="1">tertiair!D16</f>
        <v>18153.141600594001</v>
      </c>
      <c r="E5" s="443">
        <f>tertiair!E16</f>
        <v>222.46680947435161</v>
      </c>
      <c r="F5" s="443">
        <f ca="1">tertiair!F16</f>
        <v>2732.8333410113664</v>
      </c>
      <c r="G5" s="443">
        <f>tertiair!G16</f>
        <v>0</v>
      </c>
      <c r="H5" s="443">
        <f>tertiair!H16</f>
        <v>0</v>
      </c>
      <c r="I5" s="443">
        <f>tertiair!I16</f>
        <v>0</v>
      </c>
      <c r="J5" s="443">
        <f>tertiair!J16</f>
        <v>6.4847820118077659E-2</v>
      </c>
      <c r="K5" s="443">
        <f>tertiair!K16</f>
        <v>0</v>
      </c>
      <c r="L5" s="443">
        <f ca="1">tertiair!L16</f>
        <v>0</v>
      </c>
      <c r="M5" s="443">
        <f>tertiair!M16</f>
        <v>0</v>
      </c>
      <c r="N5" s="443">
        <f ca="1">tertiair!N16</f>
        <v>2570.989053655363</v>
      </c>
      <c r="O5" s="443">
        <f>tertiair!O16</f>
        <v>0</v>
      </c>
      <c r="P5" s="444">
        <f>tertiair!P16</f>
        <v>19.066666666666666</v>
      </c>
      <c r="Q5" s="442">
        <f t="shared" ref="Q5:Q14" ca="1" si="0">SUM(B5:P5)</f>
        <v>38403.475322221879</v>
      </c>
    </row>
    <row r="6" spans="1:17">
      <c r="A6" s="442" t="s">
        <v>187</v>
      </c>
      <c r="B6" s="443">
        <f>'openbare verlichting'!B8</f>
        <v>1145.1780000000001</v>
      </c>
      <c r="C6" s="443"/>
      <c r="D6" s="443"/>
      <c r="E6" s="443"/>
      <c r="F6" s="443"/>
      <c r="G6" s="443"/>
      <c r="H6" s="443"/>
      <c r="I6" s="443"/>
      <c r="J6" s="443"/>
      <c r="K6" s="443"/>
      <c r="L6" s="443"/>
      <c r="M6" s="443"/>
      <c r="N6" s="443"/>
      <c r="O6" s="443"/>
      <c r="P6" s="444"/>
      <c r="Q6" s="442">
        <f t="shared" si="0"/>
        <v>1145.1780000000001</v>
      </c>
    </row>
    <row r="7" spans="1:17">
      <c r="A7" s="442" t="s">
        <v>105</v>
      </c>
      <c r="B7" s="443">
        <f>landbouw!B8</f>
        <v>1552.3610000000001</v>
      </c>
      <c r="C7" s="443">
        <f>landbouw!C8</f>
        <v>0</v>
      </c>
      <c r="D7" s="443">
        <f>landbouw!D8</f>
        <v>92.664264000000003</v>
      </c>
      <c r="E7" s="443">
        <f>landbouw!E8</f>
        <v>45.628631247760161</v>
      </c>
      <c r="F7" s="443">
        <f>landbouw!F8</f>
        <v>6467.0520408144976</v>
      </c>
      <c r="G7" s="443">
        <f>landbouw!G8</f>
        <v>0</v>
      </c>
      <c r="H7" s="443">
        <f>landbouw!H8</f>
        <v>0</v>
      </c>
      <c r="I7" s="443">
        <f>landbouw!I8</f>
        <v>0</v>
      </c>
      <c r="J7" s="443">
        <f>landbouw!J8</f>
        <v>224.90377156591632</v>
      </c>
      <c r="K7" s="443">
        <f>landbouw!K8</f>
        <v>0</v>
      </c>
      <c r="L7" s="443">
        <f>landbouw!L8</f>
        <v>0</v>
      </c>
      <c r="M7" s="443">
        <f>landbouw!M8</f>
        <v>0</v>
      </c>
      <c r="N7" s="443">
        <f>landbouw!N8</f>
        <v>0</v>
      </c>
      <c r="O7" s="443">
        <f>landbouw!O8</f>
        <v>0</v>
      </c>
      <c r="P7" s="444">
        <f>landbouw!P8</f>
        <v>0</v>
      </c>
      <c r="Q7" s="442">
        <f t="shared" si="0"/>
        <v>8382.6097076281749</v>
      </c>
    </row>
    <row r="8" spans="1:17">
      <c r="A8" s="442" t="s">
        <v>621</v>
      </c>
      <c r="B8" s="443">
        <f>industrie!B18</f>
        <v>1969.3208500000001</v>
      </c>
      <c r="C8" s="443">
        <f>industrie!C18</f>
        <v>0</v>
      </c>
      <c r="D8" s="443">
        <f>industrie!D18</f>
        <v>1729.7043797000001</v>
      </c>
      <c r="E8" s="443">
        <f>industrie!E18</f>
        <v>386.21465515363121</v>
      </c>
      <c r="F8" s="443">
        <f>industrie!F18</f>
        <v>1103.8684093738482</v>
      </c>
      <c r="G8" s="443">
        <f>industrie!G18</f>
        <v>0</v>
      </c>
      <c r="H8" s="443">
        <f>industrie!H18</f>
        <v>0</v>
      </c>
      <c r="I8" s="443">
        <f>industrie!I18</f>
        <v>0</v>
      </c>
      <c r="J8" s="443">
        <f>industrie!J18</f>
        <v>1.0331001725271867</v>
      </c>
      <c r="K8" s="443">
        <f>industrie!K18</f>
        <v>0</v>
      </c>
      <c r="L8" s="443">
        <f>industrie!L18</f>
        <v>0</v>
      </c>
      <c r="M8" s="443">
        <f>industrie!M18</f>
        <v>0</v>
      </c>
      <c r="N8" s="443">
        <f>industrie!N18</f>
        <v>134.08379217502832</v>
      </c>
      <c r="O8" s="443">
        <f>industrie!O18</f>
        <v>0</v>
      </c>
      <c r="P8" s="444">
        <f>industrie!P18</f>
        <v>0</v>
      </c>
      <c r="Q8" s="442">
        <f t="shared" si="0"/>
        <v>5324.225186575035</v>
      </c>
    </row>
    <row r="9" spans="1:17" s="448" customFormat="1">
      <c r="A9" s="446" t="s">
        <v>547</v>
      </c>
      <c r="B9" s="447">
        <f>transport!B14</f>
        <v>34.135196708864932</v>
      </c>
      <c r="C9" s="447">
        <f>transport!C14</f>
        <v>0</v>
      </c>
      <c r="D9" s="447">
        <f>transport!D14</f>
        <v>63.983935295776156</v>
      </c>
      <c r="E9" s="447">
        <f>transport!E14</f>
        <v>110.15330696496824</v>
      </c>
      <c r="F9" s="447">
        <f>transport!F14</f>
        <v>0</v>
      </c>
      <c r="G9" s="447">
        <f>transport!G14</f>
        <v>42548.776413748536</v>
      </c>
      <c r="H9" s="447">
        <f>transport!H14</f>
        <v>10229.614457707692</v>
      </c>
      <c r="I9" s="447">
        <f>transport!I14</f>
        <v>0</v>
      </c>
      <c r="J9" s="447">
        <f>transport!J14</f>
        <v>0</v>
      </c>
      <c r="K9" s="447">
        <f>transport!K14</f>
        <v>0</v>
      </c>
      <c r="L9" s="447">
        <f>transport!L14</f>
        <v>0</v>
      </c>
      <c r="M9" s="447">
        <f>transport!M14</f>
        <v>2787.0957067873333</v>
      </c>
      <c r="N9" s="447">
        <f>transport!N14</f>
        <v>0</v>
      </c>
      <c r="O9" s="447">
        <f>transport!O14</f>
        <v>0</v>
      </c>
      <c r="P9" s="447">
        <f>transport!P14</f>
        <v>0</v>
      </c>
      <c r="Q9" s="446">
        <f>SUM(B9:P9)</f>
        <v>55773.759017213168</v>
      </c>
    </row>
    <row r="10" spans="1:17">
      <c r="A10" s="442" t="s">
        <v>537</v>
      </c>
      <c r="B10" s="443">
        <f>transport!B54</f>
        <v>16.765136276078469</v>
      </c>
      <c r="C10" s="443">
        <f>transport!C54</f>
        <v>0</v>
      </c>
      <c r="D10" s="443">
        <f>transport!D54</f>
        <v>0</v>
      </c>
      <c r="E10" s="443">
        <f>transport!E54</f>
        <v>0</v>
      </c>
      <c r="F10" s="443">
        <f>transport!F54</f>
        <v>0</v>
      </c>
      <c r="G10" s="443">
        <f>transport!G54</f>
        <v>1574.9181441357739</v>
      </c>
      <c r="H10" s="443">
        <f>transport!H54</f>
        <v>0</v>
      </c>
      <c r="I10" s="443">
        <f>transport!I54</f>
        <v>0</v>
      </c>
      <c r="J10" s="443">
        <f>transport!J54</f>
        <v>0</v>
      </c>
      <c r="K10" s="443">
        <f>transport!K54</f>
        <v>0</v>
      </c>
      <c r="L10" s="443">
        <f>transport!L54</f>
        <v>0</v>
      </c>
      <c r="M10" s="443">
        <f>transport!M54</f>
        <v>90.694807203811862</v>
      </c>
      <c r="N10" s="443">
        <f>transport!N54</f>
        <v>0</v>
      </c>
      <c r="O10" s="443">
        <f>transport!O54</f>
        <v>0</v>
      </c>
      <c r="P10" s="444">
        <f>transport!P54</f>
        <v>0</v>
      </c>
      <c r="Q10" s="442">
        <f t="shared" si="0"/>
        <v>1682.3780876156643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810.43984999999998</v>
      </c>
      <c r="C14" s="450"/>
      <c r="D14" s="450">
        <f>'SEAP template'!E25</f>
        <v>2039.9398500000002</v>
      </c>
      <c r="E14" s="450"/>
      <c r="F14" s="450"/>
      <c r="G14" s="450"/>
      <c r="H14" s="450"/>
      <c r="I14" s="450"/>
      <c r="J14" s="450"/>
      <c r="K14" s="450"/>
      <c r="L14" s="450"/>
      <c r="M14" s="450"/>
      <c r="N14" s="450"/>
      <c r="O14" s="450"/>
      <c r="P14" s="451"/>
      <c r="Q14" s="442">
        <f t="shared" si="0"/>
        <v>2850.3797000000004</v>
      </c>
    </row>
    <row r="15" spans="1:17" s="452" customFormat="1">
      <c r="A15" s="997" t="s">
        <v>541</v>
      </c>
      <c r="B15" s="945">
        <f ca="1">SUM(B4:B14)</f>
        <v>51015.479125052312</v>
      </c>
      <c r="C15" s="945">
        <f t="shared" ref="C15:Q15" ca="1" si="1">SUM(C4:C14)</f>
        <v>0</v>
      </c>
      <c r="D15" s="945">
        <f t="shared" ca="1" si="1"/>
        <v>88773.755062489858</v>
      </c>
      <c r="E15" s="945">
        <f t="shared" si="1"/>
        <v>2190.394937606306</v>
      </c>
      <c r="F15" s="945">
        <f t="shared" ca="1" si="1"/>
        <v>46430.467116922511</v>
      </c>
      <c r="G15" s="945">
        <f t="shared" si="1"/>
        <v>44123.694557884308</v>
      </c>
      <c r="H15" s="945">
        <f t="shared" si="1"/>
        <v>10229.614457707692</v>
      </c>
      <c r="I15" s="945">
        <f t="shared" si="1"/>
        <v>0</v>
      </c>
      <c r="J15" s="945">
        <f t="shared" si="1"/>
        <v>399.83941098252654</v>
      </c>
      <c r="K15" s="945">
        <f t="shared" si="1"/>
        <v>0</v>
      </c>
      <c r="L15" s="945">
        <f t="shared" ca="1" si="1"/>
        <v>0</v>
      </c>
      <c r="M15" s="945">
        <f t="shared" si="1"/>
        <v>2877.790513991145</v>
      </c>
      <c r="N15" s="945">
        <f t="shared" ca="1" si="1"/>
        <v>12821.452300026318</v>
      </c>
      <c r="O15" s="945">
        <f t="shared" si="1"/>
        <v>512.77333333333343</v>
      </c>
      <c r="P15" s="945">
        <f t="shared" si="1"/>
        <v>1201.1999999999998</v>
      </c>
      <c r="Q15" s="945">
        <f t="shared" ca="1" si="1"/>
        <v>260576.46081599634</v>
      </c>
    </row>
    <row r="17" spans="1:17">
      <c r="A17" s="453" t="s">
        <v>542</v>
      </c>
      <c r="B17" s="752">
        <f ca="1">huishoudens!B10</f>
        <v>0.18963759009063624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5837.4937224184596</v>
      </c>
      <c r="C22" s="443">
        <f t="shared" ref="C22:C32" ca="1" si="3">C4*$C$17</f>
        <v>0</v>
      </c>
      <c r="D22" s="443">
        <f t="shared" ref="D22:D32" si="4">D4*$D$17</f>
        <v>13472.252848645818</v>
      </c>
      <c r="E22" s="443">
        <f t="shared" ref="E22:E32" si="5">E4*$E$17</f>
        <v>323.68645839179004</v>
      </c>
      <c r="F22" s="443">
        <f t="shared" ref="F22:F32" si="6">F4*$F$17</f>
        <v>9645.8324579679902</v>
      </c>
      <c r="G22" s="443">
        <f t="shared" ref="G22:G32" si="7">G4*$G$17</f>
        <v>0</v>
      </c>
      <c r="H22" s="443">
        <f t="shared" ref="H22:H32" si="8">H4*$H$17</f>
        <v>0</v>
      </c>
      <c r="I22" s="443">
        <f t="shared" ref="I22:I32" si="9">I4*$I$17</f>
        <v>0</v>
      </c>
      <c r="J22" s="443">
        <f t="shared" ref="J22:J32" si="10">J4*$J$17</f>
        <v>61.538542764083594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29340.804030188141</v>
      </c>
    </row>
    <row r="23" spans="1:17">
      <c r="A23" s="442" t="s">
        <v>149</v>
      </c>
      <c r="B23" s="443">
        <f t="shared" ca="1" si="2"/>
        <v>2788.6042643813817</v>
      </c>
      <c r="C23" s="443">
        <f t="shared" ca="1" si="3"/>
        <v>0</v>
      </c>
      <c r="D23" s="443">
        <f t="shared" ca="1" si="4"/>
        <v>3666.9346033199886</v>
      </c>
      <c r="E23" s="443">
        <f t="shared" si="5"/>
        <v>50.499965750677816</v>
      </c>
      <c r="F23" s="443">
        <f t="shared" ca="1" si="6"/>
        <v>729.66650205003486</v>
      </c>
      <c r="G23" s="443">
        <f t="shared" si="7"/>
        <v>0</v>
      </c>
      <c r="H23" s="443">
        <f t="shared" si="8"/>
        <v>0</v>
      </c>
      <c r="I23" s="443">
        <f t="shared" si="9"/>
        <v>0</v>
      </c>
      <c r="J23" s="443">
        <f t="shared" si="10"/>
        <v>2.2956128321799489E-2</v>
      </c>
      <c r="K23" s="443">
        <f t="shared" si="11"/>
        <v>0</v>
      </c>
      <c r="L23" s="443">
        <f t="shared" ca="1" si="12"/>
        <v>0</v>
      </c>
      <c r="M23" s="443">
        <f t="shared" si="13"/>
        <v>0</v>
      </c>
      <c r="N23" s="443">
        <f t="shared" ca="1" si="14"/>
        <v>0</v>
      </c>
      <c r="O23" s="443">
        <f t="shared" si="15"/>
        <v>0</v>
      </c>
      <c r="P23" s="444">
        <f t="shared" si="16"/>
        <v>0</v>
      </c>
      <c r="Q23" s="442">
        <f t="shared" ref="Q23:Q32" ca="1" si="17">SUM(B23:P23)</f>
        <v>7235.7282916304057</v>
      </c>
    </row>
    <row r="24" spans="1:17">
      <c r="A24" s="442" t="s">
        <v>187</v>
      </c>
      <c r="B24" s="443">
        <f t="shared" ca="1" si="2"/>
        <v>217.16879614481465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217.16879614481465</v>
      </c>
    </row>
    <row r="25" spans="1:17">
      <c r="A25" s="442" t="s">
        <v>105</v>
      </c>
      <c r="B25" s="443">
        <f t="shared" ca="1" si="2"/>
        <v>294.38599899069021</v>
      </c>
      <c r="C25" s="443">
        <f t="shared" ca="1" si="3"/>
        <v>0</v>
      </c>
      <c r="D25" s="443">
        <f t="shared" si="4"/>
        <v>18.718181328</v>
      </c>
      <c r="E25" s="443">
        <f t="shared" si="5"/>
        <v>10.357699293241557</v>
      </c>
      <c r="F25" s="443">
        <f t="shared" si="6"/>
        <v>1726.702894897471</v>
      </c>
      <c r="G25" s="443">
        <f t="shared" si="7"/>
        <v>0</v>
      </c>
      <c r="H25" s="443">
        <f t="shared" si="8"/>
        <v>0</v>
      </c>
      <c r="I25" s="443">
        <f t="shared" si="9"/>
        <v>0</v>
      </c>
      <c r="J25" s="443">
        <f t="shared" si="10"/>
        <v>79.615935134334364</v>
      </c>
      <c r="K25" s="443">
        <f t="shared" si="11"/>
        <v>0</v>
      </c>
      <c r="L25" s="443">
        <f t="shared" si="12"/>
        <v>0</v>
      </c>
      <c r="M25" s="443">
        <f t="shared" si="13"/>
        <v>0</v>
      </c>
      <c r="N25" s="443">
        <f t="shared" si="14"/>
        <v>0</v>
      </c>
      <c r="O25" s="443">
        <f t="shared" si="15"/>
        <v>0</v>
      </c>
      <c r="P25" s="444">
        <f t="shared" si="16"/>
        <v>0</v>
      </c>
      <c r="Q25" s="442">
        <f t="shared" ca="1" si="17"/>
        <v>2129.7807096437373</v>
      </c>
    </row>
    <row r="26" spans="1:17">
      <c r="A26" s="442" t="s">
        <v>621</v>
      </c>
      <c r="B26" s="443">
        <f t="shared" ca="1" si="2"/>
        <v>373.45726010924335</v>
      </c>
      <c r="C26" s="443">
        <f t="shared" ca="1" si="3"/>
        <v>0</v>
      </c>
      <c r="D26" s="443">
        <f t="shared" si="4"/>
        <v>349.40028469940006</v>
      </c>
      <c r="E26" s="443">
        <f t="shared" si="5"/>
        <v>87.670726719874281</v>
      </c>
      <c r="F26" s="443">
        <f t="shared" si="6"/>
        <v>294.73286530281746</v>
      </c>
      <c r="G26" s="443">
        <f t="shared" si="7"/>
        <v>0</v>
      </c>
      <c r="H26" s="443">
        <f t="shared" si="8"/>
        <v>0</v>
      </c>
      <c r="I26" s="443">
        <f t="shared" si="9"/>
        <v>0</v>
      </c>
      <c r="J26" s="443">
        <f t="shared" si="10"/>
        <v>0.36571746107462405</v>
      </c>
      <c r="K26" s="443">
        <f t="shared" si="11"/>
        <v>0</v>
      </c>
      <c r="L26" s="443">
        <f t="shared" si="12"/>
        <v>0</v>
      </c>
      <c r="M26" s="443">
        <f t="shared" si="13"/>
        <v>0</v>
      </c>
      <c r="N26" s="443">
        <f t="shared" si="14"/>
        <v>0</v>
      </c>
      <c r="O26" s="443">
        <f t="shared" si="15"/>
        <v>0</v>
      </c>
      <c r="P26" s="444">
        <f t="shared" si="16"/>
        <v>0</v>
      </c>
      <c r="Q26" s="442">
        <f t="shared" ca="1" si="17"/>
        <v>1105.6268542924097</v>
      </c>
    </row>
    <row r="27" spans="1:17" s="448" customFormat="1">
      <c r="A27" s="446" t="s">
        <v>547</v>
      </c>
      <c r="B27" s="746">
        <f t="shared" ca="1" si="2"/>
        <v>6.4733164411389632</v>
      </c>
      <c r="C27" s="447">
        <f t="shared" ca="1" si="3"/>
        <v>0</v>
      </c>
      <c r="D27" s="447">
        <f t="shared" si="4"/>
        <v>12.924754929746785</v>
      </c>
      <c r="E27" s="447">
        <f t="shared" si="5"/>
        <v>25.00480068104779</v>
      </c>
      <c r="F27" s="447">
        <f t="shared" si="6"/>
        <v>0</v>
      </c>
      <c r="G27" s="447">
        <f t="shared" si="7"/>
        <v>11360.52330247086</v>
      </c>
      <c r="H27" s="447">
        <f t="shared" si="8"/>
        <v>2547.1739999692154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13952.100174492007</v>
      </c>
    </row>
    <row r="28" spans="1:17">
      <c r="A28" s="442" t="s">
        <v>537</v>
      </c>
      <c r="B28" s="443">
        <f t="shared" ca="1" si="2"/>
        <v>3.1793000409366243</v>
      </c>
      <c r="C28" s="443">
        <f t="shared" ca="1" si="3"/>
        <v>0</v>
      </c>
      <c r="D28" s="443">
        <f t="shared" si="4"/>
        <v>0</v>
      </c>
      <c r="E28" s="443">
        <f t="shared" si="5"/>
        <v>0</v>
      </c>
      <c r="F28" s="443">
        <f t="shared" si="6"/>
        <v>0</v>
      </c>
      <c r="G28" s="443">
        <f t="shared" si="7"/>
        <v>420.50314448425166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423.68244452518832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153.68986006741673</v>
      </c>
      <c r="C32" s="443">
        <f t="shared" ca="1" si="3"/>
        <v>0</v>
      </c>
      <c r="D32" s="443">
        <f t="shared" si="4"/>
        <v>412.06784970000007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565.75770976741683</v>
      </c>
    </row>
    <row r="33" spans="1:17" s="452" customFormat="1">
      <c r="A33" s="997" t="s">
        <v>541</v>
      </c>
      <c r="B33" s="945">
        <f ca="1">SUM(B22:B32)</f>
        <v>9674.4525185940838</v>
      </c>
      <c r="C33" s="945">
        <f t="shared" ref="C33:Q33" ca="1" si="18">SUM(C22:C32)</f>
        <v>0</v>
      </c>
      <c r="D33" s="945">
        <f t="shared" ca="1" si="18"/>
        <v>17932.298522622954</v>
      </c>
      <c r="E33" s="945">
        <f t="shared" si="18"/>
        <v>497.2196508366315</v>
      </c>
      <c r="F33" s="945">
        <f t="shared" ca="1" si="18"/>
        <v>12396.934720218314</v>
      </c>
      <c r="G33" s="945">
        <f t="shared" si="18"/>
        <v>11781.026446955111</v>
      </c>
      <c r="H33" s="945">
        <f t="shared" si="18"/>
        <v>2547.1739999692154</v>
      </c>
      <c r="I33" s="945">
        <f t="shared" si="18"/>
        <v>0</v>
      </c>
      <c r="J33" s="945">
        <f t="shared" si="18"/>
        <v>141.54315148781441</v>
      </c>
      <c r="K33" s="945">
        <f t="shared" si="18"/>
        <v>0</v>
      </c>
      <c r="L33" s="945">
        <f t="shared" ca="1" si="18"/>
        <v>0</v>
      </c>
      <c r="M33" s="945">
        <f t="shared" si="18"/>
        <v>0</v>
      </c>
      <c r="N33" s="945">
        <f t="shared" ca="1" si="18"/>
        <v>0</v>
      </c>
      <c r="O33" s="945">
        <f t="shared" si="18"/>
        <v>0</v>
      </c>
      <c r="P33" s="945">
        <f t="shared" si="18"/>
        <v>0</v>
      </c>
      <c r="Q33" s="945">
        <f t="shared" ca="1" si="18"/>
        <v>54970.649010684116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7239.6758734953846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7239.6758734953846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0.18963759009063624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0.18963759009063624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0.18963759009063624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0.18963759009063624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7006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1727.19</v>
      </c>
      <c r="C14" s="324"/>
      <c r="D14" s="324"/>
      <c r="E14" s="324"/>
      <c r="F14" s="324"/>
    </row>
    <row r="15" spans="1:6">
      <c r="A15" s="1289" t="s">
        <v>177</v>
      </c>
      <c r="B15" s="1290">
        <v>1835</v>
      </c>
      <c r="C15" s="324"/>
      <c r="D15" s="324"/>
      <c r="E15" s="324"/>
      <c r="F15" s="324"/>
    </row>
    <row r="16" spans="1:6">
      <c r="A16" s="1289" t="s">
        <v>6</v>
      </c>
      <c r="B16" s="1290">
        <v>1714</v>
      </c>
      <c r="C16" s="324"/>
      <c r="D16" s="324"/>
      <c r="E16" s="324"/>
      <c r="F16" s="324"/>
    </row>
    <row r="17" spans="1:6">
      <c r="A17" s="1289" t="s">
        <v>7</v>
      </c>
      <c r="B17" s="1290">
        <v>188</v>
      </c>
      <c r="C17" s="324"/>
      <c r="D17" s="324"/>
      <c r="E17" s="324"/>
      <c r="F17" s="324"/>
    </row>
    <row r="18" spans="1:6">
      <c r="A18" s="1289" t="s">
        <v>8</v>
      </c>
      <c r="B18" s="1290">
        <v>944</v>
      </c>
      <c r="C18" s="324"/>
      <c r="D18" s="324"/>
      <c r="E18" s="324"/>
      <c r="F18" s="324"/>
    </row>
    <row r="19" spans="1:6">
      <c r="A19" s="1289" t="s">
        <v>9</v>
      </c>
      <c r="B19" s="1290">
        <v>942</v>
      </c>
      <c r="C19" s="324"/>
      <c r="D19" s="324"/>
      <c r="E19" s="324"/>
      <c r="F19" s="324"/>
    </row>
    <row r="20" spans="1:6">
      <c r="A20" s="1289" t="s">
        <v>10</v>
      </c>
      <c r="B20" s="1290">
        <v>498</v>
      </c>
      <c r="C20" s="324"/>
      <c r="D20" s="324"/>
      <c r="E20" s="324"/>
      <c r="F20" s="324"/>
    </row>
    <row r="21" spans="1:6">
      <c r="A21" s="1289" t="s">
        <v>11</v>
      </c>
      <c r="B21" s="1290">
        <v>3367</v>
      </c>
      <c r="C21" s="324"/>
      <c r="D21" s="324"/>
      <c r="E21" s="324"/>
      <c r="F21" s="324"/>
    </row>
    <row r="22" spans="1:6">
      <c r="A22" s="1289" t="s">
        <v>12</v>
      </c>
      <c r="B22" s="1290">
        <v>9685</v>
      </c>
      <c r="C22" s="324"/>
      <c r="D22" s="324"/>
      <c r="E22" s="324"/>
      <c r="F22" s="324"/>
    </row>
    <row r="23" spans="1:6">
      <c r="A23" s="1289" t="s">
        <v>13</v>
      </c>
      <c r="B23" s="1290">
        <v>249</v>
      </c>
      <c r="C23" s="324"/>
      <c r="D23" s="324"/>
      <c r="E23" s="324"/>
      <c r="F23" s="324"/>
    </row>
    <row r="24" spans="1:6">
      <c r="A24" s="1289" t="s">
        <v>14</v>
      </c>
      <c r="B24" s="1290">
        <v>10</v>
      </c>
      <c r="C24" s="324"/>
      <c r="D24" s="324"/>
      <c r="E24" s="324"/>
      <c r="F24" s="324"/>
    </row>
    <row r="25" spans="1:6">
      <c r="A25" s="1289" t="s">
        <v>15</v>
      </c>
      <c r="B25" s="1290">
        <v>997</v>
      </c>
      <c r="C25" s="324"/>
      <c r="D25" s="324"/>
      <c r="E25" s="324"/>
      <c r="F25" s="324"/>
    </row>
    <row r="26" spans="1:6">
      <c r="A26" s="1289" t="s">
        <v>16</v>
      </c>
      <c r="B26" s="1290">
        <v>155</v>
      </c>
      <c r="C26" s="324"/>
      <c r="D26" s="324"/>
      <c r="E26" s="324"/>
      <c r="F26" s="324"/>
    </row>
    <row r="27" spans="1:6">
      <c r="A27" s="1289" t="s">
        <v>17</v>
      </c>
      <c r="B27" s="1290">
        <v>4</v>
      </c>
      <c r="C27" s="324"/>
      <c r="D27" s="324"/>
      <c r="E27" s="324"/>
      <c r="F27" s="324"/>
    </row>
    <row r="28" spans="1:6">
      <c r="A28" s="1289" t="s">
        <v>18</v>
      </c>
      <c r="B28" s="1291">
        <v>170698</v>
      </c>
      <c r="C28" s="324"/>
      <c r="D28" s="324"/>
      <c r="E28" s="324"/>
      <c r="F28" s="324"/>
    </row>
    <row r="29" spans="1:6">
      <c r="A29" s="1289" t="s">
        <v>716</v>
      </c>
      <c r="B29" s="1291">
        <v>82</v>
      </c>
      <c r="C29" s="324"/>
      <c r="D29" s="324"/>
      <c r="E29" s="324"/>
      <c r="F29" s="324"/>
    </row>
    <row r="30" spans="1:6">
      <c r="A30" s="1284" t="s">
        <v>717</v>
      </c>
      <c r="B30" s="1292">
        <v>35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58142</v>
      </c>
    </row>
    <row r="39" spans="1:6">
      <c r="A39" s="1289" t="s">
        <v>29</v>
      </c>
      <c r="B39" s="1289" t="s">
        <v>30</v>
      </c>
      <c r="C39" s="1290">
        <v>4729</v>
      </c>
      <c r="D39" s="1290">
        <v>73940488.950000107</v>
      </c>
      <c r="E39" s="1290">
        <v>7040</v>
      </c>
      <c r="F39" s="1290">
        <v>24515506.949999999</v>
      </c>
    </row>
    <row r="40" spans="1:6">
      <c r="A40" s="1289" t="s">
        <v>29</v>
      </c>
      <c r="B40" s="1289" t="s">
        <v>28</v>
      </c>
      <c r="C40" s="1290">
        <v>0</v>
      </c>
      <c r="D40" s="1290">
        <v>0</v>
      </c>
      <c r="E40" s="1290">
        <v>0</v>
      </c>
      <c r="F40" s="1290">
        <v>0</v>
      </c>
    </row>
    <row r="41" spans="1:6">
      <c r="A41" s="1289" t="s">
        <v>31</v>
      </c>
      <c r="B41" s="1289" t="s">
        <v>32</v>
      </c>
      <c r="C41" s="1290">
        <v>61</v>
      </c>
      <c r="D41" s="1290">
        <v>1221671.8</v>
      </c>
      <c r="E41" s="1290">
        <v>134</v>
      </c>
      <c r="F41" s="1290">
        <v>1257596.8500000001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12</v>
      </c>
      <c r="D44" s="1290">
        <v>313184</v>
      </c>
      <c r="E44" s="1290">
        <v>23</v>
      </c>
      <c r="F44" s="1290">
        <v>243319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v>
      </c>
      <c r="D48" s="1290">
        <v>141162</v>
      </c>
      <c r="E48" s="1290">
        <v>3</v>
      </c>
      <c r="F48" s="1290">
        <v>288577</v>
      </c>
    </row>
    <row r="49" spans="1:6">
      <c r="A49" s="1289" t="s">
        <v>31</v>
      </c>
      <c r="B49" s="1289" t="s">
        <v>39</v>
      </c>
      <c r="C49" s="1290">
        <v>3</v>
      </c>
      <c r="D49" s="1290">
        <v>81771</v>
      </c>
      <c r="E49" s="1290">
        <v>7</v>
      </c>
      <c r="F49" s="1290">
        <v>50387</v>
      </c>
    </row>
    <row r="50" spans="1:6">
      <c r="A50" s="1289" t="s">
        <v>31</v>
      </c>
      <c r="B50" s="1289" t="s">
        <v>40</v>
      </c>
      <c r="C50" s="1290">
        <v>5</v>
      </c>
      <c r="D50" s="1290">
        <v>159843.54999999999</v>
      </c>
      <c r="E50" s="1290">
        <v>8</v>
      </c>
      <c r="F50" s="1290">
        <v>129441</v>
      </c>
    </row>
    <row r="51" spans="1:6">
      <c r="A51" s="1289" t="s">
        <v>41</v>
      </c>
      <c r="B51" s="1289" t="s">
        <v>42</v>
      </c>
      <c r="C51" s="1290">
        <v>8</v>
      </c>
      <c r="D51" s="1290">
        <v>102732</v>
      </c>
      <c r="E51" s="1290">
        <v>70</v>
      </c>
      <c r="F51" s="1290">
        <v>1552361</v>
      </c>
    </row>
    <row r="52" spans="1:6">
      <c r="A52" s="1289" t="s">
        <v>41</v>
      </c>
      <c r="B52" s="1289" t="s">
        <v>28</v>
      </c>
      <c r="C52" s="1290">
        <v>0</v>
      </c>
      <c r="D52" s="1290">
        <v>0</v>
      </c>
      <c r="E52" s="1290">
        <v>0</v>
      </c>
      <c r="F52" s="1290">
        <v>0</v>
      </c>
    </row>
    <row r="53" spans="1:6">
      <c r="A53" s="1289" t="s">
        <v>43</v>
      </c>
      <c r="B53" s="1289" t="s">
        <v>44</v>
      </c>
      <c r="C53" s="1290">
        <v>63</v>
      </c>
      <c r="D53" s="1290">
        <v>2039939.85</v>
      </c>
      <c r="E53" s="1290">
        <v>135</v>
      </c>
      <c r="F53" s="1290">
        <v>810439.85</v>
      </c>
    </row>
    <row r="54" spans="1:6">
      <c r="A54" s="1289" t="s">
        <v>45</v>
      </c>
      <c r="B54" s="1289" t="s">
        <v>46</v>
      </c>
      <c r="C54" s="1290">
        <v>0</v>
      </c>
      <c r="D54" s="1290">
        <v>0</v>
      </c>
      <c r="E54" s="1290">
        <v>3</v>
      </c>
      <c r="F54" s="1290">
        <v>1145178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56</v>
      </c>
      <c r="D57" s="1290">
        <v>2008113</v>
      </c>
      <c r="E57" s="1290">
        <v>151</v>
      </c>
      <c r="F57" s="1290">
        <v>2987541.73</v>
      </c>
    </row>
    <row r="58" spans="1:6">
      <c r="A58" s="1289" t="s">
        <v>48</v>
      </c>
      <c r="B58" s="1289" t="s">
        <v>50</v>
      </c>
      <c r="C58" s="1290">
        <v>46</v>
      </c>
      <c r="D58" s="1290">
        <v>3944491.571</v>
      </c>
      <c r="E58" s="1290">
        <v>58</v>
      </c>
      <c r="F58" s="1290">
        <v>1341869.78</v>
      </c>
    </row>
    <row r="59" spans="1:6">
      <c r="A59" s="1289" t="s">
        <v>48</v>
      </c>
      <c r="B59" s="1289" t="s">
        <v>51</v>
      </c>
      <c r="C59" s="1290">
        <v>95</v>
      </c>
      <c r="D59" s="1290">
        <v>3689800</v>
      </c>
      <c r="E59" s="1290">
        <v>178</v>
      </c>
      <c r="F59" s="1290">
        <v>4754935.4000000004</v>
      </c>
    </row>
    <row r="60" spans="1:6">
      <c r="A60" s="1289" t="s">
        <v>48</v>
      </c>
      <c r="B60" s="1289" t="s">
        <v>52</v>
      </c>
      <c r="C60" s="1290">
        <v>40</v>
      </c>
      <c r="D60" s="1290">
        <v>2398764</v>
      </c>
      <c r="E60" s="1290">
        <v>58</v>
      </c>
      <c r="F60" s="1290">
        <v>1802055</v>
      </c>
    </row>
    <row r="61" spans="1:6">
      <c r="A61" s="1289" t="s">
        <v>48</v>
      </c>
      <c r="B61" s="1289" t="s">
        <v>53</v>
      </c>
      <c r="C61" s="1290">
        <v>160</v>
      </c>
      <c r="D61" s="1290">
        <v>4390267.6500000004</v>
      </c>
      <c r="E61" s="1290">
        <v>254</v>
      </c>
      <c r="F61" s="1290">
        <v>2457179.35</v>
      </c>
    </row>
    <row r="62" spans="1:6">
      <c r="A62" s="1289" t="s">
        <v>48</v>
      </c>
      <c r="B62" s="1289" t="s">
        <v>54</v>
      </c>
      <c r="C62" s="1290">
        <v>17</v>
      </c>
      <c r="D62" s="1290">
        <v>3693997.926</v>
      </c>
      <c r="E62" s="1290">
        <v>24</v>
      </c>
      <c r="F62" s="1290">
        <v>1361331.743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3</v>
      </c>
      <c r="D65" s="1290">
        <v>98900</v>
      </c>
      <c r="E65" s="1290">
        <v>0</v>
      </c>
      <c r="F65" s="1290">
        <v>0</v>
      </c>
    </row>
    <row r="66" spans="1:6">
      <c r="A66" s="1289" t="s">
        <v>55</v>
      </c>
      <c r="B66" s="1289" t="s">
        <v>57</v>
      </c>
      <c r="C66" s="1290">
        <v>0</v>
      </c>
      <c r="D66" s="1290">
        <v>0</v>
      </c>
      <c r="E66" s="1290">
        <v>7</v>
      </c>
      <c r="F66" s="1290">
        <v>70684.176000000007</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103607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38406947</v>
      </c>
      <c r="E73" s="441"/>
      <c r="F73" s="324"/>
    </row>
    <row r="74" spans="1:6">
      <c r="A74" s="1289" t="s">
        <v>63</v>
      </c>
      <c r="B74" s="1289" t="s">
        <v>642</v>
      </c>
      <c r="C74" s="1302" t="s">
        <v>644</v>
      </c>
      <c r="D74" s="1290">
        <v>3747986</v>
      </c>
      <c r="E74" s="441"/>
      <c r="F74" s="324"/>
    </row>
    <row r="75" spans="1:6">
      <c r="A75" s="1289" t="s">
        <v>64</v>
      </c>
      <c r="B75" s="1289" t="s">
        <v>641</v>
      </c>
      <c r="C75" s="1302" t="s">
        <v>645</v>
      </c>
      <c r="D75" s="1290">
        <v>23416127</v>
      </c>
      <c r="E75" s="441"/>
      <c r="F75" s="324"/>
    </row>
    <row r="76" spans="1:6">
      <c r="A76" s="1289" t="s">
        <v>64</v>
      </c>
      <c r="B76" s="1289" t="s">
        <v>642</v>
      </c>
      <c r="C76" s="1302" t="s">
        <v>646</v>
      </c>
      <c r="D76" s="1290">
        <v>365794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457584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6266.8591390673701</v>
      </c>
      <c r="C91" s="324"/>
      <c r="D91" s="324"/>
      <c r="E91" s="324"/>
      <c r="F91" s="324"/>
    </row>
    <row r="92" spans="1:6">
      <c r="A92" s="1284" t="s">
        <v>68</v>
      </c>
      <c r="B92" s="1285">
        <v>972.81673442801434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1945</v>
      </c>
      <c r="C97" s="324"/>
      <c r="D97" s="324"/>
      <c r="E97" s="324"/>
      <c r="F97" s="324"/>
    </row>
    <row r="98" spans="1:6">
      <c r="A98" s="1289" t="s">
        <v>71</v>
      </c>
      <c r="B98" s="1290">
        <v>1</v>
      </c>
      <c r="C98" s="324"/>
      <c r="D98" s="324"/>
      <c r="E98" s="324"/>
      <c r="F98" s="324"/>
    </row>
    <row r="99" spans="1:6">
      <c r="A99" s="1289" t="s">
        <v>72</v>
      </c>
      <c r="B99" s="1290">
        <v>82</v>
      </c>
      <c r="C99" s="324"/>
      <c r="D99" s="324"/>
      <c r="E99" s="324"/>
      <c r="F99" s="324"/>
    </row>
    <row r="100" spans="1:6">
      <c r="A100" s="1289" t="s">
        <v>73</v>
      </c>
      <c r="B100" s="1290">
        <v>308</v>
      </c>
      <c r="C100" s="324"/>
      <c r="D100" s="324"/>
      <c r="E100" s="324"/>
      <c r="F100" s="324"/>
    </row>
    <row r="101" spans="1:6">
      <c r="A101" s="1289" t="s">
        <v>74</v>
      </c>
      <c r="B101" s="1290">
        <v>78</v>
      </c>
      <c r="C101" s="324"/>
      <c r="D101" s="324"/>
      <c r="E101" s="324"/>
      <c r="F101" s="324"/>
    </row>
    <row r="102" spans="1:6">
      <c r="A102" s="1289" t="s">
        <v>75</v>
      </c>
      <c r="B102" s="1290">
        <v>67</v>
      </c>
      <c r="C102" s="324"/>
      <c r="D102" s="324"/>
      <c r="E102" s="324"/>
      <c r="F102" s="324"/>
    </row>
    <row r="103" spans="1:6">
      <c r="A103" s="1289" t="s">
        <v>76</v>
      </c>
      <c r="B103" s="1290">
        <v>77</v>
      </c>
      <c r="C103" s="324"/>
      <c r="D103" s="324"/>
      <c r="E103" s="324"/>
      <c r="F103" s="324"/>
    </row>
    <row r="104" spans="1:6">
      <c r="A104" s="1289" t="s">
        <v>77</v>
      </c>
      <c r="B104" s="1290">
        <v>3173</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24</v>
      </c>
      <c r="C123" s="1290">
        <v>15</v>
      </c>
      <c r="D123" s="324"/>
      <c r="E123" s="324"/>
      <c r="F123" s="324"/>
    </row>
    <row r="124" spans="1:6">
      <c r="A124" s="1289" t="s">
        <v>88</v>
      </c>
      <c r="B124" s="1290">
        <v>2</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312</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36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51015.479125052319</v>
      </c>
      <c r="C3" s="43" t="s">
        <v>163</v>
      </c>
      <c r="D3" s="43"/>
      <c r="E3" s="154"/>
      <c r="F3" s="43"/>
      <c r="G3" s="43"/>
      <c r="H3" s="43"/>
      <c r="I3" s="43"/>
      <c r="J3" s="43"/>
      <c r="K3" s="96"/>
    </row>
    <row r="4" spans="1:11">
      <c r="A4" s="350" t="s">
        <v>164</v>
      </c>
      <c r="B4" s="49">
        <f>IF(ISERROR('SEAP template'!B78+'SEAP template'!C78),0,'SEAP template'!B78+'SEAP template'!C78)</f>
        <v>7239.6758734953846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0.18963759009063624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1145.1780000000001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1145.1780000000001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0.18963759009063624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217.16879614481465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24515.506949999999</v>
      </c>
      <c r="C5" s="17">
        <f>IF(ISERROR('Eigen informatie GS &amp; warmtenet'!B57),0,'Eigen informatie GS &amp; warmtenet'!B57)</f>
        <v>0</v>
      </c>
      <c r="D5" s="30">
        <f>(SUM(HH_hh_gas_kWh,HH_rest_gas_kWh)/1000)*0.902</f>
        <v>66694.321032900087</v>
      </c>
      <c r="E5" s="17">
        <f>B32*B41</f>
        <v>1425.931534765595</v>
      </c>
      <c r="F5" s="17">
        <f>B36*B45</f>
        <v>36126.713325722805</v>
      </c>
      <c r="G5" s="18"/>
      <c r="H5" s="17"/>
      <c r="I5" s="17"/>
      <c r="J5" s="17">
        <f>B35*B44+C35*C44</f>
        <v>173.83769142396497</v>
      </c>
      <c r="K5" s="17"/>
      <c r="L5" s="17"/>
      <c r="M5" s="17"/>
      <c r="N5" s="17">
        <f>B34*B43+C34*C43</f>
        <v>10116.379454195927</v>
      </c>
      <c r="O5" s="17">
        <f>B52*B53*B54</f>
        <v>512.77333333333343</v>
      </c>
      <c r="P5" s="17">
        <f>B60*B61*B62/1000-B60*B61*B62/1000/B63</f>
        <v>1182.1333333333332</v>
      </c>
    </row>
    <row r="6" spans="1:16">
      <c r="A6" s="16" t="s">
        <v>607</v>
      </c>
      <c r="B6" s="754">
        <f>kWh_PV_kleiner_dan_10kW</f>
        <v>6266.8591390673701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30782.366089067371</v>
      </c>
      <c r="C8" s="21">
        <f>C5</f>
        <v>0</v>
      </c>
      <c r="D8" s="21">
        <f>D5</f>
        <v>66694.321032900087</v>
      </c>
      <c r="E8" s="21">
        <f>E5</f>
        <v>1425.931534765595</v>
      </c>
      <c r="F8" s="21">
        <f>F5</f>
        <v>36126.713325722805</v>
      </c>
      <c r="G8" s="21"/>
      <c r="H8" s="21"/>
      <c r="I8" s="21"/>
      <c r="J8" s="21">
        <f>J5</f>
        <v>173.83769142396497</v>
      </c>
      <c r="K8" s="21"/>
      <c r="L8" s="21">
        <f>L5</f>
        <v>0</v>
      </c>
      <c r="M8" s="21">
        <f>M5</f>
        <v>0</v>
      </c>
      <c r="N8" s="21">
        <f>N5</f>
        <v>10116.379454195927</v>
      </c>
      <c r="O8" s="21">
        <f>O5</f>
        <v>512.77333333333343</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0.18963759009063624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5837.4937224184596</v>
      </c>
      <c r="C12" s="23">
        <f ca="1">C10*C8</f>
        <v>0</v>
      </c>
      <c r="D12" s="23">
        <f>D8*D10</f>
        <v>13472.252848645818</v>
      </c>
      <c r="E12" s="23">
        <f>E10*E8</f>
        <v>323.68645839179004</v>
      </c>
      <c r="F12" s="23">
        <f>F10*F8</f>
        <v>9645.8324579679902</v>
      </c>
      <c r="G12" s="23"/>
      <c r="H12" s="23"/>
      <c r="I12" s="23"/>
      <c r="J12" s="23">
        <f>J10*J8</f>
        <v>61.538542764083594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7006</v>
      </c>
      <c r="C26" s="36"/>
      <c r="D26" s="225"/>
    </row>
    <row r="27" spans="1:5" s="15" customFormat="1">
      <c r="A27" s="227" t="s">
        <v>762</v>
      </c>
      <c r="B27" s="37">
        <f>SUM(HH_hh_gas_aantal,HH_rest_gas_aantal)</f>
        <v>4729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4492.55</v>
      </c>
      <c r="C31" s="34" t="s">
        <v>104</v>
      </c>
      <c r="D31" s="171"/>
    </row>
    <row r="32" spans="1:5">
      <c r="A32" s="168" t="s">
        <v>72</v>
      </c>
      <c r="B32" s="33">
        <f>IF((B21*($B$26-($B$27-0.05*$B$27)-$B$60))&lt;0,0,B21*($B$26-($B$27-0.05*$B$27)-$B$60))</f>
        <v>26.967161750235533</v>
      </c>
      <c r="C32" s="34" t="s">
        <v>104</v>
      </c>
      <c r="D32" s="171"/>
    </row>
    <row r="33" spans="1:6">
      <c r="A33" s="168" t="s">
        <v>73</v>
      </c>
      <c r="B33" s="33">
        <f>IF((B22*($B$26-($B$27-0.05*$B$27)-$B$60))&lt;0,0,B22*($B$26-($B$27-0.05*$B$27)-$B$60))</f>
        <v>560.66993898149531</v>
      </c>
      <c r="C33" s="34" t="s">
        <v>104</v>
      </c>
      <c r="D33" s="171"/>
    </row>
    <row r="34" spans="1:6">
      <c r="A34" s="168" t="s">
        <v>74</v>
      </c>
      <c r="B34" s="33">
        <f>IF((B24*($B$26-($B$27-0.05*$B$27)-$B$60))&lt;0,0,B24*($B$26-($B$27-0.05*$B$27)-$B$60))</f>
        <v>111.49731941336405</v>
      </c>
      <c r="C34" s="33">
        <f>B26*C24</f>
        <v>1434.0970382329713</v>
      </c>
      <c r="D34" s="230"/>
    </row>
    <row r="35" spans="1:6">
      <c r="A35" s="168" t="s">
        <v>76</v>
      </c>
      <c r="B35" s="33">
        <f>IF((B19*($B$26-($B$27-0.05*$B$27)-$B$60))&lt;0,0,B19*($B$26-($B$27-0.05*$B$27)-$B$60))</f>
        <v>20.411233557606909</v>
      </c>
      <c r="C35" s="33">
        <f>B35/2</f>
        <v>10.205616778803455</v>
      </c>
      <c r="D35" s="230"/>
    </row>
    <row r="36" spans="1:6">
      <c r="A36" s="168" t="s">
        <v>77</v>
      </c>
      <c r="B36" s="33">
        <f>IF((B18*($B$26-($B$27-0.05*$B$27)-$B$60))&lt;0,0,B18*($B$26-($B$27-0.05*$B$27)-$B$60))</f>
        <v>1731.9043462972982</v>
      </c>
      <c r="C36" s="34" t="s">
        <v>104</v>
      </c>
      <c r="D36" s="171"/>
    </row>
    <row r="37" spans="1:6">
      <c r="A37" s="168" t="s">
        <v>78</v>
      </c>
      <c r="B37" s="33">
        <f>B60</f>
        <v>62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328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14704.913003000003</v>
      </c>
      <c r="C5" s="17">
        <f>IF(ISERROR('Eigen informatie GS &amp; warmtenet'!B58),0,'Eigen informatie GS &amp; warmtenet'!B58)</f>
        <v>0</v>
      </c>
      <c r="D5" s="30">
        <f>SUM(D6:D12)</f>
        <v>18153.141600594001</v>
      </c>
      <c r="E5" s="17">
        <f>SUM(E6:E12)</f>
        <v>222.46680947435161</v>
      </c>
      <c r="F5" s="17">
        <f>SUM(F6:F12)</f>
        <v>2732.8333410113664</v>
      </c>
      <c r="G5" s="18"/>
      <c r="H5" s="17"/>
      <c r="I5" s="17"/>
      <c r="J5" s="17">
        <f>SUM(J6:J12)</f>
        <v>6.4847820118077659E-2</v>
      </c>
      <c r="K5" s="17"/>
      <c r="L5" s="17"/>
      <c r="M5" s="17"/>
      <c r="N5" s="17">
        <f>SUM(N6:N12)</f>
        <v>2570.989053655363</v>
      </c>
      <c r="O5" s="17">
        <f>B38*B39*B40</f>
        <v>0</v>
      </c>
      <c r="P5" s="17">
        <f>B46*B47*B48/1000-B46*B47*B48/1000/B49</f>
        <v>19.066666666666666</v>
      </c>
      <c r="R5" s="32"/>
    </row>
    <row r="6" spans="1:18">
      <c r="A6" s="32" t="s">
        <v>53</v>
      </c>
      <c r="B6" s="37">
        <f>B26</f>
        <v>2457.1793499999999</v>
      </c>
      <c r="C6" s="33"/>
      <c r="D6" s="37">
        <f>IF(ISERROR(TER_kantoor_gas_kWh/1000),0,TER_kantoor_gas_kWh/1000)*0.902</f>
        <v>3960.0214203000005</v>
      </c>
      <c r="E6" s="33">
        <f>$C$26*'E Balans VL '!I12/100/3.6*1000000</f>
        <v>1.5400782920751485E-2</v>
      </c>
      <c r="F6" s="33">
        <f>$C$26*('E Balans VL '!L12+'E Balans VL '!N12)/100/3.6*1000000</f>
        <v>369.24539616558513</v>
      </c>
      <c r="G6" s="34"/>
      <c r="H6" s="33"/>
      <c r="I6" s="33"/>
      <c r="J6" s="33">
        <f>$C$26*('E Balans VL '!D12+'E Balans VL '!E12)/100/3.6*1000000</f>
        <v>0</v>
      </c>
      <c r="K6" s="33"/>
      <c r="L6" s="33"/>
      <c r="M6" s="33"/>
      <c r="N6" s="33">
        <f>$C$26*'E Balans VL '!Y12/100/3.6*1000000</f>
        <v>2.3499277314547165</v>
      </c>
      <c r="O6" s="33"/>
      <c r="P6" s="33"/>
      <c r="R6" s="32"/>
    </row>
    <row r="7" spans="1:18">
      <c r="A7" s="32" t="s">
        <v>52</v>
      </c>
      <c r="B7" s="37">
        <f t="shared" ref="B7:B12" si="0">B27</f>
        <v>1802.0550000000001</v>
      </c>
      <c r="C7" s="33"/>
      <c r="D7" s="37">
        <f>IF(ISERROR(TER_horeca_gas_kWh/1000),0,TER_horeca_gas_kWh/1000)*0.902</f>
        <v>2163.6851280000001</v>
      </c>
      <c r="E7" s="33">
        <f>$C$27*'E Balans VL '!I9/100/3.6*1000000</f>
        <v>25.80512743493794</v>
      </c>
      <c r="F7" s="33">
        <f>$C$27*('E Balans VL '!L9+'E Balans VL '!N9)/100/3.6*1000000</f>
        <v>228.19959706364861</v>
      </c>
      <c r="G7" s="34"/>
      <c r="H7" s="33"/>
      <c r="I7" s="33"/>
      <c r="J7" s="33">
        <f>$C$27*('E Balans VL '!D9+'E Balans VL '!E9)/100/3.6*1000000</f>
        <v>0</v>
      </c>
      <c r="K7" s="33"/>
      <c r="L7" s="33"/>
      <c r="M7" s="33"/>
      <c r="N7" s="33">
        <f>$C$27*'E Balans VL '!Y9/100/3.6*1000000</f>
        <v>0.51805108059782312</v>
      </c>
      <c r="O7" s="33"/>
      <c r="P7" s="33"/>
      <c r="R7" s="32"/>
    </row>
    <row r="8" spans="1:18">
      <c r="A8" s="6" t="s">
        <v>51</v>
      </c>
      <c r="B8" s="37">
        <f t="shared" si="0"/>
        <v>4754.9354000000003</v>
      </c>
      <c r="C8" s="33"/>
      <c r="D8" s="37">
        <f>IF(ISERROR(TER_handel_gas_kWh/1000),0,TER_handel_gas_kWh/1000)*0.902</f>
        <v>3328.1996000000004</v>
      </c>
      <c r="E8" s="33">
        <f>$C$28*'E Balans VL '!I13/100/3.6*1000000</f>
        <v>172.46092060563601</v>
      </c>
      <c r="F8" s="33">
        <f>$C$28*('E Balans VL '!L13+'E Balans VL '!N13)/100/3.6*1000000</f>
        <v>915.84870482200188</v>
      </c>
      <c r="G8" s="34"/>
      <c r="H8" s="33"/>
      <c r="I8" s="33"/>
      <c r="J8" s="33">
        <f>$C$28*('E Balans VL '!D13+'E Balans VL '!E13)/100/3.6*1000000</f>
        <v>0</v>
      </c>
      <c r="K8" s="33"/>
      <c r="L8" s="33"/>
      <c r="M8" s="33"/>
      <c r="N8" s="33">
        <f>$C$28*'E Balans VL '!Y13/100/3.6*1000000</f>
        <v>6.5866795908418458</v>
      </c>
      <c r="O8" s="33"/>
      <c r="P8" s="33"/>
      <c r="R8" s="32"/>
    </row>
    <row r="9" spans="1:18">
      <c r="A9" s="32" t="s">
        <v>50</v>
      </c>
      <c r="B9" s="37">
        <f t="shared" si="0"/>
        <v>1341.86978</v>
      </c>
      <c r="C9" s="33"/>
      <c r="D9" s="37">
        <f>IF(ISERROR(TER_gezond_gas_kWh/1000),0,TER_gezond_gas_kWh/1000)*0.902</f>
        <v>3557.9313970420003</v>
      </c>
      <c r="E9" s="33">
        <f>$C$29*'E Balans VL '!I10/100/3.6*1000000</f>
        <v>8.4014296798584825E-2</v>
      </c>
      <c r="F9" s="33">
        <f>$C$29*('E Balans VL '!L10+'E Balans VL '!N10)/100/3.6*1000000</f>
        <v>199.33884142338769</v>
      </c>
      <c r="G9" s="34"/>
      <c r="H9" s="33"/>
      <c r="I9" s="33"/>
      <c r="J9" s="33">
        <f>$C$29*('E Balans VL '!D10+'E Balans VL '!E10)/100/3.6*1000000</f>
        <v>0</v>
      </c>
      <c r="K9" s="33"/>
      <c r="L9" s="33"/>
      <c r="M9" s="33"/>
      <c r="N9" s="33">
        <f>$C$29*'E Balans VL '!Y10/100/3.6*1000000</f>
        <v>20.756171236405848</v>
      </c>
      <c r="O9" s="33"/>
      <c r="P9" s="33"/>
      <c r="R9" s="32"/>
    </row>
    <row r="10" spans="1:18">
      <c r="A10" s="32" t="s">
        <v>49</v>
      </c>
      <c r="B10" s="37">
        <f t="shared" si="0"/>
        <v>2987.5417299999999</v>
      </c>
      <c r="C10" s="33"/>
      <c r="D10" s="37">
        <f>IF(ISERROR(TER_ander_gas_kWh/1000),0,TER_ander_gas_kWh/1000)*0.902</f>
        <v>1811.3179260000002</v>
      </c>
      <c r="E10" s="33">
        <f>$C$30*'E Balans VL '!I14/100/3.6*1000000</f>
        <v>3.5610429854572834</v>
      </c>
      <c r="F10" s="33">
        <f>$C$30*('E Balans VL '!L14+'E Balans VL '!N14)/100/3.6*1000000</f>
        <v>781.67373224155551</v>
      </c>
      <c r="G10" s="34"/>
      <c r="H10" s="33"/>
      <c r="I10" s="33"/>
      <c r="J10" s="33">
        <f>$C$30*('E Balans VL '!D14+'E Balans VL '!E14)/100/3.6*1000000</f>
        <v>6.4847820118077659E-2</v>
      </c>
      <c r="K10" s="33"/>
      <c r="L10" s="33"/>
      <c r="M10" s="33"/>
      <c r="N10" s="33">
        <f>$C$30*'E Balans VL '!Y14/100/3.6*1000000</f>
        <v>2536.9473329988805</v>
      </c>
      <c r="O10" s="33"/>
      <c r="P10" s="33"/>
      <c r="R10" s="32"/>
    </row>
    <row r="11" spans="1:18">
      <c r="A11" s="32" t="s">
        <v>54</v>
      </c>
      <c r="B11" s="37">
        <f t="shared" si="0"/>
        <v>1361.331743</v>
      </c>
      <c r="C11" s="33"/>
      <c r="D11" s="37">
        <f>IF(ISERROR(TER_onderwijs_gas_kWh/1000),0,TER_onderwijs_gas_kWh/1000)*0.902</f>
        <v>3331.986129252</v>
      </c>
      <c r="E11" s="33">
        <f>$C$31*'E Balans VL '!I11/100/3.6*1000000</f>
        <v>20.540303368601069</v>
      </c>
      <c r="F11" s="33">
        <f>$C$31*('E Balans VL '!L11+'E Balans VL '!N11)/100/3.6*1000000</f>
        <v>238.5270692951878</v>
      </c>
      <c r="G11" s="34"/>
      <c r="H11" s="33"/>
      <c r="I11" s="33"/>
      <c r="J11" s="33">
        <f>$C$31*('E Balans VL '!D11+'E Balans VL '!E11)/100/3.6*1000000</f>
        <v>0</v>
      </c>
      <c r="K11" s="33"/>
      <c r="L11" s="33"/>
      <c r="M11" s="33"/>
      <c r="N11" s="33">
        <f>$C$31*'E Balans VL '!Y11/100/3.6*1000000</f>
        <v>3.8308910171822865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14704.913003000003</v>
      </c>
      <c r="C16" s="21">
        <f t="shared" ca="1" si="1"/>
        <v>0</v>
      </c>
      <c r="D16" s="21">
        <f t="shared" ca="1" si="1"/>
        <v>18153.141600594001</v>
      </c>
      <c r="E16" s="21">
        <f t="shared" si="1"/>
        <v>222.46680947435161</v>
      </c>
      <c r="F16" s="21">
        <f t="shared" ca="1" si="1"/>
        <v>2732.8333410113664</v>
      </c>
      <c r="G16" s="21">
        <f t="shared" si="1"/>
        <v>0</v>
      </c>
      <c r="H16" s="21">
        <f t="shared" si="1"/>
        <v>0</v>
      </c>
      <c r="I16" s="21">
        <f t="shared" si="1"/>
        <v>0</v>
      </c>
      <c r="J16" s="21">
        <f t="shared" si="1"/>
        <v>6.4847820118077659E-2</v>
      </c>
      <c r="K16" s="21">
        <f t="shared" si="1"/>
        <v>0</v>
      </c>
      <c r="L16" s="21">
        <f t="shared" ca="1" si="1"/>
        <v>0</v>
      </c>
      <c r="M16" s="21">
        <f t="shared" si="1"/>
        <v>0</v>
      </c>
      <c r="N16" s="21">
        <f t="shared" ca="1" si="1"/>
        <v>2570.989053655363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0.18963759009063624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2788.6042643813817</v>
      </c>
      <c r="C20" s="23">
        <f t="shared" ref="C20:P20" ca="1" si="2">C16*C18</f>
        <v>0</v>
      </c>
      <c r="D20" s="23">
        <f t="shared" ca="1" si="2"/>
        <v>3666.9346033199886</v>
      </c>
      <c r="E20" s="23">
        <f t="shared" si="2"/>
        <v>50.499965750677816</v>
      </c>
      <c r="F20" s="23">
        <f t="shared" ca="1" si="2"/>
        <v>729.66650205003486</v>
      </c>
      <c r="G20" s="23">
        <f t="shared" si="2"/>
        <v>0</v>
      </c>
      <c r="H20" s="23">
        <f t="shared" si="2"/>
        <v>0</v>
      </c>
      <c r="I20" s="23">
        <f t="shared" si="2"/>
        <v>0</v>
      </c>
      <c r="J20" s="23">
        <f t="shared" si="2"/>
        <v>2.2956128321799489E-2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2457.1793499999999</v>
      </c>
      <c r="C26" s="39">
        <f>IF(ISERROR(B26*3.6/1000000/'E Balans VL '!Z12*100),0,B26*3.6/1000000/'E Balans VL '!Z12*100)</f>
        <v>5.194087897249372E-2</v>
      </c>
      <c r="D26" s="233" t="s">
        <v>726</v>
      </c>
      <c r="F26" s="6"/>
    </row>
    <row r="27" spans="1:18">
      <c r="A27" s="228" t="s">
        <v>52</v>
      </c>
      <c r="B27" s="33">
        <f>IF(ISERROR(TER_horeca_ele_kWh/1000),0,TER_horeca_ele_kWh/1000)</f>
        <v>1802.0550000000001</v>
      </c>
      <c r="C27" s="39">
        <f>IF(ISERROR(B27*3.6/1000000/'E Balans VL '!Z9*100),0,B27*3.6/1000000/'E Balans VL '!Z9*100)</f>
        <v>0.14205532398981199</v>
      </c>
      <c r="D27" s="233" t="s">
        <v>726</v>
      </c>
      <c r="F27" s="6"/>
    </row>
    <row r="28" spans="1:18">
      <c r="A28" s="168" t="s">
        <v>51</v>
      </c>
      <c r="B28" s="33">
        <f>IF(ISERROR(TER_handel_ele_kWh/1000),0,TER_handel_ele_kWh/1000)</f>
        <v>4754.9354000000003</v>
      </c>
      <c r="C28" s="39">
        <f>IF(ISERROR(B28*3.6/1000000/'E Balans VL '!Z13*100),0,B28*3.6/1000000/'E Balans VL '!Z13*100)</f>
        <v>0.13800743739984819</v>
      </c>
      <c r="D28" s="233" t="s">
        <v>726</v>
      </c>
      <c r="F28" s="6"/>
    </row>
    <row r="29" spans="1:18">
      <c r="A29" s="228" t="s">
        <v>50</v>
      </c>
      <c r="B29" s="33">
        <f>IF(ISERROR(TER_gezond_ele_kWh/1000),0,TER_gezond_ele_kWh/1000)</f>
        <v>1341.86978</v>
      </c>
      <c r="C29" s="39">
        <f>IF(ISERROR(B29*3.6/1000000/'E Balans VL '!Z10*100),0,B29*3.6/1000000/'E Balans VL '!Z10*100)</f>
        <v>0.14132092191740223</v>
      </c>
      <c r="D29" s="233" t="s">
        <v>726</v>
      </c>
      <c r="F29" s="6"/>
    </row>
    <row r="30" spans="1:18">
      <c r="A30" s="228" t="s">
        <v>49</v>
      </c>
      <c r="B30" s="33">
        <f>IF(ISERROR(TER_ander_ele_kWh/1000),0,TER_ander_ele_kWh/1000)</f>
        <v>2987.5417299999999</v>
      </c>
      <c r="C30" s="39">
        <f>IF(ISERROR(B30*3.6/1000000/'E Balans VL '!Z14*100),0,B30*3.6/1000000/'E Balans VL '!Z14*100)</f>
        <v>0.22036172689563596</v>
      </c>
      <c r="D30" s="233" t="s">
        <v>726</v>
      </c>
      <c r="F30" s="6"/>
    </row>
    <row r="31" spans="1:18">
      <c r="A31" s="228" t="s">
        <v>54</v>
      </c>
      <c r="B31" s="33">
        <f>IF(ISERROR(TER_onderwijs_ele_kWh/1000),0,TER_onderwijs_ele_kWh/1000)</f>
        <v>1361.331743</v>
      </c>
      <c r="C31" s="39">
        <f>IF(ISERROR(B31*3.6/1000000/'E Balans VL '!Z11*100),0,B31*3.6/1000000/'E Balans VL '!Z11*100)</f>
        <v>0.33808244032120244</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1969.3208500000001</v>
      </c>
      <c r="C5" s="17">
        <f>IF(ISERROR('Eigen informatie GS &amp; warmtenet'!B59),0,'Eigen informatie GS &amp; warmtenet'!B59)</f>
        <v>0</v>
      </c>
      <c r="D5" s="30">
        <f>SUM(D6:D15)</f>
        <v>1729.7043797000001</v>
      </c>
      <c r="E5" s="17">
        <f>SUM(E6:E15)</f>
        <v>386.21465515363121</v>
      </c>
      <c r="F5" s="17">
        <f>SUM(F6:F15)</f>
        <v>1103.8684093738482</v>
      </c>
      <c r="G5" s="18"/>
      <c r="H5" s="17"/>
      <c r="I5" s="17"/>
      <c r="J5" s="17">
        <f>SUM(J6:J15)</f>
        <v>1.0331001725271867</v>
      </c>
      <c r="K5" s="17"/>
      <c r="L5" s="17"/>
      <c r="M5" s="17"/>
      <c r="N5" s="17">
        <f>SUM(N6:N15)</f>
        <v>134.08379217502832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243.31899999999999</v>
      </c>
      <c r="C8" s="33"/>
      <c r="D8" s="37">
        <f>IF( ISERROR(IND_metaal_Gas_kWH/1000),0,IND_metaal_Gas_kWH/1000)*0.902</f>
        <v>282.49196800000004</v>
      </c>
      <c r="E8" s="33">
        <f>C30*'E Balans VL '!I18/100/3.6*1000000</f>
        <v>2.2370832052749461</v>
      </c>
      <c r="F8" s="33">
        <f>C30*'E Balans VL '!L18/100/3.6*1000000+C30*'E Balans VL '!N18/100/3.6*1000000</f>
        <v>22.815221290478799</v>
      </c>
      <c r="G8" s="34"/>
      <c r="H8" s="33"/>
      <c r="I8" s="33"/>
      <c r="J8" s="40">
        <f>C30*'E Balans VL '!D18/100/3.6*1000000+C30*'E Balans VL '!E18/100/3.6*1000000</f>
        <v>0</v>
      </c>
      <c r="K8" s="33"/>
      <c r="L8" s="33"/>
      <c r="M8" s="33"/>
      <c r="N8" s="33">
        <f>C30*'E Balans VL '!Y18/100/3.6*1000000</f>
        <v>3.4713476365804188</v>
      </c>
      <c r="O8" s="33"/>
      <c r="P8" s="33"/>
      <c r="R8" s="32"/>
    </row>
    <row r="9" spans="1:18">
      <c r="A9" s="6" t="s">
        <v>32</v>
      </c>
      <c r="B9" s="37">
        <f t="shared" si="0"/>
        <v>1257.5968500000001</v>
      </c>
      <c r="C9" s="33"/>
      <c r="D9" s="37">
        <f>IF( ISERROR(IND_andere_gas_kWh/1000),0,IND_andere_gas_kWh/1000)*0.902</f>
        <v>1101.9479636000001</v>
      </c>
      <c r="E9" s="33">
        <f>C31*'E Balans VL '!I19/100/3.6*1000000</f>
        <v>367.62004177797263</v>
      </c>
      <c r="F9" s="33">
        <f>C31*'E Balans VL '!L19/100/3.6*1000000+C31*'E Balans VL '!N19/100/3.6*1000000</f>
        <v>1010.5742603098016</v>
      </c>
      <c r="G9" s="34"/>
      <c r="H9" s="33"/>
      <c r="I9" s="33"/>
      <c r="J9" s="40">
        <f>C31*'E Balans VL '!D19/100/3.6*1000000+C31*'E Balans VL '!E19/100/3.6*1000000</f>
        <v>0</v>
      </c>
      <c r="K9" s="33"/>
      <c r="L9" s="33"/>
      <c r="M9" s="33"/>
      <c r="N9" s="33">
        <f>C31*'E Balans VL '!Y19/100/3.6*1000000</f>
        <v>98.644188885107155</v>
      </c>
      <c r="O9" s="33"/>
      <c r="P9" s="33"/>
      <c r="R9" s="32"/>
    </row>
    <row r="10" spans="1:18">
      <c r="A10" s="6" t="s">
        <v>40</v>
      </c>
      <c r="B10" s="37">
        <f t="shared" si="0"/>
        <v>129.441</v>
      </c>
      <c r="C10" s="33"/>
      <c r="D10" s="37">
        <f>IF( ISERROR(IND_voed_gas_kWh/1000),0,IND_voed_gas_kWh/1000)*0.902</f>
        <v>144.17888210000001</v>
      </c>
      <c r="E10" s="33">
        <f>C32*'E Balans VL '!I20/100/3.6*1000000</f>
        <v>0.27383444250647571</v>
      </c>
      <c r="F10" s="33">
        <f>C32*'E Balans VL '!L20/100/3.6*1000000+C32*'E Balans VL '!N20/100/3.6*1000000</f>
        <v>8.2299910001042047</v>
      </c>
      <c r="G10" s="34"/>
      <c r="H10" s="33"/>
      <c r="I10" s="33"/>
      <c r="J10" s="40">
        <f>C32*'E Balans VL '!D20/100/3.6*1000000+C32*'E Balans VL '!E20/100/3.6*1000000</f>
        <v>0</v>
      </c>
      <c r="K10" s="33"/>
      <c r="L10" s="33"/>
      <c r="M10" s="33"/>
      <c r="N10" s="33">
        <f>C32*'E Balans VL '!Y20/100/3.6*1000000</f>
        <v>8.9327063549996346</v>
      </c>
      <c r="O10" s="33"/>
      <c r="P10" s="33"/>
      <c r="R10" s="32"/>
    </row>
    <row r="11" spans="1:18">
      <c r="A11" s="6" t="s">
        <v>39</v>
      </c>
      <c r="B11" s="37">
        <f t="shared" si="0"/>
        <v>50.387</v>
      </c>
      <c r="C11" s="33"/>
      <c r="D11" s="37">
        <f>IF( ISERROR(IND_textiel_gas_kWh/1000),0,IND_textiel_gas_kWh/1000)*0.902</f>
        <v>73.757441999999998</v>
      </c>
      <c r="E11" s="33">
        <f>C33*'E Balans VL '!I21/100/3.6*1000000</f>
        <v>0.14964504580546084</v>
      </c>
      <c r="F11" s="33">
        <f>C33*'E Balans VL '!L21/100/3.6*1000000+C33*'E Balans VL '!N21/100/3.6*1000000</f>
        <v>5.0904703305737753</v>
      </c>
      <c r="G11" s="34"/>
      <c r="H11" s="33"/>
      <c r="I11" s="33"/>
      <c r="J11" s="40">
        <f>C33*'E Balans VL '!D21/100/3.6*1000000+C33*'E Balans VL '!E21/100/3.6*1000000</f>
        <v>0</v>
      </c>
      <c r="K11" s="33"/>
      <c r="L11" s="33"/>
      <c r="M11" s="33"/>
      <c r="N11" s="33">
        <f>C33*'E Balans VL '!Y21/100/3.6*1000000</f>
        <v>2.779003852766659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288.577</v>
      </c>
      <c r="C15" s="33"/>
      <c r="D15" s="37">
        <f>IF( ISERROR(IND_rest_gas_kWh/1000),0,IND_rest_gas_kWh/1000)*0.902</f>
        <v>127.328124</v>
      </c>
      <c r="E15" s="33">
        <f>C37*'E Balans VL '!I15/100/3.6*1000000</f>
        <v>15.934050682071689</v>
      </c>
      <c r="F15" s="33">
        <f>C37*'E Balans VL '!L15/100/3.6*1000000+C37*'E Balans VL '!N15/100/3.6*1000000</f>
        <v>57.158466442889988</v>
      </c>
      <c r="G15" s="34"/>
      <c r="H15" s="33"/>
      <c r="I15" s="33"/>
      <c r="J15" s="40">
        <f>C37*'E Balans VL '!D15/100/3.6*1000000+C37*'E Balans VL '!E15/100/3.6*1000000</f>
        <v>1.0331001725271867</v>
      </c>
      <c r="K15" s="33"/>
      <c r="L15" s="33"/>
      <c r="M15" s="33"/>
      <c r="N15" s="33">
        <f>C37*'E Balans VL '!Y15/100/3.6*1000000</f>
        <v>20.256545445574453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1969.3208500000001</v>
      </c>
      <c r="C18" s="21">
        <f>C5+C16</f>
        <v>0</v>
      </c>
      <c r="D18" s="21">
        <f>MAX((D5+D16),0)</f>
        <v>1729.7043797000001</v>
      </c>
      <c r="E18" s="21">
        <f>MAX((E5+E16),0)</f>
        <v>386.21465515363121</v>
      </c>
      <c r="F18" s="21">
        <f>MAX((F5+F16),0)</f>
        <v>1103.8684093738482</v>
      </c>
      <c r="G18" s="21"/>
      <c r="H18" s="21"/>
      <c r="I18" s="21"/>
      <c r="J18" s="21">
        <f>MAX((J5+J16),0)</f>
        <v>1.0331001725271867</v>
      </c>
      <c r="K18" s="21"/>
      <c r="L18" s="21">
        <f>MAX((L5+L16),0)</f>
        <v>0</v>
      </c>
      <c r="M18" s="21"/>
      <c r="N18" s="21">
        <f>MAX((N5+N16),0)</f>
        <v>134.08379217502832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0.18963759009063624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373.45726010924335</v>
      </c>
      <c r="C22" s="23">
        <f ca="1">C18*C20</f>
        <v>0</v>
      </c>
      <c r="D22" s="23">
        <f>D18*D20</f>
        <v>349.40028469940006</v>
      </c>
      <c r="E22" s="23">
        <f>E18*E20</f>
        <v>87.670726719874281</v>
      </c>
      <c r="F22" s="23">
        <f>F18*F20</f>
        <v>294.73286530281746</v>
      </c>
      <c r="G22" s="23"/>
      <c r="H22" s="23"/>
      <c r="I22" s="23"/>
      <c r="J22" s="23">
        <f>J18*J20</f>
        <v>0.36571746107462405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243.31899999999999</v>
      </c>
      <c r="C30" s="39">
        <f>IF(ISERROR(B30*3.6/1000000/'E Balans VL '!Z18*100),0,B30*3.6/1000000/'E Balans VL '!Z18*100)</f>
        <v>1.3789511640722781E-2</v>
      </c>
      <c r="D30" s="233" t="s">
        <v>726</v>
      </c>
    </row>
    <row r="31" spans="1:18">
      <c r="A31" s="6" t="s">
        <v>32</v>
      </c>
      <c r="B31" s="37">
        <f>IF( ISERROR(IND_ander_ele_kWh/1000),0,IND_ander_ele_kWh/1000)</f>
        <v>1257.5968500000001</v>
      </c>
      <c r="C31" s="39">
        <f>IF(ISERROR(B31*3.6/1000000/'E Balans VL '!Z19*100),0,B31*3.6/1000000/'E Balans VL '!Z19*100)</f>
        <v>5.7039356573857024E-2</v>
      </c>
      <c r="D31" s="233" t="s">
        <v>726</v>
      </c>
    </row>
    <row r="32" spans="1:18">
      <c r="A32" s="168" t="s">
        <v>40</v>
      </c>
      <c r="B32" s="37">
        <f>IF( ISERROR(IND_voed_ele_kWh/1000),0,IND_voed_ele_kWh/1000)</f>
        <v>129.441</v>
      </c>
      <c r="C32" s="39">
        <f>IF(ISERROR(B32*3.6/1000000/'E Balans VL '!Z20*100),0,B32*3.6/1000000/'E Balans VL '!Z20*100)</f>
        <v>4.0041977425246461E-3</v>
      </c>
      <c r="D32" s="233" t="s">
        <v>726</v>
      </c>
    </row>
    <row r="33" spans="1:5">
      <c r="A33" s="168" t="s">
        <v>39</v>
      </c>
      <c r="B33" s="37">
        <f>IF( ISERROR(IND_textiel_ele_kWh/1000),0,IND_textiel_ele_kWh/1000)</f>
        <v>50.387</v>
      </c>
      <c r="C33" s="39">
        <f>IF(ISERROR(B33*3.6/1000000/'E Balans VL '!Z21*100),0,B33*3.6/1000000/'E Balans VL '!Z21*100)</f>
        <v>6.5699047199756482E-3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288.577</v>
      </c>
      <c r="C37" s="39">
        <f>IF(ISERROR(B37*3.6/1000000/'E Balans VL '!Z15*100),0,B37*3.6/1000000/'E Balans VL '!Z15*100)</f>
        <v>2.287327131261742E-3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1552.3610000000001</v>
      </c>
      <c r="C5" s="17">
        <f>'Eigen informatie GS &amp; warmtenet'!B60</f>
        <v>0</v>
      </c>
      <c r="D5" s="30">
        <f>IF(ISERROR(SUM(LB_lb_gas_kWh,LB_rest_gas_kWh)/1000),0,SUM(LB_lb_gas_kWh,LB_rest_gas_kWh)/1000)*0.902</f>
        <v>92.664264000000003</v>
      </c>
      <c r="E5" s="17">
        <f>B17*'E Balans VL '!I25/3.6*1000000/100</f>
        <v>45.628631247760161</v>
      </c>
      <c r="F5" s="17">
        <f>B17*('E Balans VL '!L25/3.6*1000000+'E Balans VL '!N25/3.6*1000000)/100</f>
        <v>6467.0520408144976</v>
      </c>
      <c r="G5" s="18"/>
      <c r="H5" s="17"/>
      <c r="I5" s="17"/>
      <c r="J5" s="17">
        <f>('E Balans VL '!D25+'E Balans VL '!E25)/3.6*1000000*landbouw!B17/100</f>
        <v>224.90377156591632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1552.3610000000001</v>
      </c>
      <c r="C8" s="21">
        <f>C5+C6</f>
        <v>0</v>
      </c>
      <c r="D8" s="21">
        <f>MAX((D5+D6),0)</f>
        <v>92.664264000000003</v>
      </c>
      <c r="E8" s="21">
        <f>MAX((E5+E6),0)</f>
        <v>45.628631247760161</v>
      </c>
      <c r="F8" s="21">
        <f>MAX((F5+F6),0)</f>
        <v>6467.0520408144976</v>
      </c>
      <c r="G8" s="21"/>
      <c r="H8" s="21"/>
      <c r="I8" s="21"/>
      <c r="J8" s="21">
        <f>MAX((J5+J6),0)</f>
        <v>224.90377156591632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0.18963759009063624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294.38599899069021</v>
      </c>
      <c r="C12" s="23">
        <f ca="1">C8*C10</f>
        <v>0</v>
      </c>
      <c r="D12" s="23">
        <f>D8*D10</f>
        <v>18.718181328</v>
      </c>
      <c r="E12" s="23">
        <f>E8*E10</f>
        <v>10.357699293241557</v>
      </c>
      <c r="F12" s="23">
        <f>F8*F10</f>
        <v>1726.702894897471</v>
      </c>
      <c r="G12" s="23"/>
      <c r="H12" s="23"/>
      <c r="I12" s="23"/>
      <c r="J12" s="23">
        <f>J8*J10</f>
        <v>79.615935134334364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0.22028489628410594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361.35856945240727</v>
      </c>
      <c r="C26" s="243">
        <f>B26*'GWP N2O_CH4'!B5</f>
        <v>7588.5299585005523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140.75754969088709</v>
      </c>
      <c r="C27" s="243">
        <f>B27*'GWP N2O_CH4'!B5</f>
        <v>2955.908543508629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6.1131705685506859</v>
      </c>
      <c r="C28" s="243">
        <f>B28*'GWP N2O_CH4'!B4</f>
        <v>1895.0828762507126</v>
      </c>
      <c r="D28" s="50"/>
    </row>
    <row r="29" spans="1:4">
      <c r="A29" s="41" t="s">
        <v>265</v>
      </c>
      <c r="B29" s="243">
        <f>B34*'ha_N2O bodem landbouw'!B4</f>
        <v>11.2375133306014</v>
      </c>
      <c r="C29" s="243">
        <f>B29*'GWP N2O_CH4'!B4</f>
        <v>3483.6291324864342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2.5643618158494872E-3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1.2288670815191374E-4</v>
      </c>
      <c r="C5" s="429" t="s">
        <v>204</v>
      </c>
      <c r="D5" s="414">
        <f>SUM(D6:D11)</f>
        <v>2.3034216706479415E-4</v>
      </c>
      <c r="E5" s="414">
        <f>SUM(E6:E11)</f>
        <v>3.9655190507388561E-4</v>
      </c>
      <c r="F5" s="427" t="s">
        <v>204</v>
      </c>
      <c r="G5" s="414">
        <f>SUM(G6:G11)</f>
        <v>0.15317559508949474</v>
      </c>
      <c r="H5" s="414">
        <f>SUM(H6:H11)</f>
        <v>3.6826612047747696E-2</v>
      </c>
      <c r="I5" s="429" t="s">
        <v>204</v>
      </c>
      <c r="J5" s="429" t="s">
        <v>204</v>
      </c>
      <c r="K5" s="429" t="s">
        <v>204</v>
      </c>
      <c r="L5" s="429" t="s">
        <v>204</v>
      </c>
      <c r="M5" s="414">
        <f>SUM(M6:M11)</f>
        <v>1.00335445444344E-2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6.736755690676683E-5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1.1325670969839043E-4</v>
      </c>
      <c r="E6" s="857">
        <f>vkm_GW_PW*SUMIFS(TableVerdeelsleutelVkm[LPG],TableVerdeelsleutelVkm[Voertuigtype],"Lichte voertuigen")*SUMIFS(TableECFTransport[EnergieConsumptieFactor (PJ per km)],TableECFTransport[Index],CONCATENATE($A6,"_LPG_LPG"))</f>
        <v>1.9927615096185418E-4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5.9124657016363935E-2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1.8298162069695808E-2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3.9930971046583481E-3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1.0962312855430744E-6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3.5211407777113096E-2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5.7449477710505249E-7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2.0572456497956171E-3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5.4315930545325349E-5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1.1708545736640374E-4</v>
      </c>
      <c r="E8" s="417">
        <f>vkm_NGW_PW*SUMIFS(TableVerdeelsleutelVkm[LPG],TableVerdeelsleutelVkm[Voertuigtype],"Lichte voertuigen")*SUMIFS(TableECFTransport[EnergieConsumptieFactor (PJ per km)],TableECFTransport[Index],CONCATENATE($A8,"_LPG_LPG"))</f>
        <v>1.9727575411203146E-4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5.4430215832382611E-2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1.852780780626705E-2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3.7255853198774856E-3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1.0698941427848005E-7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4.4093144636351026E-3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6.7677007736628691E-8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2.5761647010294952E-4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34.135196708864932</v>
      </c>
      <c r="C14" s="21"/>
      <c r="D14" s="21">
        <f t="shared" ref="D14:M14" si="0">((D5)*10^9/3600)+D12</f>
        <v>63.983935295776156</v>
      </c>
      <c r="E14" s="21">
        <f t="shared" si="0"/>
        <v>110.15330696496824</v>
      </c>
      <c r="F14" s="21"/>
      <c r="G14" s="21">
        <f t="shared" si="0"/>
        <v>42548.776413748536</v>
      </c>
      <c r="H14" s="21">
        <f t="shared" si="0"/>
        <v>10229.614457707692</v>
      </c>
      <c r="I14" s="21"/>
      <c r="J14" s="21"/>
      <c r="K14" s="21"/>
      <c r="L14" s="21"/>
      <c r="M14" s="21">
        <f t="shared" si="0"/>
        <v>2787.0957067873333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0.18963759009063624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6.4733164411389632</v>
      </c>
      <c r="C18" s="23"/>
      <c r="D18" s="23">
        <f t="shared" ref="D18:M18" si="1">D14*D16</f>
        <v>12.924754929746785</v>
      </c>
      <c r="E18" s="23">
        <f t="shared" si="1"/>
        <v>25.00480068104779</v>
      </c>
      <c r="F18" s="23"/>
      <c r="G18" s="23">
        <f t="shared" si="1"/>
        <v>11360.52330247086</v>
      </c>
      <c r="H18" s="23">
        <f t="shared" si="1"/>
        <v>2547.1739999692154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6.0354490593882486E-5</v>
      </c>
      <c r="C50" s="313">
        <f t="shared" ref="C50:P50" si="2">SUM(C51:C52)</f>
        <v>0</v>
      </c>
      <c r="D50" s="313">
        <f t="shared" si="2"/>
        <v>0</v>
      </c>
      <c r="E50" s="313">
        <f t="shared" si="2"/>
        <v>0</v>
      </c>
      <c r="F50" s="313">
        <f t="shared" si="2"/>
        <v>0</v>
      </c>
      <c r="G50" s="313">
        <f t="shared" si="2"/>
        <v>5.6697053188887866E-3</v>
      </c>
      <c r="H50" s="313">
        <f t="shared" si="2"/>
        <v>0</v>
      </c>
      <c r="I50" s="313">
        <f t="shared" si="2"/>
        <v>0</v>
      </c>
      <c r="J50" s="313">
        <f t="shared" si="2"/>
        <v>0</v>
      </c>
      <c r="K50" s="313">
        <f t="shared" si="2"/>
        <v>0</v>
      </c>
      <c r="L50" s="313">
        <f t="shared" si="2"/>
        <v>0</v>
      </c>
      <c r="M50" s="313">
        <f t="shared" si="2"/>
        <v>3.2650130593372273E-4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6.0354490593882486E-5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5.6697053188887866E-3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3.2650130593372273E-4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16.765136276078469</v>
      </c>
      <c r="C54" s="21">
        <f t="shared" ref="C54:P54" si="3">(C50)*10^9/3600</f>
        <v>0</v>
      </c>
      <c r="D54" s="21">
        <f t="shared" si="3"/>
        <v>0</v>
      </c>
      <c r="E54" s="21">
        <f t="shared" si="3"/>
        <v>0</v>
      </c>
      <c r="F54" s="21">
        <f t="shared" si="3"/>
        <v>0</v>
      </c>
      <c r="G54" s="21">
        <f t="shared" si="3"/>
        <v>1574.9181441357739</v>
      </c>
      <c r="H54" s="21">
        <f t="shared" si="3"/>
        <v>0</v>
      </c>
      <c r="I54" s="21">
        <f t="shared" si="3"/>
        <v>0</v>
      </c>
      <c r="J54" s="21">
        <f t="shared" si="3"/>
        <v>0</v>
      </c>
      <c r="K54" s="21">
        <f t="shared" si="3"/>
        <v>0</v>
      </c>
      <c r="L54" s="21">
        <f t="shared" si="3"/>
        <v>0</v>
      </c>
      <c r="M54" s="21">
        <f t="shared" si="3"/>
        <v>90.694807203811862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0.18963759009063624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3.1793000409366243</v>
      </c>
      <c r="C58" s="23">
        <f t="shared" ref="C58:P58" ca="1" si="4">C54*C56</f>
        <v>0</v>
      </c>
      <c r="D58" s="23">
        <f t="shared" si="4"/>
        <v>0</v>
      </c>
      <c r="E58" s="23">
        <f t="shared" si="4"/>
        <v>0</v>
      </c>
      <c r="F58" s="23">
        <f t="shared" si="4"/>
        <v>0</v>
      </c>
      <c r="G58" s="23">
        <f t="shared" si="4"/>
        <v>420.50314448425166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7239.6758734953846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7239.6758734953846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2021-11-11T12:53:13Z</dcterms:modified>
</cp:coreProperties>
</file>