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C3F37FC-5842-4F81-A71C-C9B0D4EDA72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R34" i="18"/>
  <c r="Q34" i="18"/>
  <c r="P34" i="18"/>
  <c r="O34" i="18"/>
  <c r="C6" i="17" s="1"/>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7"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<sst xmlns="http://schemas.openxmlformats.org/spreadsheetml/2006/main" count="2479" uniqueCount="899">
  <si>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</si>
  <si>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</si>
  <si>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</si>
  <si>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</si>
  <si>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</si>
  <si>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</si>
  <si>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</si>
  <si>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</si>
  <si>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</si>
  <si>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</si>
  <si>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</si>
  <si>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</si>
  <si>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</si>
  <si>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</si>
  <si>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</si>
  <si>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</si>
  <si>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</si>
  <si>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</si>
  <si>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</si>
  <si>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</si>
  <si>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</si>
  <si>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</si>
  <si>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</si>
  <si>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</si>
  <si>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</si>
  <si>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</si>
  <si>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</si>
  <si>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</si>
  <si>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</si>
  <si>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</si>
  <si>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</si>
  <si>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</si>
  <si>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</si>
  <si>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</si>
  <si>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</si>
  <si>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</si>
  <si>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</si>
  <si>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</si>
  <si>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</si>
  <si>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</si>
  <si>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</si>
  <si>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</si>
  <si>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</si>
  <si>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</si>
  <si>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</si>
  <si>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</si>
  <si>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</si>
  <si>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</si>
  <si>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</si>
  <si>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</si>
  <si>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</si>
  <si>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</si>
  <si>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</si>
  <si>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</si>
  <si>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</si>
  <si>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</si>
  <si>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</si>
  <si>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</si>
  <si>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</si>
  <si>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</si>
  <si>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</si>
  <si>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</si>
  <si>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</si>
  <si>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</si>
  <si>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</si>
  <si>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</si>
  <si>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</si>
  <si>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</si>
  <si>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</si>
  <si>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</si>
  <si>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</si>
  <si>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</si>
  <si>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</si>
  <si>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</si>
  <si>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</si>
  <si>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</si>
  <si>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</si>
  <si>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</si>
  <si>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</si>
  <si>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</si>
  <si>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</si>
  <si>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</si>
  <si>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</si>
  <si>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</si>
  <si>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</si>
  <si>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</si>
  <si>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</si>
  <si>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</si>
  <si>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</si>
  <si>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</si>
  <si>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</si>
  <si>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</si>
  <si>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</si>
  <si>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</si>
  <si>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</si>
  <si>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</si>
  <si>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</si>
  <si>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</si>
  <si>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</si>
  <si>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</si>
  <si>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</si>
  <si>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</si>
  <si>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</si>
  <si>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</si>
  <si>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</si>
  <si>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</si>
  <si>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</si>
  <si>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</si>
  <si>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</si>
  <si>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</si>
  <si>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</si>
  <si>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</si>
  <si>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</si>
  <si>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</si>
  <si>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</si>
  <si>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</si>
  <si>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</si>
  <si>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</si>
  <si>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</si>
  <si>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</si>
  <si>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</si>
  <si>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</si>
  <si>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</si>
  <si>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</si>
  <si>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</si>
  <si>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</si>
  <si>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</si>
  <si>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</si>
  <si>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</si>
  <si>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</si>
  <si>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</si>
  <si>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</si>
  <si>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</si>
  <si>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</si>
  <si>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</si>
  <si>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</si>
  <si>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</si>
  <si>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</si>
  <si>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</si>
  <si>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</si>
  <si>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</si>
  <si>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</si>
  <si>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</si>
  <si>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</si>
  <si>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</si>
  <si>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</si>
  <si>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</si>
  <si>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</si>
  <si>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</si>
  <si>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</si>
  <si>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</si>
  <si>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</si>
  <si>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</si>
  <si>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</si>
  <si>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</si>
  <si>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</si>
  <si>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</si>
  <si>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</si>
  <si>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</si>
  <si>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</si>
  <si>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</si>
  <si>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</si>
  <si>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</si>
  <si>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</si>
  <si>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</si>
  <si>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</si>
  <si>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</si>
  <si>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</si>
  <si>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</si>
  <si>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</si>
  <si>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</si>
  <si>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</si>
  <si>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</si>
  <si>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</si>
  <si>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</si>
  <si>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</si>
  <si>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</si>
  <si>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</si>
  <si>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</si>
  <si>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</si>
  <si>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</si>
  <si>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</si>
  <si>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</si>
  <si>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</si>
  <si>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</si>
  <si>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</si>
  <si>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</si>
  <si>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</si>
  <si>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</si>
  <si>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</si>
  <si>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</si>
  <si>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</si>
  <si>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</si>
  <si>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</si>
  <si>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</si>
  <si>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</si>
  <si>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</si>
  <si>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</si>
  <si>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</si>
  <si>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</si>
  <si>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</si>
  <si>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</si>
  <si>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</si>
  <si>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</si>
  <si>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</si>
  <si>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</si>
  <si>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</si>
  <si>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</si>
  <si>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</si>
  <si>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</si>
  <si>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</si>
  <si>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</si>
  <si>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</si>
  <si>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</si>
  <si>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</si>
  <si>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</si>
  <si>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</si>
  <si>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</si>
  <si>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</si>
  <si>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</si>
  <si>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</si>
  <si>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</si>
  <si>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</si>
  <si>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</si>
  <si>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</si>
  <si>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</si>
  <si>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</si>
  <si>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</si>
  <si>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</si>
  <si>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</si>
  <si>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</si>
  <si>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</si>
  <si>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</si>
  <si>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</si>
  <si>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</si>
  <si>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</si>
  <si>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</si>
  <si>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</si>
  <si>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</si>
  <si>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</si>
  <si>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</si>
  <si>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</si>
  <si>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</si>
  <si>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</si>
  <si>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</si>
  <si>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</si>
  <si>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</si>
  <si>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</si>
  <si>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</si>
  <si>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</si>
  <si>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</si>
  <si>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</si>
  <si>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</si>
  <si>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</si>
  <si>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</si>
  <si>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</si>
  <si>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</si>
  <si>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</si>
  <si>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</si>
  <si>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</si>
  <si>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</si>
  <si>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</si>
  <si>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</si>
  <si>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</si>
  <si>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</si>
  <si>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</si>
  <si>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</si>
  <si>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</si>
  <si>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</si>
  <si>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</si>
  <si>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</si>
  <si>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</si>
  <si>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</si>
  <si>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</si>
  <si>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</si>
  <si>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</si>
  <si>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</si>
  <si>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</si>
  <si>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</si>
  <si>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</si>
  <si>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</si>
  <si>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</si>
  <si>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</si>
  <si>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</si>
  <si>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</si>
  <si>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</si>
  <si>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</si>
  <si>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</si>
  <si>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</si>
  <si>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</si>
  <si>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</si>
  <si>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</si>
  <si>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</si>
  <si>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</si>
  <si>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</si>
  <si>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</si>
  <si>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</si>
  <si>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</si>
  <si>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</si>
  <si>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</si>
  <si>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</si>
  <si>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</si>
  <si>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</si>
  <si>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</si>
  <si>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</si>
  <si>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</si>
  <si>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</si>
  <si>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</si>
  <si>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</si>
  <si>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</si>
  <si>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</si>
  <si>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</si>
  <si>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</si>
  <si>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</si>
  <si>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</si>
  <si>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</si>
  <si>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</si>
  <si>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</si>
  <si>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</si>
  <si>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</si>
  <si>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</si>
  <si>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</si>
  <si>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</si>
  <si>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</si>
  <si>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</si>
  <si>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</si>
  <si>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</si>
  <si>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</si>
  <si>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</si>
  <si>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</si>
  <si>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</si>
  <si>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</si>
  <si>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</si>
  <si>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</si>
  <si>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</si>
  <si>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</si>
  <si>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</si>
  <si>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</si>
  <si>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</si>
  <si>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</si>
  <si>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</si>
  <si>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</si>
  <si>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</si>
  <si>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</si>
  <si>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</si>
  <si>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</si>
  <si>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</si>
  <si>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</si>
  <si>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</si>
  <si>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</si>
  <si>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</si>
  <si>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</si>
  <si>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</si>
  <si>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</si>
  <si>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</si>
  <si>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</si>
  <si>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</si>
  <si>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</si>
  <si>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</si>
  <si>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</si>
  <si>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</si>
  <si>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</si>
  <si>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</si>
  <si>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</si>
  <si>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</si>
  <si>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</si>
  <si>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</si>
  <si>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</si>
  <si>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</si>
  <si>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</si>
  <si>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</si>
  <si>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</si>
  <si>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</si>
  <si>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</si>
  <si>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</si>
  <si>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</si>
  <si>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</si>
  <si>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</si>
  <si>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</si>
  <si>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</si>
  <si>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</si>
  <si>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</si>
  <si>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</si>
  <si>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</si>
  <si>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</si>
  <si>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</si>
  <si>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</si>
  <si>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</si>
  <si>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</si>
  <si>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</si>
  <si>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</si>
  <si>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</si>
  <si>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</si>
  <si>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</si>
  <si>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</si>
  <si>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</si>
  <si>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</si>
  <si>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</si>
  <si>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</si>
  <si>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</si>
  <si>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</si>
  <si>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</si>
  <si>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</si>
  <si>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</si>
  <si>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</si>
  <si>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</si>
  <si>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</si>
  <si>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</si>
  <si>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</si>
  <si>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</si>
  <si>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</si>
  <si>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</si>
  <si>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</si>
  <si>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</si>
  <si>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</si>
  <si>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</si>
  <si>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</si>
  <si>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</si>
  <si>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</si>
  <si>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</si>
  <si>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</si>
  <si>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</si>
  <si>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</si>
  <si>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</si>
  <si>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</si>
  <si>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</si>
  <si>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</si>
  <si>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</si>
  <si>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</si>
  <si>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</si>
  <si>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</si>
  <si>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</si>
  <si>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</si>
  <si>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</si>
  <si>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</si>
  <si>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</si>
  <si>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</si>
  <si>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</si>
  <si>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</si>
  <si>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</si>
  <si>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</si>
  <si>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</si>
  <si>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</si>
  <si>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</si>
  <si>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</si>
  <si>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</si>
  <si>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</si>
  <si>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</si>
  <si>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</si>
  <si>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</si>
  <si>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</si>
  <si>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</si>
  <si>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</si>
  <si>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</si>
  <si>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</si>
  <si>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</si>
  <si>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</si>
  <si>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</si>
  <si>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</si>
  <si>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</si>
  <si>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</si>
  <si>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</si>
  <si>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</si>
  <si>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</si>
  <si>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</si>
  <si>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</si>
  <si>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</si>
  <si>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</si>
  <si>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</si>
  <si>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</si>
  <si>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</si>
  <si>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</si>
  <si>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</si>
  <si>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</si>
  <si>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</si>
  <si>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</si>
  <si>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</si>
  <si>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</si>
  <si>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</si>
  <si>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</si>
  <si>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</si>
  <si>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</si>
  <si>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</si>
  <si>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</si>
  <si>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</si>
  <si>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</si>
  <si>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</si>
  <si>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</si>
  <si>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</si>
  <si>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</si>
  <si>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</si>
  <si>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</si>
  <si>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</si>
  <si>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</si>
  <si>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</si>
  <si>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</si>
  <si>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</si>
  <si>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</si>
  <si>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</si>
  <si>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</si>
  <si>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</si>
  <si>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</si>
  <si>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</si>
  <si>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</si>
  <si>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</si>
  <si>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</si>
  <si>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</si>
  <si>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</si>
  <si>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</si>
  <si>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</si>
  <si>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</si>
  <si>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</si>
  <si>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</si>
  <si>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</si>
  <si>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</si>
  <si>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</si>
  <si>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</si>
  <si>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</si>
  <si>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</si>
  <si>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</si>
  <si>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</si>
  <si>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</si>
  <si>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</si>
  <si>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</si>
  <si>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</si>
  <si>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</si>
  <si>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</si>
  <si>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</si>
  <si>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</si>
  <si>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</si>
  <si>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</si>
  <si>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</si>
  <si>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</si>
  <si>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</si>
  <si>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</si>
  <si>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</si>
  <si>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</si>
  <si>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</si>
  <si>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</si>
  <si>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</si>
  <si>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</si>
  <si>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</si>
  <si>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</si>
  <si>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</si>
  <si>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</si>
  <si>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</si>
  <si>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</si>
  <si>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</si>
  <si>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</si>
  <si>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</si>
  <si>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</si>
  <si>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</si>
  <si>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</si>
  <si>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</si>
  <si>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</si>
  <si>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</si>
  <si>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</si>
  <si>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</si>
  <si>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</si>
  <si>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</si>
  <si>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</si>
  <si>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</si>
  <si>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</si>
  <si>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</si>
  <si>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</si>
  <si>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</si>
  <si>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</si>
  <si>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</si>
  <si>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</si>
  <si>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</si>
  <si>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</si>
  <si>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</si>
  <si>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</si>
  <si>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</si>
  <si>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</si>
  <si>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</si>
  <si>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</si>
  <si>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</si>
  <si>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</si>
  <si>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</si>
  <si>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</si>
  <si>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</si>
  <si>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</si>
  <si>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</si>
  <si>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</si>
  <si>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</si>
  <si>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</si>
  <si>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</si>
  <si>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</si>
  <si>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</si>
  <si>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</si>
  <si>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</si>
  <si>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</si>
  <si>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</si>
  <si>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</si>
  <si>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</si>
  <si>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</si>
  <si>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</si>
  <si>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</si>
  <si>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</si>
  <si>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</si>
  <si>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</si>
  <si>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</si>
  <si>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</si>
  <si>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</si>
  <si>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</si>
  <si>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</si>
  <si>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</si>
  <si>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</si>
  <si>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</si>
  <si>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</si>
  <si>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</si>
  <si>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</si>
  <si>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</si>
  <si>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</si>
  <si>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</si>
  <si>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</si>
  <si>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</si>
  <si>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</si>
  <si>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</si>
  <si>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</si>
  <si>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</si>
  <si>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</si>
  <si>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</si>
  <si>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</si>
  <si>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</si>
  <si>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</si>
  <si>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</si>
  <si>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</si>
  <si>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</si>
  <si>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</si>
  <si>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</si>
  <si>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</si>
  <si>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</si>
  <si>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</si>
  <si>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</si>
  <si>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</si>
  <si>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</si>
  <si>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</si>
  <si>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</si>
  <si>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</si>
  <si>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</si>
  <si>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</si>
  <si>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</si>
  <si>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</si>
  <si>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</si>
  <si>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</si>
  <si>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</si>
  <si>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</si>
  <si>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</si>
  <si>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</si>
  <si>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</si>
  <si>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</si>
  <si>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</si>
  <si>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</si>
  <si>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</si>
  <si>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</si>
  <si>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</si>
  <si>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</si>
  <si>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</si>
  <si>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</si>
  <si>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</si>
  <si>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</si>
  <si>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</si>
  <si>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</si>
  <si>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</si>
  <si>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</si>
  <si>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</si>
  <si>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</si>
  <si>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</si>
  <si>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</si>
  <si>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</si>
  <si>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</si>
  <si>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</si>
  <si>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</si>
  <si>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</si>
  <si>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</si>
  <si>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</si>
  <si>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</si>
  <si>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</si>
  <si>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</si>
  <si>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</si>
  <si>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</si>
  <si>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</si>
  <si>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</si>
  <si>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</si>
  <si>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</si>
  <si>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</si>
  <si>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</si>
  <si>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</si>
  <si>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</si>
  <si>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</si>
  <si>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</si>
  <si>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</si>
  <si>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</si>
  <si>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</si>
  <si>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</si>
  <si>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</si>
  <si>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</si>
  <si>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</si>
  <si>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</si>
  <si>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</si>
  <si>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</si>
  <si>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</si>
  <si>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</si>
  <si>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</si>
  <si>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</si>
  <si>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</si>
  <si>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</si>
  <si>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</si>
  <si>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</si>
  <si>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</si>
  <si>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</si>
  <si>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</si>
  <si>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</si>
  <si>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</si>
  <si>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</si>
  <si>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</si>
  <si>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</si>
  <si>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</si>
  <si>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</si>
  <si>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</si>
  <si>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</si>
  <si>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</si>
  <si>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</si>
  <si>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</si>
  <si>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</si>
  <si>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</si>
  <si>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</si>
  <si>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</si>
  <si>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</si>
  <si>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</si>
  <si>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</si>
  <si>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</si>
  <si>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</si>
  <si>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</si>
  <si>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</si>
  <si>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</si>
  <si>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</si>
  <si>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</si>
  <si>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</si>
  <si>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</si>
  <si>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</si>
  <si>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</si>
  <si>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</si>
  <si>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</si>
  <si>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</si>
  <si>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</si>
  <si>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</si>
  <si>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</si>
  <si>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</si>
  <si>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</si>
  <si>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</si>
  <si>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</si>
  <si>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</si>
  <si>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</si>
  <si>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</si>
  <si>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</si>
  <si>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</si>
  <si>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</si>
  <si>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</si>
  <si>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</si>
  <si>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</si>
  <si>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</si>
  <si>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</si>
  <si>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</si>
  <si>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</si>
  <si>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</si>
  <si>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</si>
  <si>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</si>
  <si>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</si>
  <si>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</si>
  <si>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</si>
  <si>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</si>
  <si>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</si>
  <si>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</si>
  <si>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</si>
  <si>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</si>
  <si>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</si>
  <si>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</si>
  <si>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</si>
  <si>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</si>
  <si>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</si>
  <si>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</si>
  <si>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</si>
  <si>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</si>
  <si>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</si>
  <si>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</si>
  <si>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</si>
  <si>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</si>
  <si>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</si>
  <si>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</si>
  <si>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</si>
  <si>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</si>
  <si>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</si>
  <si>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</si>
  <si>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</si>
  <si>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</si>
  <si>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</si>
  <si>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</si>
  <si>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</si>
  <si>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</si>
  <si>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</si>
  <si>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</si>
  <si>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</si>
  <si>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</si>
  <si>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</si>
  <si>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</si>
  <si>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</si>
  <si>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</si>
  <si>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</si>
  <si>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</si>
  <si>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</si>
  <si>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</si>
  <si>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</si>
  <si>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</si>
  <si>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</si>
  <si>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</si>
  <si>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</si>
  <si>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</si>
  <si>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</si>
  <si>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</si>
  <si>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</si>
  <si>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</si>
  <si>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</si>
  <si>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</si>
  <si>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</si>
  <si>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</si>
  <si>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</si>
  <si>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</si>
  <si>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</si>
  <si>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</si>
  <si>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</si>
  <si>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</si>
  <si>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</si>
  <si>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</si>
  <si>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</si>
  <si>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</si>
  <si>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</si>
  <si>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</si>
  <si>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</si>
  <si>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</si>
  <si>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</si>
  <si>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</si>
  <si>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</si>
  <si>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</si>
  <si>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</si>
  <si>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</si>
  <si>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</si>
  <si>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</si>
  <si>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</si>
  <si>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</si>
  <si>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</si>
  <si>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</si>
  <si>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</si>
  <si>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</si>
  <si>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</si>
  <si>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</si>
  <si>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</si>
  <si>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</si>
  <si>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</si>
  <si>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</si>
  <si>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</si>
  <si>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</si>
  <si>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</si>
  <si>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</si>
  <si>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</si>
  <si>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</si>
  <si>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</si>
  <si>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</si>
  <si>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</si>
  <si>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</si>
  <si>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</si>
  <si>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</si>
  <si>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</si>
  <si>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</si>
  <si>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</si>
  <si>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</si>
  <si>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</si>
  <si>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</si>
  <si>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</si>
  <si>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</si>
  <si>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</si>
  <si>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</si>
  <si>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</si>
  <si>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</si>
  <si>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</si>
  <si>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</si>
  <si>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</si>
  <si>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</si>
  <si>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</si>
  <si>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</si>
  <si>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72003</t>
  </si>
  <si>
    <t>BOCHOLT</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</si>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</sst>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627AB9D1-0570-4ABA-BCFC-F7E1926DF11B}"/>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108722.35021923376</c:v>
                </c:pt>
                <c:pt idx="1">
                  <c:v>119242.00009571714</c:v>
                </c:pt>
                <c:pt idx="2">
                  <c:v>929.16</c:v>
                </c:pt>
                <c:pt idx="3">
                  <c:v>19801.716445380862</c:v>
                </c:pt>
                <c:pt idx="4">
                  <c:v>74825.566470478574</c:v>
                </c:pt>
                <c:pt idx="5">
                  <c:v>59984.669660107807</c:v>
                </c:pt>
                <c:pt idx="6">
                  <c:v>1008.1164930497777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108722.35021923376</c:v>
                </c:pt>
                <c:pt idx="1">
                  <c:v>119242.00009571714</c:v>
                </c:pt>
                <c:pt idx="2">
                  <c:v>929.16</c:v>
                </c:pt>
                <c:pt idx="3">
                  <c:v>19801.716445380862</c:v>
                </c:pt>
                <c:pt idx="4">
                  <c:v>74825.566470478574</c:v>
                </c:pt>
                <c:pt idx="5">
                  <c:v>59984.669660107807</c:v>
                </c:pt>
                <c:pt idx="6">
                  <c:v>1008.1164930497777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22267.26573298889</c:v>
                </c:pt>
                <c:pt idx="2">
                  <c:v>19093.758207970968</c:v>
                </c:pt>
                <c:pt idx="3">
                  <c:v>162.33820309673234</c:v>
                </c:pt>
                <c:pt idx="4">
                  <c:v>4952.2914265245854</c:v>
                </c:pt>
                <c:pt idx="5">
                  <c:v>14570.586494304987</c:v>
                </c:pt>
                <c:pt idx="6">
                  <c:v>15013.761806530552</c:v>
                </c:pt>
                <c:pt idx="7">
                  <c:v>253.72955918663257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22267.26573298889</c:v>
                </c:pt>
                <c:pt idx="2">
                  <c:v>19093.758207970968</c:v>
                </c:pt>
                <c:pt idx="3">
                  <c:v>162.33820309673234</c:v>
                </c:pt>
                <c:pt idx="4">
                  <c:v>4952.2914265245854</c:v>
                </c:pt>
                <c:pt idx="5">
                  <c:v>14570.586494304987</c:v>
                </c:pt>
                <c:pt idx="6">
                  <c:v>15013.761806530552</c:v>
                </c:pt>
                <c:pt idx="7">
                  <c:v>253.72955918663257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72003</v>
      </c>
      <c r="B6" s="382"/>
      <c r="C6" s="383"/>
    </row>
    <row r="7" spans="1:7" s="380" customFormat="1" ht="15.75" customHeight="1">
      <c r="A7" s="384" t="str">
        <f>txtMunicipality</f>
        <v>BOCHOLT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58882.23201</v>
      </c>
      <c r="D10" s="971">
        <f ca="1">tertiair!C16</f>
        <v>19118.571428571428</v>
      </c>
      <c r="E10" s="971">
        <f ca="1">tertiair!D16</f>
        <v>34945.533827842002</v>
      </c>
      <c r="F10" s="971">
        <f>tertiair!E16</f>
        <v>160.981172143045</v>
      </c>
      <c r="G10" s="971">
        <f ca="1">tertiair!F16</f>
        <v>7014.7240054816375</v>
      </c>
      <c r="H10" s="971">
        <f>tertiair!G16</f>
        <v>0</v>
      </c>
      <c r="I10" s="971">
        <f>tertiair!H16</f>
        <v>0</v>
      </c>
      <c r="J10" s="971">
        <f>tertiair!I16</f>
        <v>0</v>
      </c>
      <c r="K10" s="971">
        <f>tertiair!J16</f>
        <v>4.0985012364358892E-2</v>
      </c>
      <c r="L10" s="971">
        <f>tertiair!K16</f>
        <v>0</v>
      </c>
      <c r="M10" s="971">
        <f ca="1">tertiair!L16</f>
        <v>0</v>
      </c>
      <c r="N10" s="971">
        <f>tertiair!M16</f>
        <v>0</v>
      </c>
      <c r="O10" s="971">
        <f ca="1">tertiair!N16</f>
        <v>0</v>
      </c>
      <c r="P10" s="971">
        <f>tertiair!O16</f>
        <v>10.943333333333335</v>
      </c>
      <c r="Q10" s="972">
        <f>tertiair!P16</f>
        <v>38.133333333333333</v>
      </c>
      <c r="R10" s="666">
        <f ca="1">SUM(C10:Q10)</f>
        <v>120171.16009571715</v>
      </c>
      <c r="S10" s="67"/>
    </row>
    <row r="11" spans="1:19" s="439" customFormat="1">
      <c r="A11" s="775" t="s">
        <v>213</v>
      </c>
      <c r="B11" s="780"/>
      <c r="C11" s="971">
        <f>huishoudens!B8</f>
        <v>23186.029503633767</v>
      </c>
      <c r="D11" s="971">
        <f>huishoudens!C8</f>
        <v>0</v>
      </c>
      <c r="E11" s="971">
        <f>huishoudens!D8</f>
        <v>31934.206448099998</v>
      </c>
      <c r="F11" s="971">
        <f>huishoudens!E8</f>
        <v>1672.5008621380216</v>
      </c>
      <c r="G11" s="971">
        <f>huishoudens!F8</f>
        <v>42373.67482963841</v>
      </c>
      <c r="H11" s="971">
        <f>huishoudens!G8</f>
        <v>0</v>
      </c>
      <c r="I11" s="971">
        <f>huishoudens!H8</f>
        <v>0</v>
      </c>
      <c r="J11" s="971">
        <f>huishoudens!I8</f>
        <v>0</v>
      </c>
      <c r="K11" s="971">
        <f>huishoudens!J8</f>
        <v>203.89736932668325</v>
      </c>
      <c r="L11" s="971">
        <f>huishoudens!K8</f>
        <v>0</v>
      </c>
      <c r="M11" s="971">
        <f>huishoudens!L8</f>
        <v>0</v>
      </c>
      <c r="N11" s="971">
        <f>huishoudens!M8</f>
        <v>0</v>
      </c>
      <c r="O11" s="971">
        <f>huishoudens!N8</f>
        <v>8074.1478730635608</v>
      </c>
      <c r="P11" s="971">
        <f>huishoudens!O8</f>
        <v>362.69333333333338</v>
      </c>
      <c r="Q11" s="972">
        <f>huishoudens!P8</f>
        <v>915.2</v>
      </c>
      <c r="R11" s="666">
        <f>SUM(C11:Q11)</f>
        <v>108722.35021923376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22453.425791000001</v>
      </c>
      <c r="D13" s="971">
        <f>industrie!C18</f>
        <v>0</v>
      </c>
      <c r="E13" s="971">
        <f>industrie!D18</f>
        <v>44670.234974200001</v>
      </c>
      <c r="F13" s="971">
        <f>industrie!E18</f>
        <v>1392.1450662418947</v>
      </c>
      <c r="G13" s="971">
        <f>industrie!F18</f>
        <v>4899.3014507236758</v>
      </c>
      <c r="H13" s="971">
        <f>industrie!G18</f>
        <v>0</v>
      </c>
      <c r="I13" s="971">
        <f>industrie!H18</f>
        <v>0</v>
      </c>
      <c r="J13" s="971">
        <f>industrie!I18</f>
        <v>0</v>
      </c>
      <c r="K13" s="971">
        <f>industrie!J18</f>
        <v>0.33331659973685607</v>
      </c>
      <c r="L13" s="971">
        <f>industrie!K18</f>
        <v>0</v>
      </c>
      <c r="M13" s="971">
        <f>industrie!L18</f>
        <v>0</v>
      </c>
      <c r="N13" s="971">
        <f>industrie!M18</f>
        <v>0</v>
      </c>
      <c r="O13" s="971">
        <f>industrie!N18</f>
        <v>1410.1258717132655</v>
      </c>
      <c r="P13" s="971">
        <f>industrie!O18</f>
        <v>0</v>
      </c>
      <c r="Q13" s="972">
        <f>industrie!P18</f>
        <v>0</v>
      </c>
      <c r="R13" s="666">
        <f>SUM(C13:Q13)</f>
        <v>74825.566470478574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104521.68730463377</v>
      </c>
      <c r="D16" s="698">
        <f t="shared" ref="D16:R16" ca="1" si="0">SUM(D9:D15)</f>
        <v>19118.571428571428</v>
      </c>
      <c r="E16" s="698">
        <f t="shared" ca="1" si="0"/>
        <v>111549.97525014199</v>
      </c>
      <c r="F16" s="698">
        <f t="shared" si="0"/>
        <v>3225.6271005229614</v>
      </c>
      <c r="G16" s="698">
        <f t="shared" ca="1" si="0"/>
        <v>54287.700285843719</v>
      </c>
      <c r="H16" s="698">
        <f t="shared" si="0"/>
        <v>0</v>
      </c>
      <c r="I16" s="698">
        <f t="shared" si="0"/>
        <v>0</v>
      </c>
      <c r="J16" s="698">
        <f t="shared" si="0"/>
        <v>0</v>
      </c>
      <c r="K16" s="698">
        <f t="shared" si="0"/>
        <v>204.27167093878447</v>
      </c>
      <c r="L16" s="698">
        <f t="shared" si="0"/>
        <v>0</v>
      </c>
      <c r="M16" s="698">
        <f t="shared" ca="1" si="0"/>
        <v>0</v>
      </c>
      <c r="N16" s="698">
        <f t="shared" si="0"/>
        <v>0</v>
      </c>
      <c r="O16" s="698">
        <f t="shared" ca="1" si="0"/>
        <v>9484.2737447768268</v>
      </c>
      <c r="P16" s="698">
        <f t="shared" si="0"/>
        <v>373.63666666666671</v>
      </c>
      <c r="Q16" s="698">
        <f t="shared" si="0"/>
        <v>953.33333333333337</v>
      </c>
      <c r="R16" s="698">
        <f t="shared" ca="1" si="0"/>
        <v>303719.0767854295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10.046023847169176</v>
      </c>
      <c r="D19" s="971">
        <f>transport!C54</f>
        <v>0</v>
      </c>
      <c r="E19" s="971">
        <f>transport!D54</f>
        <v>0</v>
      </c>
      <c r="F19" s="971">
        <f>transport!E54</f>
        <v>0</v>
      </c>
      <c r="G19" s="971">
        <f>transport!F54</f>
        <v>0</v>
      </c>
      <c r="H19" s="971">
        <f>transport!G54</f>
        <v>943.72422465200793</v>
      </c>
      <c r="I19" s="971">
        <f>transport!H54</f>
        <v>0</v>
      </c>
      <c r="J19" s="971">
        <f>transport!I54</f>
        <v>0</v>
      </c>
      <c r="K19" s="971">
        <f>transport!J54</f>
        <v>0</v>
      </c>
      <c r="L19" s="971">
        <f>transport!K54</f>
        <v>0</v>
      </c>
      <c r="M19" s="971">
        <f>transport!L54</f>
        <v>0</v>
      </c>
      <c r="N19" s="971">
        <f>transport!M54</f>
        <v>54.346244550600524</v>
      </c>
      <c r="O19" s="971">
        <f>transport!N54</f>
        <v>0</v>
      </c>
      <c r="P19" s="971">
        <f>transport!O54</f>
        <v>0</v>
      </c>
      <c r="Q19" s="972">
        <f>transport!P54</f>
        <v>0</v>
      </c>
      <c r="R19" s="666">
        <f>SUM(C19:Q19)</f>
        <v>1008.1164930497777</v>
      </c>
      <c r="S19" s="67"/>
    </row>
    <row r="20" spans="1:19" s="439" customFormat="1">
      <c r="A20" s="775" t="s">
        <v>295</v>
      </c>
      <c r="B20" s="780"/>
      <c r="C20" s="971">
        <f>transport!B14</f>
        <v>34.780657154301856</v>
      </c>
      <c r="D20" s="971">
        <f>transport!C14</f>
        <v>0</v>
      </c>
      <c r="E20" s="971">
        <f>transport!D14</f>
        <v>63.910887573775135</v>
      </c>
      <c r="F20" s="971">
        <f>transport!E14</f>
        <v>110.34885843896264</v>
      </c>
      <c r="G20" s="971">
        <f>transport!F14</f>
        <v>0</v>
      </c>
      <c r="H20" s="971">
        <f>transport!G14</f>
        <v>46523.906075317544</v>
      </c>
      <c r="I20" s="971">
        <f>transport!H14</f>
        <v>10232.301169629745</v>
      </c>
      <c r="J20" s="971">
        <f>transport!I14</f>
        <v>0</v>
      </c>
      <c r="K20" s="971">
        <f>transport!J14</f>
        <v>0</v>
      </c>
      <c r="L20" s="971">
        <f>transport!K14</f>
        <v>0</v>
      </c>
      <c r="M20" s="971">
        <f>transport!L14</f>
        <v>0</v>
      </c>
      <c r="N20" s="971">
        <f>transport!M14</f>
        <v>3019.4220119934753</v>
      </c>
      <c r="O20" s="971">
        <f>transport!N14</f>
        <v>0</v>
      </c>
      <c r="P20" s="971">
        <f>transport!O14</f>
        <v>0</v>
      </c>
      <c r="Q20" s="972">
        <f>transport!P14</f>
        <v>0</v>
      </c>
      <c r="R20" s="666">
        <f>SUM(C20:Q20)</f>
        <v>59984.669660107807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44.82668100147103</v>
      </c>
      <c r="D22" s="778">
        <f t="shared" ref="D22:R22" si="1">SUM(D18:D21)</f>
        <v>0</v>
      </c>
      <c r="E22" s="778">
        <f t="shared" si="1"/>
        <v>63.910887573775135</v>
      </c>
      <c r="F22" s="778">
        <f t="shared" si="1"/>
        <v>110.34885843896264</v>
      </c>
      <c r="G22" s="778">
        <f t="shared" si="1"/>
        <v>0</v>
      </c>
      <c r="H22" s="778">
        <f t="shared" si="1"/>
        <v>47467.630299969554</v>
      </c>
      <c r="I22" s="778">
        <f t="shared" si="1"/>
        <v>10232.301169629745</v>
      </c>
      <c r="J22" s="778">
        <f t="shared" si="1"/>
        <v>0</v>
      </c>
      <c r="K22" s="778">
        <f t="shared" si="1"/>
        <v>0</v>
      </c>
      <c r="L22" s="778">
        <f t="shared" si="1"/>
        <v>0</v>
      </c>
      <c r="M22" s="778">
        <f t="shared" si="1"/>
        <v>0</v>
      </c>
      <c r="N22" s="778">
        <f t="shared" si="1"/>
        <v>3073.7682565440759</v>
      </c>
      <c r="O22" s="778">
        <f t="shared" si="1"/>
        <v>0</v>
      </c>
      <c r="P22" s="778">
        <f t="shared" si="1"/>
        <v>0</v>
      </c>
      <c r="Q22" s="778">
        <f t="shared" si="1"/>
        <v>0</v>
      </c>
      <c r="R22" s="778">
        <f t="shared" si="1"/>
        <v>60992.786153157584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3671.3919879999999</v>
      </c>
      <c r="D24" s="971">
        <f>+landbouw!C8</f>
        <v>124.71428571428569</v>
      </c>
      <c r="E24" s="971">
        <f>+landbouw!D8</f>
        <v>70.970262000000005</v>
      </c>
      <c r="F24" s="971">
        <f>+landbouw!E8</f>
        <v>107.91342425275634</v>
      </c>
      <c r="G24" s="971">
        <f>+landbouw!F8</f>
        <v>15294.820630398082</v>
      </c>
      <c r="H24" s="971">
        <f>+landbouw!G8</f>
        <v>0</v>
      </c>
      <c r="I24" s="971">
        <f>+landbouw!H8</f>
        <v>0</v>
      </c>
      <c r="J24" s="971">
        <f>+landbouw!I8</f>
        <v>0</v>
      </c>
      <c r="K24" s="971">
        <f>+landbouw!J8</f>
        <v>531.90585501573889</v>
      </c>
      <c r="L24" s="971">
        <f>+landbouw!K8</f>
        <v>0</v>
      </c>
      <c r="M24" s="971">
        <f>+landbouw!L8</f>
        <v>0</v>
      </c>
      <c r="N24" s="971">
        <f>+landbouw!M8</f>
        <v>0</v>
      </c>
      <c r="O24" s="971">
        <f>+landbouw!N8</f>
        <v>0</v>
      </c>
      <c r="P24" s="971">
        <f>+landbouw!O8</f>
        <v>0</v>
      </c>
      <c r="Q24" s="972">
        <f>+landbouw!P8</f>
        <v>0</v>
      </c>
      <c r="R24" s="666">
        <f>SUM(C24:Q24)</f>
        <v>19801.716445380862</v>
      </c>
      <c r="S24" s="67"/>
    </row>
    <row r="25" spans="1:19" s="439" customFormat="1" ht="15" thickBot="1">
      <c r="A25" s="797" t="s">
        <v>802</v>
      </c>
      <c r="B25" s="974"/>
      <c r="C25" s="975">
        <f>IF(Onbekend_ele_kWh="---",0,Onbekend_ele_kWh)/1000+IF(REST_rest_ele_kWh="---",0,REST_rest_ele_kWh)/1000</f>
        <v>381.80042800000001</v>
      </c>
      <c r="D25" s="975"/>
      <c r="E25" s="975">
        <f>IF(onbekend_gas_kWh="---",0,onbekend_gas_kWh)/1000+IF(REST_rest_gas_kWh="---",0,REST_rest_gas_kWh)/1000</f>
        <v>1093.7929999999999</v>
      </c>
      <c r="F25" s="975"/>
      <c r="G25" s="975"/>
      <c r="H25" s="975"/>
      <c r="I25" s="975"/>
      <c r="J25" s="975"/>
      <c r="K25" s="975"/>
      <c r="L25" s="975"/>
      <c r="M25" s="975"/>
      <c r="N25" s="975"/>
      <c r="O25" s="975"/>
      <c r="P25" s="975"/>
      <c r="Q25" s="976"/>
      <c r="R25" s="666">
        <f>SUM(C25:Q25)</f>
        <v>1475.5934279999999</v>
      </c>
      <c r="S25" s="67"/>
    </row>
    <row r="26" spans="1:19" s="439" customFormat="1" ht="15.75" thickBot="1">
      <c r="A26" s="671" t="s">
        <v>803</v>
      </c>
      <c r="B26" s="783"/>
      <c r="C26" s="778">
        <f>SUM(C24:C25)</f>
        <v>4053.1924159999999</v>
      </c>
      <c r="D26" s="778">
        <f t="shared" ref="D26:R26" si="2">SUM(D24:D25)</f>
        <v>124.71428571428569</v>
      </c>
      <c r="E26" s="778">
        <f t="shared" si="2"/>
        <v>1164.7632619999999</v>
      </c>
      <c r="F26" s="778">
        <f t="shared" si="2"/>
        <v>107.91342425275634</v>
      </c>
      <c r="G26" s="778">
        <f t="shared" si="2"/>
        <v>15294.820630398082</v>
      </c>
      <c r="H26" s="778">
        <f t="shared" si="2"/>
        <v>0</v>
      </c>
      <c r="I26" s="778">
        <f t="shared" si="2"/>
        <v>0</v>
      </c>
      <c r="J26" s="778">
        <f t="shared" si="2"/>
        <v>0</v>
      </c>
      <c r="K26" s="778">
        <f t="shared" si="2"/>
        <v>531.90585501573889</v>
      </c>
      <c r="L26" s="778">
        <f t="shared" si="2"/>
        <v>0</v>
      </c>
      <c r="M26" s="778">
        <f t="shared" si="2"/>
        <v>0</v>
      </c>
      <c r="N26" s="778">
        <f t="shared" si="2"/>
        <v>0</v>
      </c>
      <c r="O26" s="778">
        <f t="shared" si="2"/>
        <v>0</v>
      </c>
      <c r="P26" s="778">
        <f t="shared" si="2"/>
        <v>0</v>
      </c>
      <c r="Q26" s="778">
        <f t="shared" si="2"/>
        <v>0</v>
      </c>
      <c r="R26" s="778">
        <f t="shared" si="2"/>
        <v>21277.309873380862</v>
      </c>
      <c r="S26" s="67"/>
    </row>
    <row r="27" spans="1:19" s="439" customFormat="1" ht="17.25" thickTop="1" thickBot="1">
      <c r="A27" s="672" t="s">
        <v>109</v>
      </c>
      <c r="B27" s="771"/>
      <c r="C27" s="673">
        <f ca="1">C22+C16+C26</f>
        <v>108619.70640163525</v>
      </c>
      <c r="D27" s="673">
        <f t="shared" ref="D27:R27" ca="1" si="3">D22+D16+D26</f>
        <v>19243.285714285714</v>
      </c>
      <c r="E27" s="673">
        <f t="shared" ca="1" si="3"/>
        <v>112778.64939971575</v>
      </c>
      <c r="F27" s="673">
        <f t="shared" si="3"/>
        <v>3443.88938321468</v>
      </c>
      <c r="G27" s="673">
        <f t="shared" ca="1" si="3"/>
        <v>69582.520916241803</v>
      </c>
      <c r="H27" s="673">
        <f t="shared" si="3"/>
        <v>47467.630299969554</v>
      </c>
      <c r="I27" s="673">
        <f t="shared" si="3"/>
        <v>10232.301169629745</v>
      </c>
      <c r="J27" s="673">
        <f t="shared" si="3"/>
        <v>0</v>
      </c>
      <c r="K27" s="673">
        <f t="shared" si="3"/>
        <v>736.17752595452339</v>
      </c>
      <c r="L27" s="673">
        <f t="shared" si="3"/>
        <v>0</v>
      </c>
      <c r="M27" s="673">
        <f t="shared" ca="1" si="3"/>
        <v>0</v>
      </c>
      <c r="N27" s="673">
        <f t="shared" si="3"/>
        <v>3073.7682565440759</v>
      </c>
      <c r="O27" s="673">
        <f t="shared" ca="1" si="3"/>
        <v>9484.2737447768268</v>
      </c>
      <c r="P27" s="673">
        <f t="shared" si="3"/>
        <v>373.63666666666671</v>
      </c>
      <c r="Q27" s="673">
        <f t="shared" si="3"/>
        <v>953.33333333333337</v>
      </c>
      <c r="R27" s="673">
        <f t="shared" ca="1" si="3"/>
        <v>385989.17281196796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10287.610033609169</v>
      </c>
      <c r="D40" s="971">
        <f ca="1">tertiair!C20</f>
        <v>0</v>
      </c>
      <c r="E40" s="971">
        <f ca="1">tertiair!D20</f>
        <v>7058.9978332240853</v>
      </c>
      <c r="F40" s="971">
        <f>tertiair!E20</f>
        <v>36.542726076471219</v>
      </c>
      <c r="G40" s="971">
        <f ca="1">tertiair!F20</f>
        <v>1872.9313094635972</v>
      </c>
      <c r="H40" s="971">
        <f>tertiair!G20</f>
        <v>0</v>
      </c>
      <c r="I40" s="971">
        <f>tertiair!H20</f>
        <v>0</v>
      </c>
      <c r="J40" s="971">
        <f>tertiair!I20</f>
        <v>0</v>
      </c>
      <c r="K40" s="971">
        <f>tertiair!J20</f>
        <v>1.4508694376983046E-2</v>
      </c>
      <c r="L40" s="971">
        <f>tertiair!K20</f>
        <v>0</v>
      </c>
      <c r="M40" s="971">
        <f ca="1">tertiair!L20</f>
        <v>0</v>
      </c>
      <c r="N40" s="971">
        <f>tertiair!M20</f>
        <v>0</v>
      </c>
      <c r="O40" s="971">
        <f ca="1">tertiair!N20</f>
        <v>0</v>
      </c>
      <c r="P40" s="971">
        <f>tertiair!O20</f>
        <v>0</v>
      </c>
      <c r="Q40" s="740">
        <f>tertiair!P20</f>
        <v>0</v>
      </c>
      <c r="R40" s="816">
        <f t="shared" ca="1" si="4"/>
        <v>19256.096411067701</v>
      </c>
    </row>
    <row r="41" spans="1:18">
      <c r="A41" s="788" t="s">
        <v>213</v>
      </c>
      <c r="B41" s="795"/>
      <c r="C41" s="971">
        <f ca="1">huishoudens!B12</f>
        <v>4050.9474865122552</v>
      </c>
      <c r="D41" s="971">
        <f ca="1">huishoudens!C12</f>
        <v>0</v>
      </c>
      <c r="E41" s="971">
        <f>huishoudens!D12</f>
        <v>6450.7097025162002</v>
      </c>
      <c r="F41" s="971">
        <f>huishoudens!E12</f>
        <v>379.65769570533092</v>
      </c>
      <c r="G41" s="971">
        <f>huishoudens!F12</f>
        <v>11313.771179513456</v>
      </c>
      <c r="H41" s="971">
        <f>huishoudens!G12</f>
        <v>0</v>
      </c>
      <c r="I41" s="971">
        <f>huishoudens!H12</f>
        <v>0</v>
      </c>
      <c r="J41" s="971">
        <f>huishoudens!I12</f>
        <v>0</v>
      </c>
      <c r="K41" s="971">
        <f>huishoudens!J12</f>
        <v>72.17966874164587</v>
      </c>
      <c r="L41" s="971">
        <f>huishoudens!K12</f>
        <v>0</v>
      </c>
      <c r="M41" s="971">
        <f>huishoudens!L12</f>
        <v>0</v>
      </c>
      <c r="N41" s="971">
        <f>huishoudens!M12</f>
        <v>0</v>
      </c>
      <c r="O41" s="971">
        <f>huishoudens!N12</f>
        <v>0</v>
      </c>
      <c r="P41" s="971">
        <f>huishoudens!O12</f>
        <v>0</v>
      </c>
      <c r="Q41" s="740">
        <f>huishoudens!P12</f>
        <v>0</v>
      </c>
      <c r="R41" s="816">
        <f t="shared" ca="1" si="4"/>
        <v>22267.26573298889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3922.9506180601475</v>
      </c>
      <c r="D43" s="971">
        <f ca="1">industrie!C22</f>
        <v>0</v>
      </c>
      <c r="E43" s="971">
        <f>industrie!D22</f>
        <v>9023.3874647884004</v>
      </c>
      <c r="F43" s="971">
        <f>industrie!E22</f>
        <v>316.01693003691008</v>
      </c>
      <c r="G43" s="971">
        <f>industrie!F22</f>
        <v>1308.1134873432215</v>
      </c>
      <c r="H43" s="971">
        <f>industrie!G22</f>
        <v>0</v>
      </c>
      <c r="I43" s="971">
        <f>industrie!H22</f>
        <v>0</v>
      </c>
      <c r="J43" s="971">
        <f>industrie!I22</f>
        <v>0</v>
      </c>
      <c r="K43" s="971">
        <f>industrie!J22</f>
        <v>0.11799407630684704</v>
      </c>
      <c r="L43" s="971">
        <f>industrie!K22</f>
        <v>0</v>
      </c>
      <c r="M43" s="971">
        <f>industrie!L22</f>
        <v>0</v>
      </c>
      <c r="N43" s="971">
        <f>industrie!M22</f>
        <v>0</v>
      </c>
      <c r="O43" s="971">
        <f>industrie!N22</f>
        <v>0</v>
      </c>
      <c r="P43" s="971">
        <f>industrie!O22</f>
        <v>0</v>
      </c>
      <c r="Q43" s="740">
        <f>industrie!P22</f>
        <v>0</v>
      </c>
      <c r="R43" s="815">
        <f t="shared" ca="1" si="4"/>
        <v>14570.586494304987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18261.508138181573</v>
      </c>
      <c r="D46" s="698">
        <f t="shared" ref="D46:Q46" ca="1" si="5">SUM(D39:D45)</f>
        <v>0</v>
      </c>
      <c r="E46" s="698">
        <f t="shared" ca="1" si="5"/>
        <v>22533.095000528687</v>
      </c>
      <c r="F46" s="698">
        <f t="shared" si="5"/>
        <v>732.21735181871225</v>
      </c>
      <c r="G46" s="698">
        <f t="shared" ca="1" si="5"/>
        <v>14494.815976320277</v>
      </c>
      <c r="H46" s="698">
        <f t="shared" si="5"/>
        <v>0</v>
      </c>
      <c r="I46" s="698">
        <f t="shared" si="5"/>
        <v>0</v>
      </c>
      <c r="J46" s="698">
        <f t="shared" si="5"/>
        <v>0</v>
      </c>
      <c r="K46" s="698">
        <f t="shared" si="5"/>
        <v>72.312171512329698</v>
      </c>
      <c r="L46" s="698">
        <f t="shared" si="5"/>
        <v>0</v>
      </c>
      <c r="M46" s="698">
        <f t="shared" ca="1" si="5"/>
        <v>0</v>
      </c>
      <c r="N46" s="698">
        <f t="shared" si="5"/>
        <v>0</v>
      </c>
      <c r="O46" s="698">
        <f t="shared" ca="1" si="5"/>
        <v>0</v>
      </c>
      <c r="P46" s="698">
        <f t="shared" si="5"/>
        <v>0</v>
      </c>
      <c r="Q46" s="698">
        <f t="shared" si="5"/>
        <v>0</v>
      </c>
      <c r="R46" s="698">
        <f ca="1">SUM(R39:R45)</f>
        <v>56093.94863836158</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1.7551912045464357</v>
      </c>
      <c r="D49" s="971">
        <f ca="1">transport!C58</f>
        <v>0</v>
      </c>
      <c r="E49" s="971">
        <f>transport!D58</f>
        <v>0</v>
      </c>
      <c r="F49" s="971">
        <f>transport!E58</f>
        <v>0</v>
      </c>
      <c r="G49" s="971">
        <f>transport!F58</f>
        <v>0</v>
      </c>
      <c r="H49" s="971">
        <f>transport!G58</f>
        <v>251.97436798208614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253.72955918663257</v>
      </c>
    </row>
    <row r="50" spans="1:18">
      <c r="A50" s="791" t="s">
        <v>295</v>
      </c>
      <c r="B50" s="801"/>
      <c r="C50" s="669">
        <f ca="1">transport!B18</f>
        <v>6.0767030274149469</v>
      </c>
      <c r="D50" s="669">
        <f>transport!C18</f>
        <v>0</v>
      </c>
      <c r="E50" s="669">
        <f>transport!D18</f>
        <v>12.909999289902578</v>
      </c>
      <c r="F50" s="669">
        <f>transport!E18</f>
        <v>25.049190865644519</v>
      </c>
      <c r="G50" s="669">
        <f>transport!F18</f>
        <v>0</v>
      </c>
      <c r="H50" s="669">
        <f>transport!G18</f>
        <v>12421.882922109784</v>
      </c>
      <c r="I50" s="669">
        <f>transport!H18</f>
        <v>2547.8429912378065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15013.761806530552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7.8318942319613827</v>
      </c>
      <c r="D52" s="698">
        <f t="shared" ref="D52:Q52" ca="1" si="6">SUM(D48:D51)</f>
        <v>0</v>
      </c>
      <c r="E52" s="698">
        <f t="shared" si="6"/>
        <v>12.909999289902578</v>
      </c>
      <c r="F52" s="698">
        <f t="shared" si="6"/>
        <v>25.049190865644519</v>
      </c>
      <c r="G52" s="698">
        <f t="shared" si="6"/>
        <v>0</v>
      </c>
      <c r="H52" s="698">
        <f t="shared" si="6"/>
        <v>12673.85729009187</v>
      </c>
      <c r="I52" s="698">
        <f t="shared" si="6"/>
        <v>2547.8429912378065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15267.491365717186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641.44730530334914</v>
      </c>
      <c r="D54" s="669">
        <f ca="1">+landbouw!C12</f>
        <v>0</v>
      </c>
      <c r="E54" s="669">
        <f>+landbouw!D12</f>
        <v>14.335992924000003</v>
      </c>
      <c r="F54" s="669">
        <f>+landbouw!E12</f>
        <v>24.496347305375689</v>
      </c>
      <c r="G54" s="669">
        <f>+landbouw!F12</f>
        <v>4083.7171083162884</v>
      </c>
      <c r="H54" s="669">
        <f>+landbouw!G12</f>
        <v>0</v>
      </c>
      <c r="I54" s="669">
        <f>+landbouw!H12</f>
        <v>0</v>
      </c>
      <c r="J54" s="669">
        <f>+landbouw!I12</f>
        <v>0</v>
      </c>
      <c r="K54" s="669">
        <f>+landbouw!J12</f>
        <v>188.29467267557155</v>
      </c>
      <c r="L54" s="669">
        <f>+landbouw!K12</f>
        <v>0</v>
      </c>
      <c r="M54" s="669">
        <f>+landbouw!L12</f>
        <v>0</v>
      </c>
      <c r="N54" s="669">
        <f>+landbouw!M12</f>
        <v>0</v>
      </c>
      <c r="O54" s="669">
        <f>+landbouw!N12</f>
        <v>0</v>
      </c>
      <c r="P54" s="669">
        <f>+landbouw!O12</f>
        <v>0</v>
      </c>
      <c r="Q54" s="670">
        <f>+landbouw!P12</f>
        <v>0</v>
      </c>
      <c r="R54" s="697">
        <f ca="1">SUM(C54:Q54)</f>
        <v>4952.2914265245854</v>
      </c>
    </row>
    <row r="55" spans="1:18" ht="15" thickBot="1">
      <c r="A55" s="791" t="s">
        <v>802</v>
      </c>
      <c r="B55" s="801"/>
      <c r="C55" s="669">
        <f ca="1">C25*'EF ele_warmte'!B12</f>
        <v>66.706267406133861</v>
      </c>
      <c r="D55" s="669"/>
      <c r="E55" s="669">
        <f>E25*EF_CO2_aardgas</f>
        <v>220.94618599999998</v>
      </c>
      <c r="F55" s="669"/>
      <c r="G55" s="669"/>
      <c r="H55" s="669"/>
      <c r="I55" s="669"/>
      <c r="J55" s="669"/>
      <c r="K55" s="669"/>
      <c r="L55" s="669"/>
      <c r="M55" s="669"/>
      <c r="N55" s="669"/>
      <c r="O55" s="669"/>
      <c r="P55" s="669"/>
      <c r="Q55" s="670"/>
      <c r="R55" s="697">
        <f ca="1">SUM(C55:Q55)</f>
        <v>287.65245340613387</v>
      </c>
    </row>
    <row r="56" spans="1:18" ht="15.75" thickBot="1">
      <c r="A56" s="789" t="s">
        <v>803</v>
      </c>
      <c r="B56" s="802"/>
      <c r="C56" s="698">
        <f ca="1">SUM(C54:C55)</f>
        <v>708.153572709483</v>
      </c>
      <c r="D56" s="698">
        <f t="shared" ref="D56:Q56" ca="1" si="7">SUM(D54:D55)</f>
        <v>0</v>
      </c>
      <c r="E56" s="698">
        <f t="shared" si="7"/>
        <v>235.28217892399999</v>
      </c>
      <c r="F56" s="698">
        <f t="shared" si="7"/>
        <v>24.496347305375689</v>
      </c>
      <c r="G56" s="698">
        <f t="shared" si="7"/>
        <v>4083.7171083162884</v>
      </c>
      <c r="H56" s="698">
        <f t="shared" si="7"/>
        <v>0</v>
      </c>
      <c r="I56" s="698">
        <f t="shared" si="7"/>
        <v>0</v>
      </c>
      <c r="J56" s="698">
        <f t="shared" si="7"/>
        <v>0</v>
      </c>
      <c r="K56" s="698">
        <f t="shared" si="7"/>
        <v>188.29467267557155</v>
      </c>
      <c r="L56" s="698">
        <f t="shared" si="7"/>
        <v>0</v>
      </c>
      <c r="M56" s="698">
        <f t="shared" si="7"/>
        <v>0</v>
      </c>
      <c r="N56" s="698">
        <f t="shared" si="7"/>
        <v>0</v>
      </c>
      <c r="O56" s="698">
        <f t="shared" si="7"/>
        <v>0</v>
      </c>
      <c r="P56" s="698">
        <f t="shared" si="7"/>
        <v>0</v>
      </c>
      <c r="Q56" s="699">
        <f t="shared" si="7"/>
        <v>0</v>
      </c>
      <c r="R56" s="700">
        <f ca="1">SUM(R54:R55)</f>
        <v>5239.943879930719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18977.493605123014</v>
      </c>
      <c r="D61" s="706">
        <f t="shared" ref="D61:Q61" ca="1" si="8">D46+D52+D56</f>
        <v>0</v>
      </c>
      <c r="E61" s="706">
        <f t="shared" ca="1" si="8"/>
        <v>22781.28717874259</v>
      </c>
      <c r="F61" s="706">
        <f t="shared" si="8"/>
        <v>781.76288998973246</v>
      </c>
      <c r="G61" s="706">
        <f t="shared" ca="1" si="8"/>
        <v>18578.533084636565</v>
      </c>
      <c r="H61" s="706">
        <f t="shared" si="8"/>
        <v>12673.85729009187</v>
      </c>
      <c r="I61" s="706">
        <f t="shared" si="8"/>
        <v>2547.8429912378065</v>
      </c>
      <c r="J61" s="706">
        <f t="shared" si="8"/>
        <v>0</v>
      </c>
      <c r="K61" s="706">
        <f t="shared" si="8"/>
        <v>260.60684418790123</v>
      </c>
      <c r="L61" s="706">
        <f t="shared" si="8"/>
        <v>0</v>
      </c>
      <c r="M61" s="706">
        <f t="shared" ca="1" si="8"/>
        <v>0</v>
      </c>
      <c r="N61" s="706">
        <f t="shared" si="8"/>
        <v>0</v>
      </c>
      <c r="O61" s="706">
        <f t="shared" ca="1" si="8"/>
        <v>0</v>
      </c>
      <c r="P61" s="706">
        <f t="shared" si="8"/>
        <v>0</v>
      </c>
      <c r="Q61" s="706">
        <f t="shared" si="8"/>
        <v>0</v>
      </c>
      <c r="R61" s="706">
        <f ca="1">R46+R52+R56</f>
        <v>76601.383884009483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0.17471501474098361</v>
      </c>
      <c r="D63" s="747">
        <f t="shared" ca="1" si="9"/>
        <v>0</v>
      </c>
      <c r="E63" s="982">
        <f t="shared" ca="1" si="9"/>
        <v>0.20200000000000007</v>
      </c>
      <c r="F63" s="747">
        <f t="shared" si="9"/>
        <v>0.22700000000000004</v>
      </c>
      <c r="G63" s="747">
        <f t="shared" ca="1" si="9"/>
        <v>0.26700000000000007</v>
      </c>
      <c r="H63" s="747">
        <f t="shared" si="9"/>
        <v>0.26699999999999996</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351.81240081911267</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8926.5822129291682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13470.3</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15847.411764705885</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22748.694613748281</v>
      </c>
      <c r="C78" s="721">
        <f>SUM(C72:C77)</f>
        <v>0</v>
      </c>
      <c r="D78" s="722">
        <f t="shared" ref="D78:H78" si="10">SUM(D76:D77)</f>
        <v>0</v>
      </c>
      <c r="E78" s="722">
        <f t="shared" si="10"/>
        <v>0</v>
      </c>
      <c r="F78" s="722">
        <f t="shared" si="10"/>
        <v>0</v>
      </c>
      <c r="G78" s="722">
        <f t="shared" si="10"/>
        <v>0</v>
      </c>
      <c r="H78" s="722">
        <f t="shared" si="10"/>
        <v>0</v>
      </c>
      <c r="I78" s="722">
        <f>SUM(I76:I77)</f>
        <v>0</v>
      </c>
      <c r="J78" s="722">
        <f>SUM(J76:J77)</f>
        <v>15847.411764705885</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19243.285714285714</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22639.15966386555</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19243.285714285714</v>
      </c>
      <c r="C90" s="721">
        <f>SUM(C87:C89)</f>
        <v>0</v>
      </c>
      <c r="D90" s="721">
        <f t="shared" ref="D90:H90" si="12">SUM(D87:D89)</f>
        <v>0</v>
      </c>
      <c r="E90" s="721">
        <f t="shared" si="12"/>
        <v>0</v>
      </c>
      <c r="F90" s="721">
        <f t="shared" si="12"/>
        <v>0</v>
      </c>
      <c r="G90" s="721">
        <f t="shared" si="12"/>
        <v>0</v>
      </c>
      <c r="H90" s="721">
        <f t="shared" si="12"/>
        <v>0</v>
      </c>
      <c r="I90" s="721">
        <f>SUM(I87:I89)</f>
        <v>0</v>
      </c>
      <c r="J90" s="721">
        <f>SUM(J87:J89)</f>
        <v>22639.15966386555</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23186.029503633767</v>
      </c>
      <c r="C4" s="443">
        <f>huishoudens!C8</f>
        <v>0</v>
      </c>
      <c r="D4" s="443">
        <f>huishoudens!D8</f>
        <v>31934.206448099998</v>
      </c>
      <c r="E4" s="443">
        <f>huishoudens!E8</f>
        <v>1672.5008621380216</v>
      </c>
      <c r="F4" s="443">
        <f>huishoudens!F8</f>
        <v>42373.67482963841</v>
      </c>
      <c r="G4" s="443">
        <f>huishoudens!G8</f>
        <v>0</v>
      </c>
      <c r="H4" s="443">
        <f>huishoudens!H8</f>
        <v>0</v>
      </c>
      <c r="I4" s="443">
        <f>huishoudens!I8</f>
        <v>0</v>
      </c>
      <c r="J4" s="443">
        <f>huishoudens!J8</f>
        <v>203.89736932668325</v>
      </c>
      <c r="K4" s="443">
        <f>huishoudens!K8</f>
        <v>0</v>
      </c>
      <c r="L4" s="443">
        <f>huishoudens!L8</f>
        <v>0</v>
      </c>
      <c r="M4" s="443">
        <f>huishoudens!M8</f>
        <v>0</v>
      </c>
      <c r="N4" s="443">
        <f>huishoudens!N8</f>
        <v>8074.1478730635608</v>
      </c>
      <c r="O4" s="443">
        <f>huishoudens!O8</f>
        <v>362.69333333333338</v>
      </c>
      <c r="P4" s="444">
        <f>huishoudens!P8</f>
        <v>915.2</v>
      </c>
      <c r="Q4" s="445">
        <f>SUM(B4:P4)</f>
        <v>108722.35021923376</v>
      </c>
    </row>
    <row r="5" spans="1:17">
      <c r="A5" s="442" t="s">
        <v>149</v>
      </c>
      <c r="B5" s="443">
        <f ca="1">tertiair!B16</f>
        <v>57953.072009999996</v>
      </c>
      <c r="C5" s="443">
        <f ca="1">tertiair!C16</f>
        <v>19118.571428571428</v>
      </c>
      <c r="D5" s="443">
        <f ca="1">tertiair!D16</f>
        <v>34945.533827842002</v>
      </c>
      <c r="E5" s="443">
        <f>tertiair!E16</f>
        <v>160.981172143045</v>
      </c>
      <c r="F5" s="443">
        <f ca="1">tertiair!F16</f>
        <v>7014.7240054816375</v>
      </c>
      <c r="G5" s="443">
        <f>tertiair!G16</f>
        <v>0</v>
      </c>
      <c r="H5" s="443">
        <f>tertiair!H16</f>
        <v>0</v>
      </c>
      <c r="I5" s="443">
        <f>tertiair!I16</f>
        <v>0</v>
      </c>
      <c r="J5" s="443">
        <f>tertiair!J16</f>
        <v>4.0985012364358892E-2</v>
      </c>
      <c r="K5" s="443">
        <f>tertiair!K16</f>
        <v>0</v>
      </c>
      <c r="L5" s="443">
        <f ca="1">tertiair!L16</f>
        <v>0</v>
      </c>
      <c r="M5" s="443">
        <f>tertiair!M16</f>
        <v>0</v>
      </c>
      <c r="N5" s="443">
        <f ca="1">tertiair!N16</f>
        <v>0</v>
      </c>
      <c r="O5" s="443">
        <f>tertiair!O16</f>
        <v>10.943333333333335</v>
      </c>
      <c r="P5" s="444">
        <f>tertiair!P16</f>
        <v>38.133333333333333</v>
      </c>
      <c r="Q5" s="442">
        <f t="shared" ref="Q5:Q14" ca="1" si="0">SUM(B5:P5)</f>
        <v>119242.00009571714</v>
      </c>
    </row>
    <row r="6" spans="1:17">
      <c r="A6" s="442" t="s">
        <v>187</v>
      </c>
      <c r="B6" s="443">
        <f>'openbare verlichting'!B8</f>
        <v>929.16</v>
      </c>
      <c r="C6" s="443"/>
      <c r="D6" s="443"/>
      <c r="E6" s="443"/>
      <c r="F6" s="443"/>
      <c r="G6" s="443"/>
      <c r="H6" s="443"/>
      <c r="I6" s="443"/>
      <c r="J6" s="443"/>
      <c r="K6" s="443"/>
      <c r="L6" s="443"/>
      <c r="M6" s="443"/>
      <c r="N6" s="443"/>
      <c r="O6" s="443"/>
      <c r="P6" s="444"/>
      <c r="Q6" s="442">
        <f t="shared" si="0"/>
        <v>929.16</v>
      </c>
    </row>
    <row r="7" spans="1:17">
      <c r="A7" s="442" t="s">
        <v>105</v>
      </c>
      <c r="B7" s="443">
        <f>landbouw!B8</f>
        <v>3671.3919879999999</v>
      </c>
      <c r="C7" s="443">
        <f>landbouw!C8</f>
        <v>124.71428571428569</v>
      </c>
      <c r="D7" s="443">
        <f>landbouw!D8</f>
        <v>70.970262000000005</v>
      </c>
      <c r="E7" s="443">
        <f>landbouw!E8</f>
        <v>107.91342425275634</v>
      </c>
      <c r="F7" s="443">
        <f>landbouw!F8</f>
        <v>15294.820630398082</v>
      </c>
      <c r="G7" s="443">
        <f>landbouw!G8</f>
        <v>0</v>
      </c>
      <c r="H7" s="443">
        <f>landbouw!H8</f>
        <v>0</v>
      </c>
      <c r="I7" s="443">
        <f>landbouw!I8</f>
        <v>0</v>
      </c>
      <c r="J7" s="443">
        <f>landbouw!J8</f>
        <v>531.90585501573889</v>
      </c>
      <c r="K7" s="443">
        <f>landbouw!K8</f>
        <v>0</v>
      </c>
      <c r="L7" s="443">
        <f>landbouw!L8</f>
        <v>0</v>
      </c>
      <c r="M7" s="443">
        <f>landbouw!M8</f>
        <v>0</v>
      </c>
      <c r="N7" s="443">
        <f>landbouw!N8</f>
        <v>0</v>
      </c>
      <c r="O7" s="443">
        <f>landbouw!O8</f>
        <v>0</v>
      </c>
      <c r="P7" s="444">
        <f>landbouw!P8</f>
        <v>0</v>
      </c>
      <c r="Q7" s="442">
        <f t="shared" si="0"/>
        <v>19801.716445380862</v>
      </c>
    </row>
    <row r="8" spans="1:17">
      <c r="A8" s="442" t="s">
        <v>621</v>
      </c>
      <c r="B8" s="443">
        <f>industrie!B18</f>
        <v>22453.425791000001</v>
      </c>
      <c r="C8" s="443">
        <f>industrie!C18</f>
        <v>0</v>
      </c>
      <c r="D8" s="443">
        <f>industrie!D18</f>
        <v>44670.234974200001</v>
      </c>
      <c r="E8" s="443">
        <f>industrie!E18</f>
        <v>1392.1450662418947</v>
      </c>
      <c r="F8" s="443">
        <f>industrie!F18</f>
        <v>4899.3014507236758</v>
      </c>
      <c r="G8" s="443">
        <f>industrie!G18</f>
        <v>0</v>
      </c>
      <c r="H8" s="443">
        <f>industrie!H18</f>
        <v>0</v>
      </c>
      <c r="I8" s="443">
        <f>industrie!I18</f>
        <v>0</v>
      </c>
      <c r="J8" s="443">
        <f>industrie!J18</f>
        <v>0.33331659973685607</v>
      </c>
      <c r="K8" s="443">
        <f>industrie!K18</f>
        <v>0</v>
      </c>
      <c r="L8" s="443">
        <f>industrie!L18</f>
        <v>0</v>
      </c>
      <c r="M8" s="443">
        <f>industrie!M18</f>
        <v>0</v>
      </c>
      <c r="N8" s="443">
        <f>industrie!N18</f>
        <v>1410.1258717132655</v>
      </c>
      <c r="O8" s="443">
        <f>industrie!O18</f>
        <v>0</v>
      </c>
      <c r="P8" s="444">
        <f>industrie!P18</f>
        <v>0</v>
      </c>
      <c r="Q8" s="442">
        <f t="shared" si="0"/>
        <v>74825.566470478574</v>
      </c>
    </row>
    <row r="9" spans="1:17" s="448" customFormat="1">
      <c r="A9" s="446" t="s">
        <v>547</v>
      </c>
      <c r="B9" s="447">
        <f>transport!B14</f>
        <v>34.780657154301856</v>
      </c>
      <c r="C9" s="447">
        <f>transport!C14</f>
        <v>0</v>
      </c>
      <c r="D9" s="447">
        <f>transport!D14</f>
        <v>63.910887573775135</v>
      </c>
      <c r="E9" s="447">
        <f>transport!E14</f>
        <v>110.34885843896264</v>
      </c>
      <c r="F9" s="447">
        <f>transport!F14</f>
        <v>0</v>
      </c>
      <c r="G9" s="447">
        <f>transport!G14</f>
        <v>46523.906075317544</v>
      </c>
      <c r="H9" s="447">
        <f>transport!H14</f>
        <v>10232.301169629745</v>
      </c>
      <c r="I9" s="447">
        <f>transport!I14</f>
        <v>0</v>
      </c>
      <c r="J9" s="447">
        <f>transport!J14</f>
        <v>0</v>
      </c>
      <c r="K9" s="447">
        <f>transport!K14</f>
        <v>0</v>
      </c>
      <c r="L9" s="447">
        <f>transport!L14</f>
        <v>0</v>
      </c>
      <c r="M9" s="447">
        <f>transport!M14</f>
        <v>3019.4220119934753</v>
      </c>
      <c r="N9" s="447">
        <f>transport!N14</f>
        <v>0</v>
      </c>
      <c r="O9" s="447">
        <f>transport!O14</f>
        <v>0</v>
      </c>
      <c r="P9" s="447">
        <f>transport!P14</f>
        <v>0</v>
      </c>
      <c r="Q9" s="446">
        <f>SUM(B9:P9)</f>
        <v>59984.669660107807</v>
      </c>
    </row>
    <row r="10" spans="1:17">
      <c r="A10" s="442" t="s">
        <v>537</v>
      </c>
      <c r="B10" s="443">
        <f>transport!B54</f>
        <v>10.046023847169176</v>
      </c>
      <c r="C10" s="443">
        <f>transport!C54</f>
        <v>0</v>
      </c>
      <c r="D10" s="443">
        <f>transport!D54</f>
        <v>0</v>
      </c>
      <c r="E10" s="443">
        <f>transport!E54</f>
        <v>0</v>
      </c>
      <c r="F10" s="443">
        <f>transport!F54</f>
        <v>0</v>
      </c>
      <c r="G10" s="443">
        <f>transport!G54</f>
        <v>943.72422465200793</v>
      </c>
      <c r="H10" s="443">
        <f>transport!H54</f>
        <v>0</v>
      </c>
      <c r="I10" s="443">
        <f>transport!I54</f>
        <v>0</v>
      </c>
      <c r="J10" s="443">
        <f>transport!J54</f>
        <v>0</v>
      </c>
      <c r="K10" s="443">
        <f>transport!K54</f>
        <v>0</v>
      </c>
      <c r="L10" s="443">
        <f>transport!L54</f>
        <v>0</v>
      </c>
      <c r="M10" s="443">
        <f>transport!M54</f>
        <v>54.346244550600524</v>
      </c>
      <c r="N10" s="443">
        <f>transport!N54</f>
        <v>0</v>
      </c>
      <c r="O10" s="443">
        <f>transport!O54</f>
        <v>0</v>
      </c>
      <c r="P10" s="444">
        <f>transport!P54</f>
        <v>0</v>
      </c>
      <c r="Q10" s="442">
        <f t="shared" si="0"/>
        <v>1008.1164930497777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381.80042800000001</v>
      </c>
      <c r="C14" s="450"/>
      <c r="D14" s="450">
        <f>'SEAP template'!E25</f>
        <v>1093.7929999999999</v>
      </c>
      <c r="E14" s="450"/>
      <c r="F14" s="450"/>
      <c r="G14" s="450"/>
      <c r="H14" s="450"/>
      <c r="I14" s="450"/>
      <c r="J14" s="450"/>
      <c r="K14" s="450"/>
      <c r="L14" s="450"/>
      <c r="M14" s="450"/>
      <c r="N14" s="450"/>
      <c r="O14" s="450"/>
      <c r="P14" s="451"/>
      <c r="Q14" s="442">
        <f t="shared" si="0"/>
        <v>1475.5934279999999</v>
      </c>
    </row>
    <row r="15" spans="1:17" s="452" customFormat="1">
      <c r="A15" s="997" t="s">
        <v>541</v>
      </c>
      <c r="B15" s="945">
        <f ca="1">SUM(B4:B14)</f>
        <v>108619.70640163525</v>
      </c>
      <c r="C15" s="945">
        <f t="shared" ref="C15:Q15" ca="1" si="1">SUM(C4:C14)</f>
        <v>19243.285714285714</v>
      </c>
      <c r="D15" s="945">
        <f t="shared" ca="1" si="1"/>
        <v>112778.64939971578</v>
      </c>
      <c r="E15" s="945">
        <f t="shared" si="1"/>
        <v>3443.8893832146805</v>
      </c>
      <c r="F15" s="945">
        <f t="shared" ca="1" si="1"/>
        <v>69582.520916241803</v>
      </c>
      <c r="G15" s="945">
        <f t="shared" si="1"/>
        <v>47467.630299969554</v>
      </c>
      <c r="H15" s="945">
        <f t="shared" si="1"/>
        <v>10232.301169629745</v>
      </c>
      <c r="I15" s="945">
        <f t="shared" si="1"/>
        <v>0</v>
      </c>
      <c r="J15" s="945">
        <f t="shared" si="1"/>
        <v>736.17752595452328</v>
      </c>
      <c r="K15" s="945">
        <f t="shared" si="1"/>
        <v>0</v>
      </c>
      <c r="L15" s="945">
        <f t="shared" ca="1" si="1"/>
        <v>0</v>
      </c>
      <c r="M15" s="945">
        <f t="shared" si="1"/>
        <v>3073.7682565440759</v>
      </c>
      <c r="N15" s="945">
        <f t="shared" ca="1" si="1"/>
        <v>9484.2737447768268</v>
      </c>
      <c r="O15" s="945">
        <f t="shared" si="1"/>
        <v>373.63666666666671</v>
      </c>
      <c r="P15" s="945">
        <f t="shared" si="1"/>
        <v>953.33333333333337</v>
      </c>
      <c r="Q15" s="945">
        <f t="shared" ca="1" si="1"/>
        <v>385989.1728119679</v>
      </c>
    </row>
    <row r="17" spans="1:17">
      <c r="A17" s="453" t="s">
        <v>542</v>
      </c>
      <c r="B17" s="752">
        <f ca="1">huishoudens!B10</f>
        <v>0.17471501474098364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4050.9474865122552</v>
      </c>
      <c r="C22" s="443">
        <f t="shared" ref="C22:C32" ca="1" si="3">C4*$C$17</f>
        <v>0</v>
      </c>
      <c r="D22" s="443">
        <f t="shared" ref="D22:D32" si="4">D4*$D$17</f>
        <v>6450.7097025162002</v>
      </c>
      <c r="E22" s="443">
        <f t="shared" ref="E22:E32" si="5">E4*$E$17</f>
        <v>379.65769570533092</v>
      </c>
      <c r="F22" s="443">
        <f t="shared" ref="F22:F32" si="6">F4*$F$17</f>
        <v>11313.771179513456</v>
      </c>
      <c r="G22" s="443">
        <f t="shared" ref="G22:G32" si="7">G4*$G$17</f>
        <v>0</v>
      </c>
      <c r="H22" s="443">
        <f t="shared" ref="H22:H32" si="8">H4*$H$17</f>
        <v>0</v>
      </c>
      <c r="I22" s="443">
        <f t="shared" ref="I22:I32" si="9">I4*$I$17</f>
        <v>0</v>
      </c>
      <c r="J22" s="443">
        <f t="shared" ref="J22:J32" si="10">J4*$J$17</f>
        <v>72.17966874164587</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22267.26573298889</v>
      </c>
    </row>
    <row r="23" spans="1:17">
      <c r="A23" s="442" t="s">
        <v>149</v>
      </c>
      <c r="B23" s="443">
        <f t="shared" ca="1" si="2"/>
        <v>10125.271830512436</v>
      </c>
      <c r="C23" s="443">
        <f t="shared" ca="1" si="3"/>
        <v>0</v>
      </c>
      <c r="D23" s="443">
        <f t="shared" ca="1" si="4"/>
        <v>7058.9978332240853</v>
      </c>
      <c r="E23" s="443">
        <f t="shared" si="5"/>
        <v>36.542726076471219</v>
      </c>
      <c r="F23" s="443">
        <f t="shared" ca="1" si="6"/>
        <v>1872.9313094635972</v>
      </c>
      <c r="G23" s="443">
        <f t="shared" si="7"/>
        <v>0</v>
      </c>
      <c r="H23" s="443">
        <f t="shared" si="8"/>
        <v>0</v>
      </c>
      <c r="I23" s="443">
        <f t="shared" si="9"/>
        <v>0</v>
      </c>
      <c r="J23" s="443">
        <f t="shared" si="10"/>
        <v>1.4508694376983046E-2</v>
      </c>
      <c r="K23" s="443">
        <f t="shared" si="11"/>
        <v>0</v>
      </c>
      <c r="L23" s="443">
        <f t="shared" ca="1" si="12"/>
        <v>0</v>
      </c>
      <c r="M23" s="443">
        <f t="shared" si="13"/>
        <v>0</v>
      </c>
      <c r="N23" s="443">
        <f t="shared" ca="1" si="14"/>
        <v>0</v>
      </c>
      <c r="O23" s="443">
        <f t="shared" si="15"/>
        <v>0</v>
      </c>
      <c r="P23" s="444">
        <f t="shared" si="16"/>
        <v>0</v>
      </c>
      <c r="Q23" s="442">
        <f t="shared" ref="Q23:Q32" ca="1" si="17">SUM(B23:P23)</f>
        <v>19093.758207970968</v>
      </c>
    </row>
    <row r="24" spans="1:17">
      <c r="A24" s="442" t="s">
        <v>187</v>
      </c>
      <c r="B24" s="443">
        <f t="shared" ca="1" si="2"/>
        <v>162.33820309673234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162.33820309673234</v>
      </c>
    </row>
    <row r="25" spans="1:17">
      <c r="A25" s="442" t="s">
        <v>105</v>
      </c>
      <c r="B25" s="443">
        <f t="shared" ca="1" si="2"/>
        <v>641.44730530334914</v>
      </c>
      <c r="C25" s="443">
        <f t="shared" ca="1" si="3"/>
        <v>0</v>
      </c>
      <c r="D25" s="443">
        <f t="shared" si="4"/>
        <v>14.335992924000003</v>
      </c>
      <c r="E25" s="443">
        <f t="shared" si="5"/>
        <v>24.496347305375689</v>
      </c>
      <c r="F25" s="443">
        <f t="shared" si="6"/>
        <v>4083.7171083162884</v>
      </c>
      <c r="G25" s="443">
        <f t="shared" si="7"/>
        <v>0</v>
      </c>
      <c r="H25" s="443">
        <f t="shared" si="8"/>
        <v>0</v>
      </c>
      <c r="I25" s="443">
        <f t="shared" si="9"/>
        <v>0</v>
      </c>
      <c r="J25" s="443">
        <f t="shared" si="10"/>
        <v>188.29467267557155</v>
      </c>
      <c r="K25" s="443">
        <f t="shared" si="11"/>
        <v>0</v>
      </c>
      <c r="L25" s="443">
        <f t="shared" si="12"/>
        <v>0</v>
      </c>
      <c r="M25" s="443">
        <f t="shared" si="13"/>
        <v>0</v>
      </c>
      <c r="N25" s="443">
        <f t="shared" si="14"/>
        <v>0</v>
      </c>
      <c r="O25" s="443">
        <f t="shared" si="15"/>
        <v>0</v>
      </c>
      <c r="P25" s="444">
        <f t="shared" si="16"/>
        <v>0</v>
      </c>
      <c r="Q25" s="442">
        <f t="shared" ca="1" si="17"/>
        <v>4952.2914265245854</v>
      </c>
    </row>
    <row r="26" spans="1:17">
      <c r="A26" s="442" t="s">
        <v>621</v>
      </c>
      <c r="B26" s="443">
        <f t="shared" ca="1" si="2"/>
        <v>3922.9506180601475</v>
      </c>
      <c r="C26" s="443">
        <f t="shared" ca="1" si="3"/>
        <v>0</v>
      </c>
      <c r="D26" s="443">
        <f t="shared" si="4"/>
        <v>9023.3874647884004</v>
      </c>
      <c r="E26" s="443">
        <f t="shared" si="5"/>
        <v>316.01693003691008</v>
      </c>
      <c r="F26" s="443">
        <f t="shared" si="6"/>
        <v>1308.1134873432215</v>
      </c>
      <c r="G26" s="443">
        <f t="shared" si="7"/>
        <v>0</v>
      </c>
      <c r="H26" s="443">
        <f t="shared" si="8"/>
        <v>0</v>
      </c>
      <c r="I26" s="443">
        <f t="shared" si="9"/>
        <v>0</v>
      </c>
      <c r="J26" s="443">
        <f t="shared" si="10"/>
        <v>0.11799407630684704</v>
      </c>
      <c r="K26" s="443">
        <f t="shared" si="11"/>
        <v>0</v>
      </c>
      <c r="L26" s="443">
        <f t="shared" si="12"/>
        <v>0</v>
      </c>
      <c r="M26" s="443">
        <f t="shared" si="13"/>
        <v>0</v>
      </c>
      <c r="N26" s="443">
        <f t="shared" si="14"/>
        <v>0</v>
      </c>
      <c r="O26" s="443">
        <f t="shared" si="15"/>
        <v>0</v>
      </c>
      <c r="P26" s="444">
        <f t="shared" si="16"/>
        <v>0</v>
      </c>
      <c r="Q26" s="442">
        <f t="shared" ca="1" si="17"/>
        <v>14570.586494304987</v>
      </c>
    </row>
    <row r="27" spans="1:17" s="448" customFormat="1">
      <c r="A27" s="446" t="s">
        <v>547</v>
      </c>
      <c r="B27" s="746">
        <f t="shared" ca="1" si="2"/>
        <v>6.0767030274149469</v>
      </c>
      <c r="C27" s="447">
        <f t="shared" ca="1" si="3"/>
        <v>0</v>
      </c>
      <c r="D27" s="447">
        <f t="shared" si="4"/>
        <v>12.909999289902578</v>
      </c>
      <c r="E27" s="447">
        <f t="shared" si="5"/>
        <v>25.049190865644519</v>
      </c>
      <c r="F27" s="447">
        <f t="shared" si="6"/>
        <v>0</v>
      </c>
      <c r="G27" s="447">
        <f t="shared" si="7"/>
        <v>12421.882922109784</v>
      </c>
      <c r="H27" s="447">
        <f t="shared" si="8"/>
        <v>2547.8429912378065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15013.761806530552</v>
      </c>
    </row>
    <row r="28" spans="1:17">
      <c r="A28" s="442" t="s">
        <v>537</v>
      </c>
      <c r="B28" s="443">
        <f t="shared" ca="1" si="2"/>
        <v>1.7551912045464357</v>
      </c>
      <c r="C28" s="443">
        <f t="shared" ca="1" si="3"/>
        <v>0</v>
      </c>
      <c r="D28" s="443">
        <f t="shared" si="4"/>
        <v>0</v>
      </c>
      <c r="E28" s="443">
        <f t="shared" si="5"/>
        <v>0</v>
      </c>
      <c r="F28" s="443">
        <f t="shared" si="6"/>
        <v>0</v>
      </c>
      <c r="G28" s="443">
        <f t="shared" si="7"/>
        <v>251.97436798208614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253.72955918663257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66.706267406133861</v>
      </c>
      <c r="C32" s="443">
        <f t="shared" ca="1" si="3"/>
        <v>0</v>
      </c>
      <c r="D32" s="443">
        <f t="shared" si="4"/>
        <v>220.94618599999998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287.65245340613387</v>
      </c>
    </row>
    <row r="33" spans="1:17" s="452" customFormat="1">
      <c r="A33" s="997" t="s">
        <v>541</v>
      </c>
      <c r="B33" s="945">
        <f ca="1">SUM(B22:B32)</f>
        <v>18977.493605123014</v>
      </c>
      <c r="C33" s="945">
        <f t="shared" ref="C33:Q33" ca="1" si="18">SUM(C22:C32)</f>
        <v>0</v>
      </c>
      <c r="D33" s="945">
        <f t="shared" ca="1" si="18"/>
        <v>22781.28717874259</v>
      </c>
      <c r="E33" s="945">
        <f t="shared" si="18"/>
        <v>781.76288998973246</v>
      </c>
      <c r="F33" s="945">
        <f t="shared" ca="1" si="18"/>
        <v>18578.533084636565</v>
      </c>
      <c r="G33" s="945">
        <f t="shared" si="18"/>
        <v>12673.85729009187</v>
      </c>
      <c r="H33" s="945">
        <f t="shared" si="18"/>
        <v>2547.8429912378065</v>
      </c>
      <c r="I33" s="945">
        <f t="shared" si="18"/>
        <v>0</v>
      </c>
      <c r="J33" s="945">
        <f t="shared" si="18"/>
        <v>260.60684418790123</v>
      </c>
      <c r="K33" s="945">
        <f t="shared" si="18"/>
        <v>0</v>
      </c>
      <c r="L33" s="945">
        <f t="shared" ca="1" si="18"/>
        <v>0</v>
      </c>
      <c r="M33" s="945">
        <f t="shared" si="18"/>
        <v>0</v>
      </c>
      <c r="N33" s="945">
        <f t="shared" ca="1" si="18"/>
        <v>0</v>
      </c>
      <c r="O33" s="945">
        <f t="shared" si="18"/>
        <v>0</v>
      </c>
      <c r="P33" s="945">
        <f t="shared" si="18"/>
        <v>0</v>
      </c>
      <c r="Q33" s="945">
        <f t="shared" ca="1" si="18"/>
        <v>76601.383884009483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351.81240081911267</v>
      </c>
      <c r="C5" s="1014"/>
      <c r="D5" s="1014"/>
      <c r="E5" s="1014"/>
      <c r="F5" s="1014"/>
      <c r="G5" s="1014"/>
      <c r="H5" s="1014"/>
      <c r="I5" s="1014"/>
      <c r="J5" s="1014"/>
      <c r="K5" s="1014"/>
      <c r="L5" s="1014"/>
      <c r="M5" s="1014"/>
      <c r="N5" s="1014"/>
      <c r="O5" s="1014"/>
      <c r="P5" s="1015">
        <f>'SEAP template'!Q73</f>
        <v>0</v>
      </c>
    </row>
    <row r="6" spans="1:16">
      <c r="A6" s="1016" t="s">
        <v>239</v>
      </c>
      <c r="B6" s="1014">
        <f>'SEAP template'!B74</f>
        <v>8926.5822129291682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13470.3</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15847.411764705885</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22748.694613748281</v>
      </c>
      <c r="C10" s="1018">
        <f>SUM(C4:C9)</f>
        <v>0</v>
      </c>
      <c r="D10" s="1018">
        <f t="shared" ref="D10:H10" si="0">SUM(D8:D9)</f>
        <v>0</v>
      </c>
      <c r="E10" s="1018">
        <f t="shared" si="0"/>
        <v>0</v>
      </c>
      <c r="F10" s="1018">
        <f t="shared" si="0"/>
        <v>0</v>
      </c>
      <c r="G10" s="1018">
        <f t="shared" si="0"/>
        <v>0</v>
      </c>
      <c r="H10" s="1018">
        <f t="shared" si="0"/>
        <v>0</v>
      </c>
      <c r="I10" s="1018">
        <f>SUM(I8:I9)</f>
        <v>0</v>
      </c>
      <c r="J10" s="1018">
        <f>SUM(J8:J9)</f>
        <v>15847.411764705885</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0.17471501474098364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19243.285714285714</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22639.15966386555</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19243.285714285714</v>
      </c>
      <c r="C20" s="1018">
        <f>SUM(C17:C19)</f>
        <v>0</v>
      </c>
      <c r="D20" s="1018">
        <f t="shared" ref="D20:H20" si="2">SUM(D17:D19)</f>
        <v>0</v>
      </c>
      <c r="E20" s="1018">
        <f t="shared" si="2"/>
        <v>0</v>
      </c>
      <c r="F20" s="1018">
        <f t="shared" si="2"/>
        <v>0</v>
      </c>
      <c r="G20" s="1018">
        <f t="shared" si="2"/>
        <v>0</v>
      </c>
      <c r="H20" s="1018">
        <f t="shared" si="2"/>
        <v>0</v>
      </c>
      <c r="I20" s="1018">
        <f>SUM(I17:I19)</f>
        <v>0</v>
      </c>
      <c r="J20" s="1018">
        <f>SUM(J17:J19)</f>
        <v>22639.15966386555</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0.17471501474098364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0.17471501474098364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0.17471501474098364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5248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3121.91</v>
      </c>
      <c r="C14" s="324"/>
      <c r="D14" s="324"/>
      <c r="E14" s="324"/>
      <c r="F14" s="324"/>
    </row>
    <row r="15" spans="1:6">
      <c r="A15" s="1289" t="s">
        <v>177</v>
      </c>
      <c r="B15" s="1290">
        <v>75</v>
      </c>
      <c r="C15" s="324"/>
      <c r="D15" s="324"/>
      <c r="E15" s="324"/>
      <c r="F15" s="324"/>
    </row>
    <row r="16" spans="1:6">
      <c r="A16" s="1289" t="s">
        <v>6</v>
      </c>
      <c r="B16" s="1290">
        <v>3522</v>
      </c>
      <c r="C16" s="324"/>
      <c r="D16" s="324"/>
      <c r="E16" s="324"/>
      <c r="F16" s="324"/>
    </row>
    <row r="17" spans="1:6">
      <c r="A17" s="1289" t="s">
        <v>7</v>
      </c>
      <c r="B17" s="1290">
        <v>401</v>
      </c>
      <c r="C17" s="324"/>
      <c r="D17" s="324"/>
      <c r="E17" s="324"/>
      <c r="F17" s="324"/>
    </row>
    <row r="18" spans="1:6">
      <c r="A18" s="1289" t="s">
        <v>8</v>
      </c>
      <c r="B18" s="1290">
        <v>1978</v>
      </c>
      <c r="C18" s="324"/>
      <c r="D18" s="324"/>
      <c r="E18" s="324"/>
      <c r="F18" s="324"/>
    </row>
    <row r="19" spans="1:6">
      <c r="A19" s="1289" t="s">
        <v>9</v>
      </c>
      <c r="B19" s="1290">
        <v>1951</v>
      </c>
      <c r="C19" s="324"/>
      <c r="D19" s="324"/>
      <c r="E19" s="324"/>
      <c r="F19" s="324"/>
    </row>
    <row r="20" spans="1:6">
      <c r="A20" s="1289" t="s">
        <v>10</v>
      </c>
      <c r="B20" s="1290">
        <v>979</v>
      </c>
      <c r="C20" s="324"/>
      <c r="D20" s="324"/>
      <c r="E20" s="324"/>
      <c r="F20" s="324"/>
    </row>
    <row r="21" spans="1:6">
      <c r="A21" s="1289" t="s">
        <v>11</v>
      </c>
      <c r="B21" s="1290">
        <v>8490</v>
      </c>
      <c r="C21" s="324"/>
      <c r="D21" s="324"/>
      <c r="E21" s="324"/>
      <c r="F21" s="324"/>
    </row>
    <row r="22" spans="1:6">
      <c r="A22" s="1289" t="s">
        <v>12</v>
      </c>
      <c r="B22" s="1290">
        <v>21632</v>
      </c>
      <c r="C22" s="324"/>
      <c r="D22" s="324"/>
      <c r="E22" s="324"/>
      <c r="F22" s="324"/>
    </row>
    <row r="23" spans="1:6">
      <c r="A23" s="1289" t="s">
        <v>13</v>
      </c>
      <c r="B23" s="1290">
        <v>507</v>
      </c>
      <c r="C23" s="324"/>
      <c r="D23" s="324"/>
      <c r="E23" s="324"/>
      <c r="F23" s="324"/>
    </row>
    <row r="24" spans="1:6">
      <c r="A24" s="1289" t="s">
        <v>14</v>
      </c>
      <c r="B24" s="1290">
        <v>106</v>
      </c>
      <c r="C24" s="324"/>
      <c r="D24" s="324"/>
      <c r="E24" s="324"/>
      <c r="F24" s="324"/>
    </row>
    <row r="25" spans="1:6">
      <c r="A25" s="1289" t="s">
        <v>15</v>
      </c>
      <c r="B25" s="1290">
        <v>1879</v>
      </c>
      <c r="C25" s="324"/>
      <c r="D25" s="324"/>
      <c r="E25" s="324"/>
      <c r="F25" s="324"/>
    </row>
    <row r="26" spans="1:6">
      <c r="A26" s="1289" t="s">
        <v>16</v>
      </c>
      <c r="B26" s="1290">
        <v>49</v>
      </c>
      <c r="C26" s="324"/>
      <c r="D26" s="324"/>
      <c r="E26" s="324"/>
      <c r="F26" s="324"/>
    </row>
    <row r="27" spans="1:6">
      <c r="A27" s="1289" t="s">
        <v>17</v>
      </c>
      <c r="B27" s="1290">
        <v>14</v>
      </c>
      <c r="C27" s="324"/>
      <c r="D27" s="324"/>
      <c r="E27" s="324"/>
      <c r="F27" s="324"/>
    </row>
    <row r="28" spans="1:6">
      <c r="A28" s="1289" t="s">
        <v>18</v>
      </c>
      <c r="B28" s="1291">
        <v>179247</v>
      </c>
      <c r="C28" s="324"/>
      <c r="D28" s="324"/>
      <c r="E28" s="324"/>
      <c r="F28" s="324"/>
    </row>
    <row r="29" spans="1:6">
      <c r="A29" s="1289" t="s">
        <v>716</v>
      </c>
      <c r="B29" s="1291">
        <v>363</v>
      </c>
      <c r="C29" s="324"/>
      <c r="D29" s="324"/>
      <c r="E29" s="324"/>
      <c r="F29" s="324"/>
    </row>
    <row r="30" spans="1:6">
      <c r="A30" s="1284" t="s">
        <v>717</v>
      </c>
      <c r="B30" s="1292">
        <v>96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10</v>
      </c>
      <c r="F36" s="1290">
        <v>34491</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16028</v>
      </c>
    </row>
    <row r="39" spans="1:6">
      <c r="A39" s="1289" t="s">
        <v>29</v>
      </c>
      <c r="B39" s="1289" t="s">
        <v>30</v>
      </c>
      <c r="C39" s="1290">
        <v>2447</v>
      </c>
      <c r="D39" s="1290">
        <v>35403776.549999997</v>
      </c>
      <c r="E39" s="1290">
        <v>5150</v>
      </c>
      <c r="F39" s="1290">
        <v>17647382.280999999</v>
      </c>
    </row>
    <row r="40" spans="1:6">
      <c r="A40" s="1289" t="s">
        <v>29</v>
      </c>
      <c r="B40" s="1289" t="s">
        <v>28</v>
      </c>
      <c r="C40" s="1290">
        <v>0</v>
      </c>
      <c r="D40" s="1290">
        <v>0</v>
      </c>
      <c r="E40" s="1290">
        <v>0</v>
      </c>
      <c r="F40" s="1290">
        <v>0</v>
      </c>
    </row>
    <row r="41" spans="1:6">
      <c r="A41" s="1289" t="s">
        <v>31</v>
      </c>
      <c r="B41" s="1289" t="s">
        <v>32</v>
      </c>
      <c r="C41" s="1290">
        <v>70</v>
      </c>
      <c r="D41" s="1290">
        <v>1434231.3</v>
      </c>
      <c r="E41" s="1290">
        <v>144</v>
      </c>
      <c r="F41" s="1290">
        <v>4535469.085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8</v>
      </c>
      <c r="D44" s="1290">
        <v>3583397.8859999999</v>
      </c>
      <c r="E44" s="1290">
        <v>24</v>
      </c>
      <c r="F44" s="1290">
        <v>3308505.3689999999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v>
      </c>
      <c r="D48" s="1290">
        <v>101722</v>
      </c>
      <c r="E48" s="1290">
        <v>3</v>
      </c>
      <c r="F48" s="1290">
        <v>93105.69</v>
      </c>
    </row>
    <row r="49" spans="1:6">
      <c r="A49" s="1289" t="s">
        <v>31</v>
      </c>
      <c r="B49" s="1289" t="s">
        <v>39</v>
      </c>
      <c r="C49" s="1290">
        <v>3</v>
      </c>
      <c r="D49" s="1290">
        <v>51235</v>
      </c>
      <c r="E49" s="1290">
        <v>6</v>
      </c>
      <c r="F49" s="1290">
        <v>82132</v>
      </c>
    </row>
    <row r="50" spans="1:6">
      <c r="A50" s="1289" t="s">
        <v>31</v>
      </c>
      <c r="B50" s="1289" t="s">
        <v>40</v>
      </c>
      <c r="C50" s="1290">
        <v>6</v>
      </c>
      <c r="D50" s="1290">
        <v>44352955.913999997</v>
      </c>
      <c r="E50" s="1290">
        <v>5</v>
      </c>
      <c r="F50" s="1290">
        <v>14434213.647</v>
      </c>
    </row>
    <row r="51" spans="1:6">
      <c r="A51" s="1289" t="s">
        <v>41</v>
      </c>
      <c r="B51" s="1289" t="s">
        <v>42</v>
      </c>
      <c r="C51" s="1290">
        <v>4</v>
      </c>
      <c r="D51" s="1290">
        <v>78681</v>
      </c>
      <c r="E51" s="1290">
        <v>141</v>
      </c>
      <c r="F51" s="1290">
        <v>3671391.9879999999</v>
      </c>
    </row>
    <row r="52" spans="1:6">
      <c r="A52" s="1289" t="s">
        <v>41</v>
      </c>
      <c r="B52" s="1289" t="s">
        <v>28</v>
      </c>
      <c r="C52" s="1290">
        <v>0</v>
      </c>
      <c r="D52" s="1290">
        <v>0</v>
      </c>
      <c r="E52" s="1290">
        <v>0</v>
      </c>
      <c r="F52" s="1290">
        <v>0</v>
      </c>
    </row>
    <row r="53" spans="1:6">
      <c r="A53" s="1289" t="s">
        <v>43</v>
      </c>
      <c r="B53" s="1289" t="s">
        <v>44</v>
      </c>
      <c r="C53" s="1290">
        <v>45</v>
      </c>
      <c r="D53" s="1290">
        <v>1093793</v>
      </c>
      <c r="E53" s="1290">
        <v>88</v>
      </c>
      <c r="F53" s="1290">
        <v>381800.42800000001</v>
      </c>
    </row>
    <row r="54" spans="1:6">
      <c r="A54" s="1289" t="s">
        <v>45</v>
      </c>
      <c r="B54" s="1289" t="s">
        <v>46</v>
      </c>
      <c r="C54" s="1290">
        <v>0</v>
      </c>
      <c r="D54" s="1290">
        <v>0</v>
      </c>
      <c r="E54" s="1290">
        <v>3</v>
      </c>
      <c r="F54" s="1290">
        <v>929160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23</v>
      </c>
      <c r="D57" s="1290">
        <v>1390137.9709999999</v>
      </c>
      <c r="E57" s="1290">
        <v>87</v>
      </c>
      <c r="F57" s="1290">
        <v>1888181.199</v>
      </c>
    </row>
    <row r="58" spans="1:6">
      <c r="A58" s="1289" t="s">
        <v>48</v>
      </c>
      <c r="B58" s="1289" t="s">
        <v>50</v>
      </c>
      <c r="C58" s="1290">
        <v>15</v>
      </c>
      <c r="D58" s="1290">
        <v>1420261.7</v>
      </c>
      <c r="E58" s="1290">
        <v>24</v>
      </c>
      <c r="F58" s="1290">
        <v>495579.70600000001</v>
      </c>
    </row>
    <row r="59" spans="1:6">
      <c r="A59" s="1289" t="s">
        <v>48</v>
      </c>
      <c r="B59" s="1289" t="s">
        <v>51</v>
      </c>
      <c r="C59" s="1290">
        <v>55</v>
      </c>
      <c r="D59" s="1290">
        <v>1796847</v>
      </c>
      <c r="E59" s="1290">
        <v>124</v>
      </c>
      <c r="F59" s="1290">
        <v>3480084.0830000001</v>
      </c>
    </row>
    <row r="60" spans="1:6">
      <c r="A60" s="1289" t="s">
        <v>48</v>
      </c>
      <c r="B60" s="1289" t="s">
        <v>52</v>
      </c>
      <c r="C60" s="1290">
        <v>27</v>
      </c>
      <c r="D60" s="1290">
        <v>915484</v>
      </c>
      <c r="E60" s="1290">
        <v>68</v>
      </c>
      <c r="F60" s="1290">
        <v>1965761.0220000001</v>
      </c>
    </row>
    <row r="61" spans="1:6">
      <c r="A61" s="1289" t="s">
        <v>48</v>
      </c>
      <c r="B61" s="1289" t="s">
        <v>53</v>
      </c>
      <c r="C61" s="1290">
        <v>58</v>
      </c>
      <c r="D61" s="1290">
        <v>32618138.300000001</v>
      </c>
      <c r="E61" s="1290">
        <v>150</v>
      </c>
      <c r="F61" s="1290">
        <v>36468778</v>
      </c>
    </row>
    <row r="62" spans="1:6">
      <c r="A62" s="1289" t="s">
        <v>48</v>
      </c>
      <c r="B62" s="1289" t="s">
        <v>54</v>
      </c>
      <c r="C62" s="1290">
        <v>9</v>
      </c>
      <c r="D62" s="1290">
        <v>601408</v>
      </c>
      <c r="E62" s="1290">
        <v>12</v>
      </c>
      <c r="F62" s="1290">
        <v>271688</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0</v>
      </c>
      <c r="D65" s="1290">
        <v>0</v>
      </c>
      <c r="E65" s="1290">
        <v>0</v>
      </c>
      <c r="F65" s="1290">
        <v>0</v>
      </c>
    </row>
    <row r="66" spans="1:6">
      <c r="A66" s="1289" t="s">
        <v>55</v>
      </c>
      <c r="B66" s="1289" t="s">
        <v>57</v>
      </c>
      <c r="C66" s="1290">
        <v>0</v>
      </c>
      <c r="D66" s="1290">
        <v>0</v>
      </c>
      <c r="E66" s="1290">
        <v>5</v>
      </c>
      <c r="F66" s="1290">
        <v>90067</v>
      </c>
    </row>
    <row r="67" spans="1:6">
      <c r="A67" s="1289" t="s">
        <v>55</v>
      </c>
      <c r="B67" s="1289" t="s">
        <v>58</v>
      </c>
      <c r="C67" s="1290">
        <v>0</v>
      </c>
      <c r="D67" s="1290">
        <v>0</v>
      </c>
      <c r="E67" s="1290">
        <v>0</v>
      </c>
      <c r="F67" s="1290">
        <v>0</v>
      </c>
    </row>
    <row r="68" spans="1:6">
      <c r="A68" s="1284" t="s">
        <v>55</v>
      </c>
      <c r="B68" s="1284" t="s">
        <v>59</v>
      </c>
      <c r="C68" s="1292">
        <v>0</v>
      </c>
      <c r="D68" s="1292">
        <v>0</v>
      </c>
      <c r="E68" s="1292">
        <v>7</v>
      </c>
      <c r="F68" s="1292">
        <v>73531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43619713</v>
      </c>
      <c r="E73" s="441"/>
      <c r="F73" s="324"/>
    </row>
    <row r="74" spans="1:6">
      <c r="A74" s="1289" t="s">
        <v>63</v>
      </c>
      <c r="B74" s="1289" t="s">
        <v>642</v>
      </c>
      <c r="C74" s="1302" t="s">
        <v>644</v>
      </c>
      <c r="D74" s="1290">
        <v>5363992</v>
      </c>
      <c r="E74" s="441"/>
      <c r="F74" s="324"/>
    </row>
    <row r="75" spans="1:6">
      <c r="A75" s="1289" t="s">
        <v>64</v>
      </c>
      <c r="B75" s="1289" t="s">
        <v>641</v>
      </c>
      <c r="C75" s="1302" t="s">
        <v>645</v>
      </c>
      <c r="D75" s="1290">
        <v>20289318</v>
      </c>
      <c r="E75" s="441"/>
      <c r="F75" s="324"/>
    </row>
    <row r="76" spans="1:6">
      <c r="A76" s="1289" t="s">
        <v>64</v>
      </c>
      <c r="B76" s="1289" t="s">
        <v>642</v>
      </c>
      <c r="C76" s="1302" t="s">
        <v>646</v>
      </c>
      <c r="D76" s="1290">
        <v>230737</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274194</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351.81240081911267</v>
      </c>
      <c r="C89" s="324"/>
      <c r="D89" s="324"/>
      <c r="E89" s="324"/>
      <c r="F89" s="324"/>
    </row>
    <row r="90" spans="1:6">
      <c r="A90" s="1289" t="s">
        <v>535</v>
      </c>
      <c r="B90" s="1290">
        <v>0</v>
      </c>
      <c r="C90" s="324"/>
      <c r="D90" s="324"/>
      <c r="E90" s="324"/>
      <c r="F90" s="324"/>
    </row>
    <row r="91" spans="1:6">
      <c r="A91" s="1289" t="s">
        <v>67</v>
      </c>
      <c r="B91" s="1290">
        <v>5538.6472226337692</v>
      </c>
      <c r="C91" s="324"/>
      <c r="D91" s="324"/>
      <c r="E91" s="324"/>
      <c r="F91" s="324"/>
    </row>
    <row r="92" spans="1:6">
      <c r="A92" s="1284" t="s">
        <v>68</v>
      </c>
      <c r="B92" s="1285">
        <v>3387.9349902953995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538</v>
      </c>
      <c r="C97" s="324"/>
      <c r="D97" s="324"/>
      <c r="E97" s="324"/>
      <c r="F97" s="324"/>
    </row>
    <row r="98" spans="1:6">
      <c r="A98" s="1289" t="s">
        <v>71</v>
      </c>
      <c r="B98" s="1290">
        <v>6</v>
      </c>
      <c r="C98" s="324"/>
      <c r="D98" s="324"/>
      <c r="E98" s="324"/>
      <c r="F98" s="324"/>
    </row>
    <row r="99" spans="1:6">
      <c r="A99" s="1289" t="s">
        <v>72</v>
      </c>
      <c r="B99" s="1290">
        <v>56</v>
      </c>
      <c r="C99" s="324"/>
      <c r="D99" s="324"/>
      <c r="E99" s="324"/>
      <c r="F99" s="324"/>
    </row>
    <row r="100" spans="1:6">
      <c r="A100" s="1289" t="s">
        <v>73</v>
      </c>
      <c r="B100" s="1290">
        <v>172</v>
      </c>
      <c r="C100" s="324"/>
      <c r="D100" s="324"/>
      <c r="E100" s="324"/>
      <c r="F100" s="324"/>
    </row>
    <row r="101" spans="1:6">
      <c r="A101" s="1289" t="s">
        <v>74</v>
      </c>
      <c r="B101" s="1290">
        <v>69</v>
      </c>
      <c r="C101" s="324"/>
      <c r="D101" s="324"/>
      <c r="E101" s="324"/>
      <c r="F101" s="324"/>
    </row>
    <row r="102" spans="1:6">
      <c r="A102" s="1289" t="s">
        <v>75</v>
      </c>
      <c r="B102" s="1290">
        <v>50</v>
      </c>
      <c r="C102" s="324"/>
      <c r="D102" s="324"/>
      <c r="E102" s="324"/>
      <c r="F102" s="324"/>
    </row>
    <row r="103" spans="1:6">
      <c r="A103" s="1289" t="s">
        <v>76</v>
      </c>
      <c r="B103" s="1290">
        <v>73</v>
      </c>
      <c r="C103" s="324"/>
      <c r="D103" s="324"/>
      <c r="E103" s="324"/>
      <c r="F103" s="324"/>
    </row>
    <row r="104" spans="1:6">
      <c r="A104" s="1289" t="s">
        <v>77</v>
      </c>
      <c r="B104" s="1290">
        <v>3316</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17</v>
      </c>
      <c r="C123" s="1290">
        <v>29</v>
      </c>
      <c r="D123" s="324"/>
      <c r="E123" s="324"/>
      <c r="F123" s="324"/>
    </row>
    <row r="124" spans="1:6">
      <c r="A124" s="1289" t="s">
        <v>88</v>
      </c>
      <c r="B124" s="1290">
        <v>1</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201</v>
      </c>
      <c r="C129" s="324"/>
      <c r="D129" s="324"/>
      <c r="E129" s="324"/>
      <c r="F129" s="324"/>
    </row>
    <row r="130" spans="1:6">
      <c r="A130" s="1289" t="s">
        <v>283</v>
      </c>
      <c r="B130" s="1290">
        <v>7</v>
      </c>
      <c r="C130" s="324"/>
      <c r="D130" s="324"/>
      <c r="E130" s="324"/>
      <c r="F130" s="324"/>
    </row>
    <row r="131" spans="1:6">
      <c r="A131" s="1289" t="s">
        <v>284</v>
      </c>
      <c r="B131" s="1290">
        <v>2</v>
      </c>
      <c r="C131" s="324"/>
      <c r="D131" s="324"/>
      <c r="E131" s="324"/>
      <c r="F131" s="324"/>
    </row>
    <row r="132" spans="1:6">
      <c r="A132" s="1284" t="s">
        <v>285</v>
      </c>
      <c r="B132" s="1285">
        <v>30</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108619.70640163525</v>
      </c>
      <c r="C3" s="43" t="s">
        <v>163</v>
      </c>
      <c r="D3" s="43"/>
      <c r="E3" s="154"/>
      <c r="F3" s="43"/>
      <c r="G3" s="43"/>
      <c r="H3" s="43"/>
      <c r="I3" s="43"/>
      <c r="J3" s="43"/>
      <c r="K3" s="96"/>
    </row>
    <row r="4" spans="1:11">
      <c r="A4" s="350" t="s">
        <v>164</v>
      </c>
      <c r="B4" s="49">
        <f>IF(ISERROR('SEAP template'!B78+'SEAP template'!C78),0,'SEAP template'!B78+'SEAP template'!C78)</f>
        <v>22748.694613748281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0.17471501474098364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19243.285714285714</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929.16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929.16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0.17471501474098364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162.33820309673234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17647.382280999998</v>
      </c>
      <c r="C5" s="17">
        <f>IF(ISERROR('Eigen informatie GS &amp; warmtenet'!B57),0,'Eigen informatie GS &amp; warmtenet'!B57)</f>
        <v>0</v>
      </c>
      <c r="D5" s="30">
        <f>(SUM(HH_hh_gas_kWh,HH_rest_gas_kWh)/1000)*0.902</f>
        <v>31934.206448099998</v>
      </c>
      <c r="E5" s="17">
        <f>B32*B41</f>
        <v>1672.5008621380216</v>
      </c>
      <c r="F5" s="17">
        <f>B36*B45</f>
        <v>42373.67482963841</v>
      </c>
      <c r="G5" s="18"/>
      <c r="H5" s="17"/>
      <c r="I5" s="17"/>
      <c r="J5" s="17">
        <f>B35*B44+C35*C44</f>
        <v>203.89736932668325</v>
      </c>
      <c r="K5" s="17"/>
      <c r="L5" s="17"/>
      <c r="M5" s="17"/>
      <c r="N5" s="17">
        <f>B34*B43+C34*C43</f>
        <v>8074.1478730635608</v>
      </c>
      <c r="O5" s="17">
        <f>B52*B53*B54</f>
        <v>362.69333333333338</v>
      </c>
      <c r="P5" s="17">
        <f>B60*B61*B62/1000-B60*B61*B62/1000/B63</f>
        <v>915.2</v>
      </c>
    </row>
    <row r="6" spans="1:16">
      <c r="A6" s="16" t="s">
        <v>607</v>
      </c>
      <c r="B6" s="754">
        <f>kWh_PV_kleiner_dan_10kW</f>
        <v>5538.6472226337692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23186.029503633767</v>
      </c>
      <c r="C8" s="21">
        <f>C5</f>
        <v>0</v>
      </c>
      <c r="D8" s="21">
        <f>D5</f>
        <v>31934.206448099998</v>
      </c>
      <c r="E8" s="21">
        <f>E5</f>
        <v>1672.5008621380216</v>
      </c>
      <c r="F8" s="21">
        <f>F5</f>
        <v>42373.67482963841</v>
      </c>
      <c r="G8" s="21"/>
      <c r="H8" s="21"/>
      <c r="I8" s="21"/>
      <c r="J8" s="21">
        <f>J5</f>
        <v>203.89736932668325</v>
      </c>
      <c r="K8" s="21"/>
      <c r="L8" s="21">
        <f>L5</f>
        <v>0</v>
      </c>
      <c r="M8" s="21">
        <f>M5</f>
        <v>0</v>
      </c>
      <c r="N8" s="21">
        <f>N5</f>
        <v>8074.1478730635608</v>
      </c>
      <c r="O8" s="21">
        <f>O5</f>
        <v>362.69333333333338</v>
      </c>
      <c r="P8" s="21">
        <f>P5</f>
        <v>915.2</v>
      </c>
    </row>
    <row r="9" spans="1:16">
      <c r="B9" s="19"/>
      <c r="C9" s="19"/>
      <c r="D9" s="254"/>
      <c r="E9" s="19"/>
      <c r="F9" s="19"/>
      <c r="G9" s="19"/>
      <c r="H9" s="19"/>
      <c r="I9" s="19"/>
      <c r="J9" s="19"/>
      <c r="K9" s="19"/>
      <c r="L9" s="19"/>
      <c r="M9" s="19"/>
      <c r="N9" s="19"/>
      <c r="O9" s="19"/>
      <c r="P9" s="19"/>
    </row>
    <row r="10" spans="1:16">
      <c r="A10" s="24" t="s">
        <v>207</v>
      </c>
      <c r="B10" s="25">
        <f ca="1">'EF ele_warmte'!B12</f>
        <v>0.17471501474098364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4050.9474865122552</v>
      </c>
      <c r="C12" s="23">
        <f ca="1">C10*C8</f>
        <v>0</v>
      </c>
      <c r="D12" s="23">
        <f>D8*D10</f>
        <v>6450.7097025162002</v>
      </c>
      <c r="E12" s="23">
        <f>E10*E8</f>
        <v>379.65769570533092</v>
      </c>
      <c r="F12" s="23">
        <f>F10*F8</f>
        <v>11313.771179513456</v>
      </c>
      <c r="G12" s="23"/>
      <c r="H12" s="23"/>
      <c r="I12" s="23"/>
      <c r="J12" s="23">
        <f>J10*J8</f>
        <v>72.17966874164587</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5248</v>
      </c>
      <c r="C26" s="36"/>
      <c r="D26" s="225"/>
    </row>
    <row r="27" spans="1:5" s="15" customFormat="1">
      <c r="A27" s="227" t="s">
        <v>762</v>
      </c>
      <c r="B27" s="37">
        <f>SUM(HH_hh_gas_aantal,HH_rest_gas_aantal)</f>
        <v>2447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2324.65</v>
      </c>
      <c r="C31" s="34" t="s">
        <v>104</v>
      </c>
      <c r="D31" s="171"/>
    </row>
    <row r="32" spans="1:5">
      <c r="A32" s="168" t="s">
        <v>72</v>
      </c>
      <c r="B32" s="33">
        <f>IF((B21*($B$26-($B$27-0.05*$B$27)-$B$60))&lt;0,0,B21*($B$26-($B$27-0.05*$B$27)-$B$60))</f>
        <v>31.630271283746247</v>
      </c>
      <c r="C32" s="34" t="s">
        <v>104</v>
      </c>
      <c r="D32" s="171"/>
    </row>
    <row r="33" spans="1:6">
      <c r="A33" s="168" t="s">
        <v>73</v>
      </c>
      <c r="B33" s="33">
        <f>IF((B22*($B$26-($B$27-0.05*$B$27)-$B$60))&lt;0,0,B22*($B$26-($B$27-0.05*$B$27)-$B$60))</f>
        <v>657.61990211933448</v>
      </c>
      <c r="C33" s="34" t="s">
        <v>104</v>
      </c>
      <c r="D33" s="171"/>
    </row>
    <row r="34" spans="1:6">
      <c r="A34" s="168" t="s">
        <v>74</v>
      </c>
      <c r="B34" s="33">
        <f>IF((B24*($B$26-($B$27-0.05*$B$27)-$B$60))&lt;0,0,B24*($B$26-($B$27-0.05*$B$27)-$B$60))</f>
        <v>130.77722057362638</v>
      </c>
      <c r="C34" s="33">
        <f>B26*C24</f>
        <v>1074.2422575858741</v>
      </c>
      <c r="D34" s="230"/>
    </row>
    <row r="35" spans="1:6">
      <c r="A35" s="168" t="s">
        <v>76</v>
      </c>
      <c r="B35" s="33">
        <f>IF((B19*($B$26-($B$27-0.05*$B$27)-$B$60))&lt;0,0,B19*($B$26-($B$27-0.05*$B$27)-$B$60))</f>
        <v>23.940704648214332</v>
      </c>
      <c r="C35" s="33">
        <f>B35/2</f>
        <v>11.970352324107166</v>
      </c>
      <c r="D35" s="230"/>
    </row>
    <row r="36" spans="1:6">
      <c r="A36" s="168" t="s">
        <v>77</v>
      </c>
      <c r="B36" s="33">
        <f>IF((B18*($B$26-($B$27-0.05*$B$27)-$B$60))&lt;0,0,B18*($B$26-($B$27-0.05*$B$27)-$B$60))</f>
        <v>2031.3819013750785</v>
      </c>
      <c r="C36" s="34" t="s">
        <v>104</v>
      </c>
      <c r="D36" s="171"/>
    </row>
    <row r="37" spans="1:6">
      <c r="A37" s="168" t="s">
        <v>78</v>
      </c>
      <c r="B37" s="33">
        <f>B60</f>
        <v>48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232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44570.072009999996</v>
      </c>
      <c r="C5" s="17">
        <f>IF(ISERROR('Eigen informatie GS &amp; warmtenet'!B58),0,'Eigen informatie GS &amp; warmtenet'!B58)</f>
        <v>0</v>
      </c>
      <c r="D5" s="30">
        <f>SUM(D6:D12)</f>
        <v>34945.533827842002</v>
      </c>
      <c r="E5" s="17">
        <f>SUM(E6:E12)</f>
        <v>160.981172143045</v>
      </c>
      <c r="F5" s="17">
        <f>SUM(F6:F12)</f>
        <v>7014.7240054816375</v>
      </c>
      <c r="G5" s="18"/>
      <c r="H5" s="17"/>
      <c r="I5" s="17"/>
      <c r="J5" s="17">
        <f>SUM(J6:J12)</f>
        <v>4.0985012364358892E-2</v>
      </c>
      <c r="K5" s="17"/>
      <c r="L5" s="17"/>
      <c r="M5" s="17"/>
      <c r="N5" s="17">
        <f>SUM(N6:N12)</f>
        <v>1652.0903056518566</v>
      </c>
      <c r="O5" s="17">
        <f>B38*B39*B40</f>
        <v>10.943333333333335</v>
      </c>
      <c r="P5" s="17">
        <f>B46*B47*B48/1000-B46*B47*B48/1000/B49</f>
        <v>38.133333333333333</v>
      </c>
      <c r="R5" s="32"/>
    </row>
    <row r="6" spans="1:18">
      <c r="A6" s="32" t="s">
        <v>53</v>
      </c>
      <c r="B6" s="37">
        <f>B26</f>
        <v>36468.777999999998</v>
      </c>
      <c r="C6" s="33"/>
      <c r="D6" s="37">
        <f>IF(ISERROR(TER_kantoor_gas_kWh/1000),0,TER_kantoor_gas_kWh/1000)*0.902</f>
        <v>29421.560746600004</v>
      </c>
      <c r="E6" s="33">
        <f>$C$26*'E Balans VL '!I12/100/3.6*1000000</f>
        <v>0.22857417117846016</v>
      </c>
      <c r="F6" s="33">
        <f>$C$26*('E Balans VL '!L12+'E Balans VL '!N12)/100/3.6*1000000</f>
        <v>5480.2382985534923</v>
      </c>
      <c r="G6" s="34"/>
      <c r="H6" s="33"/>
      <c r="I6" s="33"/>
      <c r="J6" s="33">
        <f>$C$26*('E Balans VL '!D12+'E Balans VL '!E12)/100/3.6*1000000</f>
        <v>0</v>
      </c>
      <c r="K6" s="33"/>
      <c r="L6" s="33"/>
      <c r="M6" s="33"/>
      <c r="N6" s="33">
        <f>$C$26*'E Balans VL '!Y12/100/3.6*1000000</f>
        <v>34.876979067264941</v>
      </c>
      <c r="O6" s="33"/>
      <c r="P6" s="33"/>
      <c r="R6" s="32"/>
    </row>
    <row r="7" spans="1:18">
      <c r="A7" s="32" t="s">
        <v>52</v>
      </c>
      <c r="B7" s="37">
        <f t="shared" ref="B7:B12" si="0">B27</f>
        <v>1965.7610220000001</v>
      </c>
      <c r="C7" s="33"/>
      <c r="D7" s="37">
        <f>IF(ISERROR(TER_horeca_gas_kWh/1000),0,TER_horeca_gas_kWh/1000)*0.902</f>
        <v>825.76656800000001</v>
      </c>
      <c r="E7" s="33">
        <f>$C$27*'E Balans VL '!I9/100/3.6*1000000</f>
        <v>28.14937040176013</v>
      </c>
      <c r="F7" s="33">
        <f>$C$27*('E Balans VL '!L9+'E Balans VL '!N9)/100/3.6*1000000</f>
        <v>248.93017868146433</v>
      </c>
      <c r="G7" s="34"/>
      <c r="H7" s="33"/>
      <c r="I7" s="33"/>
      <c r="J7" s="33">
        <f>$C$27*('E Balans VL '!D9+'E Balans VL '!E9)/100/3.6*1000000</f>
        <v>0</v>
      </c>
      <c r="K7" s="33"/>
      <c r="L7" s="33"/>
      <c r="M7" s="33"/>
      <c r="N7" s="33">
        <f>$C$27*'E Balans VL '!Y9/100/3.6*1000000</f>
        <v>0.56511295251486848</v>
      </c>
      <c r="O7" s="33"/>
      <c r="P7" s="33"/>
      <c r="R7" s="32"/>
    </row>
    <row r="8" spans="1:18">
      <c r="A8" s="6" t="s">
        <v>51</v>
      </c>
      <c r="B8" s="37">
        <f t="shared" si="0"/>
        <v>3480.0840830000002</v>
      </c>
      <c r="C8" s="33"/>
      <c r="D8" s="37">
        <f>IF(ISERROR(TER_handel_gas_kWh/1000),0,TER_handel_gas_kWh/1000)*0.902</f>
        <v>1620.7559940000001</v>
      </c>
      <c r="E8" s="33">
        <f>$C$28*'E Balans VL '!I13/100/3.6*1000000</f>
        <v>126.22222054566723</v>
      </c>
      <c r="F8" s="33">
        <f>$C$28*('E Balans VL '!L13+'E Balans VL '!N13)/100/3.6*1000000</f>
        <v>670.29943247750816</v>
      </c>
      <c r="G8" s="34"/>
      <c r="H8" s="33"/>
      <c r="I8" s="33"/>
      <c r="J8" s="33">
        <f>$C$28*('E Balans VL '!D13+'E Balans VL '!E13)/100/3.6*1000000</f>
        <v>0</v>
      </c>
      <c r="K8" s="33"/>
      <c r="L8" s="33"/>
      <c r="M8" s="33"/>
      <c r="N8" s="33">
        <f>$C$28*'E Balans VL '!Y13/100/3.6*1000000</f>
        <v>4.8207171865909375</v>
      </c>
      <c r="O8" s="33"/>
      <c r="P8" s="33"/>
      <c r="R8" s="32"/>
    </row>
    <row r="9" spans="1:18">
      <c r="A9" s="32" t="s">
        <v>50</v>
      </c>
      <c r="B9" s="37">
        <f t="shared" si="0"/>
        <v>495.57970599999999</v>
      </c>
      <c r="C9" s="33"/>
      <c r="D9" s="37">
        <f>IF(ISERROR(TER_gezond_gas_kWh/1000),0,TER_gezond_gas_kWh/1000)*0.902</f>
        <v>1281.0760534000001</v>
      </c>
      <c r="E9" s="33">
        <f>$C$29*'E Balans VL '!I10/100/3.6*1000000</f>
        <v>3.1028182561231389E-2</v>
      </c>
      <c r="F9" s="33">
        <f>$C$29*('E Balans VL '!L10+'E Balans VL '!N10)/100/3.6*1000000</f>
        <v>73.619874222805066</v>
      </c>
      <c r="G9" s="34"/>
      <c r="H9" s="33"/>
      <c r="I9" s="33"/>
      <c r="J9" s="33">
        <f>$C$29*('E Balans VL '!D10+'E Balans VL '!E10)/100/3.6*1000000</f>
        <v>0</v>
      </c>
      <c r="K9" s="33"/>
      <c r="L9" s="33"/>
      <c r="M9" s="33"/>
      <c r="N9" s="33">
        <f>$C$29*'E Balans VL '!Y10/100/3.6*1000000</f>
        <v>7.6656747117620219</v>
      </c>
      <c r="O9" s="33"/>
      <c r="P9" s="33"/>
      <c r="R9" s="32"/>
    </row>
    <row r="10" spans="1:18">
      <c r="A10" s="32" t="s">
        <v>49</v>
      </c>
      <c r="B10" s="37">
        <f t="shared" si="0"/>
        <v>1888.1811990000001</v>
      </c>
      <c r="C10" s="33"/>
      <c r="D10" s="37">
        <f>IF(ISERROR(TER_ander_gas_kWh/1000),0,TER_ander_gas_kWh/1000)*0.902</f>
        <v>1253.9044498419998</v>
      </c>
      <c r="E10" s="33">
        <f>$C$30*'E Balans VL '!I14/100/3.6*1000000</f>
        <v>2.2506445170127449</v>
      </c>
      <c r="F10" s="33">
        <f>$C$30*('E Balans VL '!L14+'E Balans VL '!N14)/100/3.6*1000000</f>
        <v>494.03214360144352</v>
      </c>
      <c r="G10" s="34"/>
      <c r="H10" s="33"/>
      <c r="I10" s="33"/>
      <c r="J10" s="33">
        <f>$C$30*('E Balans VL '!D14+'E Balans VL '!E14)/100/3.6*1000000</f>
        <v>4.0985012364358892E-2</v>
      </c>
      <c r="K10" s="33"/>
      <c r="L10" s="33"/>
      <c r="M10" s="33"/>
      <c r="N10" s="33">
        <f>$C$30*'E Balans VL '!Y14/100/3.6*1000000</f>
        <v>1603.3972710472156</v>
      </c>
      <c r="O10" s="33"/>
      <c r="P10" s="33"/>
      <c r="R10" s="32"/>
    </row>
    <row r="11" spans="1:18">
      <c r="A11" s="32" t="s">
        <v>54</v>
      </c>
      <c r="B11" s="37">
        <f t="shared" si="0"/>
        <v>271.68799999999999</v>
      </c>
      <c r="C11" s="33"/>
      <c r="D11" s="37">
        <f>IF(ISERROR(TER_onderwijs_gas_kWh/1000),0,TER_onderwijs_gas_kWh/1000)*0.902</f>
        <v>542.47001599999999</v>
      </c>
      <c r="E11" s="33">
        <f>$C$31*'E Balans VL '!I11/100/3.6*1000000</f>
        <v>4.099334324865211</v>
      </c>
      <c r="F11" s="33">
        <f>$C$31*('E Balans VL '!L11+'E Balans VL '!N11)/100/3.6*1000000</f>
        <v>47.604077944923795</v>
      </c>
      <c r="G11" s="34"/>
      <c r="H11" s="33"/>
      <c r="I11" s="33"/>
      <c r="J11" s="33">
        <f>$C$31*('E Balans VL '!D11+'E Balans VL '!E11)/100/3.6*1000000</f>
        <v>0</v>
      </c>
      <c r="K11" s="33"/>
      <c r="L11" s="33"/>
      <c r="M11" s="33"/>
      <c r="N11" s="33">
        <f>$C$31*'E Balans VL '!Y11/100/3.6*1000000</f>
        <v>0.76455068650832203</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energieproductie'!N40+'lokale energieproductie'!N33</f>
        <v>13383</v>
      </c>
      <c r="C13" s="243">
        <f ca="1">'lokale energieproductie'!O40+'lokale energieproductie'!O33</f>
        <v>19118.571428571428</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-38237.142857142862</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57953.072009999996</v>
      </c>
      <c r="C16" s="21">
        <f t="shared" ca="1" si="1"/>
        <v>19118.571428571428</v>
      </c>
      <c r="D16" s="21">
        <f t="shared" ca="1" si="1"/>
        <v>34945.533827842002</v>
      </c>
      <c r="E16" s="21">
        <f t="shared" si="1"/>
        <v>160.981172143045</v>
      </c>
      <c r="F16" s="21">
        <f t="shared" ca="1" si="1"/>
        <v>7014.7240054816375</v>
      </c>
      <c r="G16" s="21">
        <f t="shared" si="1"/>
        <v>0</v>
      </c>
      <c r="H16" s="21">
        <f t="shared" si="1"/>
        <v>0</v>
      </c>
      <c r="I16" s="21">
        <f t="shared" si="1"/>
        <v>0</v>
      </c>
      <c r="J16" s="21">
        <f t="shared" si="1"/>
        <v>4.0985012364358892E-2</v>
      </c>
      <c r="K16" s="21">
        <f t="shared" si="1"/>
        <v>0</v>
      </c>
      <c r="L16" s="21">
        <f t="shared" ca="1" si="1"/>
        <v>0</v>
      </c>
      <c r="M16" s="21">
        <f t="shared" si="1"/>
        <v>0</v>
      </c>
      <c r="N16" s="21">
        <f t="shared" ca="1" si="1"/>
        <v>0</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0.17471501474098364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10125.271830512436</v>
      </c>
      <c r="C20" s="23">
        <f t="shared" ref="C20:P20" ca="1" si="2">C16*C18</f>
        <v>0</v>
      </c>
      <c r="D20" s="23">
        <f t="shared" ca="1" si="2"/>
        <v>7058.9978332240853</v>
      </c>
      <c r="E20" s="23">
        <f t="shared" si="2"/>
        <v>36.542726076471219</v>
      </c>
      <c r="F20" s="23">
        <f t="shared" ca="1" si="2"/>
        <v>1872.9313094635972</v>
      </c>
      <c r="G20" s="23">
        <f t="shared" si="2"/>
        <v>0</v>
      </c>
      <c r="H20" s="23">
        <f t="shared" si="2"/>
        <v>0</v>
      </c>
      <c r="I20" s="23">
        <f t="shared" si="2"/>
        <v>0</v>
      </c>
      <c r="J20" s="23">
        <f t="shared" si="2"/>
        <v>1.4508694376983046E-2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36468.777999999998</v>
      </c>
      <c r="C26" s="39">
        <f>IF(ISERROR(B26*3.6/1000000/'E Balans VL '!Z12*100),0,B26*3.6/1000000/'E Balans VL '!Z12*100)</f>
        <v>0.77089219570917433</v>
      </c>
      <c r="D26" s="233" t="s">
        <v>726</v>
      </c>
      <c r="F26" s="6"/>
    </row>
    <row r="27" spans="1:18">
      <c r="A27" s="228" t="s">
        <v>52</v>
      </c>
      <c r="B27" s="33">
        <f>IF(ISERROR(TER_horeca_ele_kWh/1000),0,TER_horeca_ele_kWh/1000)</f>
        <v>1965.7610220000001</v>
      </c>
      <c r="C27" s="39">
        <f>IF(ISERROR(B27*3.6/1000000/'E Balans VL '!Z9*100),0,B27*3.6/1000000/'E Balans VL '!Z9*100)</f>
        <v>0.15496020868772262</v>
      </c>
      <c r="D27" s="233" t="s">
        <v>726</v>
      </c>
      <c r="F27" s="6"/>
    </row>
    <row r="28" spans="1:18">
      <c r="A28" s="168" t="s">
        <v>51</v>
      </c>
      <c r="B28" s="33">
        <f>IF(ISERROR(TER_handel_ele_kWh/1000),0,TER_handel_ele_kWh/1000)</f>
        <v>3480.0840830000002</v>
      </c>
      <c r="C28" s="39">
        <f>IF(ISERROR(B28*3.6/1000000/'E Balans VL '!Z13*100),0,B28*3.6/1000000/'E Balans VL '!Z13*100)</f>
        <v>0.10100610120398912</v>
      </c>
      <c r="D28" s="233" t="s">
        <v>726</v>
      </c>
      <c r="F28" s="6"/>
    </row>
    <row r="29" spans="1:18">
      <c r="A29" s="228" t="s">
        <v>50</v>
      </c>
      <c r="B29" s="33">
        <f>IF(ISERROR(TER_gezond_ele_kWh/1000),0,TER_gezond_ele_kWh/1000)</f>
        <v>495.57970599999999</v>
      </c>
      <c r="C29" s="39">
        <f>IF(ISERROR(B29*3.6/1000000/'E Balans VL '!Z10*100),0,B29*3.6/1000000/'E Balans VL '!Z10*100)</f>
        <v>5.2192680675374588E-2</v>
      </c>
      <c r="D29" s="233" t="s">
        <v>726</v>
      </c>
      <c r="F29" s="6"/>
    </row>
    <row r="30" spans="1:18">
      <c r="A30" s="228" t="s">
        <v>49</v>
      </c>
      <c r="B30" s="33">
        <f>IF(ISERROR(TER_ander_ele_kWh/1000),0,TER_ander_ele_kWh/1000)</f>
        <v>1888.1811990000001</v>
      </c>
      <c r="C30" s="39">
        <f>IF(ISERROR(B30*3.6/1000000/'E Balans VL '!Z14*100),0,B30*3.6/1000000/'E Balans VL '!Z14*100)</f>
        <v>0.13927265534915637</v>
      </c>
      <c r="D30" s="233" t="s">
        <v>726</v>
      </c>
      <c r="F30" s="6"/>
    </row>
    <row r="31" spans="1:18">
      <c r="A31" s="228" t="s">
        <v>54</v>
      </c>
      <c r="B31" s="33">
        <f>IF(ISERROR(TER_onderwijs_ele_kWh/1000),0,TER_onderwijs_ele_kWh/1000)</f>
        <v>271.68799999999999</v>
      </c>
      <c r="C31" s="39">
        <f>IF(ISERROR(B31*3.6/1000000/'E Balans VL '!Z11*100),0,B31*3.6/1000000/'E Balans VL '!Z11*100)</f>
        <v>6.7472857015416582E-2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7</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22453.425791000001</v>
      </c>
      <c r="C5" s="17">
        <f>IF(ISERROR('Eigen informatie GS &amp; warmtenet'!B59),0,'Eigen informatie GS &amp; warmtenet'!B59)</f>
        <v>0</v>
      </c>
      <c r="D5" s="30">
        <f>SUM(D6:D15)</f>
        <v>44670.234974200001</v>
      </c>
      <c r="E5" s="17">
        <f>SUM(E6:E15)</f>
        <v>1392.1450662418947</v>
      </c>
      <c r="F5" s="17">
        <f>SUM(F6:F15)</f>
        <v>4899.3014507236758</v>
      </c>
      <c r="G5" s="18"/>
      <c r="H5" s="17"/>
      <c r="I5" s="17"/>
      <c r="J5" s="17">
        <f>SUM(J6:J15)</f>
        <v>0.33331659973685607</v>
      </c>
      <c r="K5" s="17"/>
      <c r="L5" s="17"/>
      <c r="M5" s="17"/>
      <c r="N5" s="17">
        <f>SUM(N6:N15)</f>
        <v>1410.1258717132655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3308.505369</v>
      </c>
      <c r="C8" s="33"/>
      <c r="D8" s="37">
        <f>IF( ISERROR(IND_metaal_Gas_kWH/1000),0,IND_metaal_Gas_kWH/1000)*0.902</f>
        <v>3232.2248931720001</v>
      </c>
      <c r="E8" s="33">
        <f>C30*'E Balans VL '!I18/100/3.6*1000000</f>
        <v>30.418511483081417</v>
      </c>
      <c r="F8" s="33">
        <f>C30*'E Balans VL '!L18/100/3.6*1000000+C30*'E Balans VL '!N18/100/3.6*1000000</f>
        <v>310.22765231844704</v>
      </c>
      <c r="G8" s="34"/>
      <c r="H8" s="33"/>
      <c r="I8" s="33"/>
      <c r="J8" s="40">
        <f>C30*'E Balans VL '!D18/100/3.6*1000000+C30*'E Balans VL '!E18/100/3.6*1000000</f>
        <v>0</v>
      </c>
      <c r="K8" s="33"/>
      <c r="L8" s="33"/>
      <c r="M8" s="33"/>
      <c r="N8" s="33">
        <f>C30*'E Balans VL '!Y18/100/3.6*1000000</f>
        <v>47.20129662415092</v>
      </c>
      <c r="O8" s="33"/>
      <c r="P8" s="33"/>
      <c r="R8" s="32"/>
    </row>
    <row r="9" spans="1:18">
      <c r="A9" s="6" t="s">
        <v>32</v>
      </c>
      <c r="B9" s="37">
        <f t="shared" si="0"/>
        <v>4535.4690849999997</v>
      </c>
      <c r="C9" s="33"/>
      <c r="D9" s="37">
        <f>IF( ISERROR(IND_andere_gas_kWh/1000),0,IND_andere_gas_kWh/1000)*0.902</f>
        <v>1293.6766326000002</v>
      </c>
      <c r="E9" s="33">
        <f>C31*'E Balans VL '!I19/100/3.6*1000000</f>
        <v>1325.8059087142294</v>
      </c>
      <c r="F9" s="33">
        <f>C31*'E Balans VL '!L19/100/3.6*1000000+C31*'E Balans VL '!N19/100/3.6*1000000</f>
        <v>3644.5927132624774</v>
      </c>
      <c r="G9" s="34"/>
      <c r="H9" s="33"/>
      <c r="I9" s="33"/>
      <c r="J9" s="40">
        <f>C31*'E Balans VL '!D19/100/3.6*1000000+C31*'E Balans VL '!E19/100/3.6*1000000</f>
        <v>0</v>
      </c>
      <c r="K9" s="33"/>
      <c r="L9" s="33"/>
      <c r="M9" s="33"/>
      <c r="N9" s="33">
        <f>C31*'E Balans VL '!Y19/100/3.6*1000000</f>
        <v>355.75603509447711</v>
      </c>
      <c r="O9" s="33"/>
      <c r="P9" s="33"/>
      <c r="R9" s="32"/>
    </row>
    <row r="10" spans="1:18">
      <c r="A10" s="6" t="s">
        <v>40</v>
      </c>
      <c r="B10" s="37">
        <f t="shared" si="0"/>
        <v>14434.213647</v>
      </c>
      <c r="C10" s="33"/>
      <c r="D10" s="37">
        <f>IF( ISERROR(IND_voed_gas_kWh/1000),0,IND_voed_gas_kWh/1000)*0.902</f>
        <v>40006.366234428002</v>
      </c>
      <c r="E10" s="33">
        <f>C32*'E Balans VL '!I20/100/3.6*1000000</f>
        <v>30.535802775361816</v>
      </c>
      <c r="F10" s="33">
        <f>C32*'E Balans VL '!L20/100/3.6*1000000+C32*'E Balans VL '!N20/100/3.6*1000000</f>
        <v>917.74204779313584</v>
      </c>
      <c r="G10" s="34"/>
      <c r="H10" s="33"/>
      <c r="I10" s="33"/>
      <c r="J10" s="40">
        <f>C32*'E Balans VL '!D20/100/3.6*1000000+C32*'E Balans VL '!E20/100/3.6*1000000</f>
        <v>0</v>
      </c>
      <c r="K10" s="33"/>
      <c r="L10" s="33"/>
      <c r="M10" s="33"/>
      <c r="N10" s="33">
        <f>C32*'E Balans VL '!Y20/100/3.6*1000000</f>
        <v>996.10318194373781</v>
      </c>
      <c r="O10" s="33"/>
      <c r="P10" s="33"/>
      <c r="R10" s="32"/>
    </row>
    <row r="11" spans="1:18">
      <c r="A11" s="6" t="s">
        <v>39</v>
      </c>
      <c r="B11" s="37">
        <f t="shared" si="0"/>
        <v>82.132000000000005</v>
      </c>
      <c r="C11" s="33"/>
      <c r="D11" s="37">
        <f>IF( ISERROR(IND_textiel_gas_kWh/1000),0,IND_textiel_gas_kWh/1000)*0.902</f>
        <v>46.213970000000003</v>
      </c>
      <c r="E11" s="33">
        <f>C33*'E Balans VL '!I21/100/3.6*1000000</f>
        <v>0.24392495886030349</v>
      </c>
      <c r="F11" s="33">
        <f>C33*'E Balans VL '!L21/100/3.6*1000000+C33*'E Balans VL '!N21/100/3.6*1000000</f>
        <v>8.2975868615056534</v>
      </c>
      <c r="G11" s="34"/>
      <c r="H11" s="33"/>
      <c r="I11" s="33"/>
      <c r="J11" s="40">
        <f>C33*'E Balans VL '!D21/100/3.6*1000000+C33*'E Balans VL '!E21/100/3.6*1000000</f>
        <v>0</v>
      </c>
      <c r="K11" s="33"/>
      <c r="L11" s="33"/>
      <c r="M11" s="33"/>
      <c r="N11" s="33">
        <f>C33*'E Balans VL '!Y21/100/3.6*1000000</f>
        <v>4.5298419123073659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93.105689999999996</v>
      </c>
      <c r="C15" s="33"/>
      <c r="D15" s="37">
        <f>IF( ISERROR(IND_rest_gas_kWh/1000),0,IND_rest_gas_kWh/1000)*0.902</f>
        <v>91.753243999999995</v>
      </c>
      <c r="E15" s="33">
        <f>C37*'E Balans VL '!I15/100/3.6*1000000</f>
        <v>5.1409183103617222</v>
      </c>
      <c r="F15" s="33">
        <f>C37*'E Balans VL '!L15/100/3.6*1000000+C37*'E Balans VL '!N15/100/3.6*1000000</f>
        <v>18.441450488109293</v>
      </c>
      <c r="G15" s="34"/>
      <c r="H15" s="33"/>
      <c r="I15" s="33"/>
      <c r="J15" s="40">
        <f>C37*'E Balans VL '!D15/100/3.6*1000000+C37*'E Balans VL '!E15/100/3.6*1000000</f>
        <v>0.33331659973685607</v>
      </c>
      <c r="K15" s="33"/>
      <c r="L15" s="33"/>
      <c r="M15" s="33"/>
      <c r="N15" s="33">
        <f>C37*'E Balans VL '!Y15/100/3.6*1000000</f>
        <v>6.5355161385923566</v>
      </c>
      <c r="O15" s="33"/>
      <c r="P15" s="33"/>
      <c r="R15" s="32"/>
    </row>
    <row r="16" spans="1:18">
      <c r="A16" s="16" t="s">
        <v>474</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22453.425791000001</v>
      </c>
      <c r="C18" s="21">
        <f>C5+C16</f>
        <v>0</v>
      </c>
      <c r="D18" s="21">
        <f>MAX((D5+D16),0)</f>
        <v>44670.234974200001</v>
      </c>
      <c r="E18" s="21">
        <f>MAX((E5+E16),0)</f>
        <v>1392.1450662418947</v>
      </c>
      <c r="F18" s="21">
        <f>MAX((F5+F16),0)</f>
        <v>4899.3014507236758</v>
      </c>
      <c r="G18" s="21"/>
      <c r="H18" s="21"/>
      <c r="I18" s="21"/>
      <c r="J18" s="21">
        <f>MAX((J5+J16),0)</f>
        <v>0.33331659973685607</v>
      </c>
      <c r="K18" s="21"/>
      <c r="L18" s="21">
        <f>MAX((L5+L16),0)</f>
        <v>0</v>
      </c>
      <c r="M18" s="21"/>
      <c r="N18" s="21">
        <f>MAX((N5+N16),0)</f>
        <v>1410.1258717132655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0.17471501474098364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3922.9506180601475</v>
      </c>
      <c r="C22" s="23">
        <f ca="1">C18*C20</f>
        <v>0</v>
      </c>
      <c r="D22" s="23">
        <f>D18*D20</f>
        <v>9023.3874647884004</v>
      </c>
      <c r="E22" s="23">
        <f>E18*E20</f>
        <v>316.01693003691008</v>
      </c>
      <c r="F22" s="23">
        <f>F18*F20</f>
        <v>1308.1134873432215</v>
      </c>
      <c r="G22" s="23"/>
      <c r="H22" s="23"/>
      <c r="I22" s="23"/>
      <c r="J22" s="23">
        <f>J18*J20</f>
        <v>0.11799407630684704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3308.505369</v>
      </c>
      <c r="C30" s="39">
        <f>IF(ISERROR(B30*3.6/1000000/'E Balans VL '!Z18*100),0,B30*3.6/1000000/'E Balans VL '!Z18*100)</f>
        <v>0.18750148282386217</v>
      </c>
      <c r="D30" s="233" t="s">
        <v>726</v>
      </c>
    </row>
    <row r="31" spans="1:18">
      <c r="A31" s="6" t="s">
        <v>32</v>
      </c>
      <c r="B31" s="37">
        <f>IF( ISERROR(IND_ander_ele_kWh/1000),0,IND_ander_ele_kWh/1000)</f>
        <v>4535.4690849999997</v>
      </c>
      <c r="C31" s="39">
        <f>IF(ISERROR(B31*3.6/1000000/'E Balans VL '!Z19*100),0,B31*3.6/1000000/'E Balans VL '!Z19*100)</f>
        <v>0.20570999233102399</v>
      </c>
      <c r="D31" s="233" t="s">
        <v>726</v>
      </c>
    </row>
    <row r="32" spans="1:18">
      <c r="A32" s="168" t="s">
        <v>40</v>
      </c>
      <c r="B32" s="37">
        <f>IF( ISERROR(IND_voed_ele_kWh/1000),0,IND_voed_ele_kWh/1000)</f>
        <v>14434.213647</v>
      </c>
      <c r="C32" s="39">
        <f>IF(ISERROR(B32*3.6/1000000/'E Balans VL '!Z20*100),0,B32*3.6/1000000/'E Balans VL '!Z20*100)</f>
        <v>0.44651575389896436</v>
      </c>
      <c r="D32" s="233" t="s">
        <v>726</v>
      </c>
    </row>
    <row r="33" spans="1:5">
      <c r="A33" s="168" t="s">
        <v>39</v>
      </c>
      <c r="B33" s="37">
        <f>IF( ISERROR(IND_textiel_ele_kWh/1000),0,IND_textiel_ele_kWh/1000)</f>
        <v>82.132000000000005</v>
      </c>
      <c r="C33" s="39">
        <f>IF(ISERROR(B33*3.6/1000000/'E Balans VL '!Z21*100),0,B33*3.6/1000000/'E Balans VL '!Z21*100)</f>
        <v>1.0709099856332784E-2</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93.105689999999996</v>
      </c>
      <c r="C37" s="39">
        <f>IF(ISERROR(B37*3.6/1000000/'E Balans VL '!Z15*100),0,B37*3.6/1000000/'E Balans VL '!Z15*100)</f>
        <v>7.3797693791204772E-4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3671.3919879999999</v>
      </c>
      <c r="C5" s="17">
        <f>'Eigen informatie GS &amp; warmtenet'!B60</f>
        <v>0</v>
      </c>
      <c r="D5" s="30">
        <f>IF(ISERROR(SUM(LB_lb_gas_kWh,LB_rest_gas_kWh)/1000),0,SUM(LB_lb_gas_kWh,LB_rest_gas_kWh)/1000)*0.902</f>
        <v>70.970262000000005</v>
      </c>
      <c r="E5" s="17">
        <f>B17*'E Balans VL '!I25/3.6*1000000/100</f>
        <v>107.91342425275634</v>
      </c>
      <c r="F5" s="17">
        <f>B17*('E Balans VL '!L25/3.6*1000000+'E Balans VL '!N25/3.6*1000000)/100</f>
        <v>15294.820630398082</v>
      </c>
      <c r="G5" s="18"/>
      <c r="H5" s="17"/>
      <c r="I5" s="17"/>
      <c r="J5" s="17">
        <f>('E Balans VL '!D25+'E Balans VL '!E25)/3.6*1000000*landbouw!B17/100</f>
        <v>531.90585501573889</v>
      </c>
      <c r="K5" s="17"/>
      <c r="L5" s="17">
        <f>L6*(-1)</f>
        <v>0</v>
      </c>
      <c r="M5" s="17"/>
      <c r="N5" s="17">
        <f>N6*(-1)</f>
        <v>249.42857142857139</v>
      </c>
      <c r="O5" s="17"/>
      <c r="P5" s="17"/>
      <c r="R5" s="32"/>
    </row>
    <row r="6" spans="1:18">
      <c r="A6" s="16" t="s">
        <v>474</v>
      </c>
      <c r="B6" s="17" t="s">
        <v>204</v>
      </c>
      <c r="C6" s="17">
        <f>'lokale energieproductie'!O41+'lokale energieproductie'!O34</f>
        <v>124.71428571428569</v>
      </c>
      <c r="D6" s="302">
        <f>('lokale energieproductie'!P34+'lokale energieproductie'!P41)*(-1)</f>
        <v>0</v>
      </c>
      <c r="E6" s="244"/>
      <c r="F6" s="302">
        <f>('lokale energieproductie'!S34+'lokale energieproductie'!S41)*(-1)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3671.3919879999999</v>
      </c>
      <c r="C8" s="21">
        <f>C5+C6</f>
        <v>124.71428571428569</v>
      </c>
      <c r="D8" s="21">
        <f>MAX((D5+D6),0)</f>
        <v>70.970262000000005</v>
      </c>
      <c r="E8" s="21">
        <f>MAX((E5+E6),0)</f>
        <v>107.91342425275634</v>
      </c>
      <c r="F8" s="21">
        <f>MAX((F5+F6),0)</f>
        <v>15294.820630398082</v>
      </c>
      <c r="G8" s="21"/>
      <c r="H8" s="21"/>
      <c r="I8" s="21"/>
      <c r="J8" s="21">
        <f>MAX((J5+J6),0)</f>
        <v>531.90585501573889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0.17471501474098364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641.44730530334914</v>
      </c>
      <c r="C12" s="23">
        <f ca="1">C8*C10</f>
        <v>0</v>
      </c>
      <c r="D12" s="23">
        <f>D8*D10</f>
        <v>14.335992924000003</v>
      </c>
      <c r="E12" s="23">
        <f>E8*E10</f>
        <v>24.496347305375689</v>
      </c>
      <c r="F12" s="23">
        <f>F8*F10</f>
        <v>4083.7171083162884</v>
      </c>
      <c r="G12" s="23"/>
      <c r="H12" s="23"/>
      <c r="I12" s="23"/>
      <c r="J12" s="23">
        <f>J8*J10</f>
        <v>188.29467267557155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0.52098204173827967</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735.13407733882025</v>
      </c>
      <c r="C26" s="243">
        <f>B26*'GWP N2O_CH4'!B5</f>
        <v>15437.815624115225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279.02416623533139</v>
      </c>
      <c r="C27" s="243">
        <f>B27*'GWP N2O_CH4'!B5</f>
        <v>5859.5074909419591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9.2695638450950408</v>
      </c>
      <c r="C28" s="243">
        <f>B28*'GWP N2O_CH4'!B4</f>
        <v>2873.5647919794628</v>
      </c>
      <c r="D28" s="50"/>
    </row>
    <row r="29" spans="1:4">
      <c r="A29" s="41" t="s">
        <v>265</v>
      </c>
      <c r="B29" s="243">
        <f>B34*'ha_N2O bodem landbouw'!B4</f>
        <v>20.311896920395448</v>
      </c>
      <c r="C29" s="243">
        <f>B29*'GWP N2O_CH4'!B4</f>
        <v>6296.6880453225886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4.635104879323451E-3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1.2521036575548669E-4</v>
      </c>
      <c r="C5" s="429" t="s">
        <v>204</v>
      </c>
      <c r="D5" s="414">
        <f>SUM(D6:D11)</f>
        <v>2.3007919526559048E-4</v>
      </c>
      <c r="E5" s="414">
        <f>SUM(E6:E11)</f>
        <v>3.9725589038026551E-4</v>
      </c>
      <c r="F5" s="427" t="s">
        <v>204</v>
      </c>
      <c r="G5" s="414">
        <f>SUM(G6:G11)</f>
        <v>0.16748606187114318</v>
      </c>
      <c r="H5" s="414">
        <f>SUM(H6:H11)</f>
        <v>3.6836284210667078E-2</v>
      </c>
      <c r="I5" s="429" t="s">
        <v>204</v>
      </c>
      <c r="J5" s="429" t="s">
        <v>204</v>
      </c>
      <c r="K5" s="429" t="s">
        <v>204</v>
      </c>
      <c r="L5" s="429" t="s">
        <v>204</v>
      </c>
      <c r="M5" s="414">
        <f>SUM(M6:M11)</f>
        <v>1.0869919243176511E-2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7.651098895687639E-5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1.2862842684080325E-4</v>
      </c>
      <c r="E6" s="857">
        <f>vkm_GW_PW*SUMIFS(TableVerdeelsleutelVkm[LPG],TableVerdeelsleutelVkm[Voertuigtype],"Lichte voertuigen")*SUMIFS(TableECFTransport[EnergieConsumptieFactor (PJ per km)],TableECFTransport[Index],CONCATENATE($A6,"_LPG_LPG"))</f>
        <v>2.2632281896034989E-4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6.7149325101972593E-2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2.0781672073742725E-2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4.5350584540429124E-3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1.5688894904630826E-6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5.0393387175184871E-2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8.221976785487686E-7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2.9442610531465411E-3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4.7063000098181025E-5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1.0145076842478723E-4</v>
      </c>
      <c r="E8" s="417">
        <f>vkm_NGW_PW*SUMIFS(TableVerdeelsleutelVkm[LPG],TableVerdeelsleutelVkm[Voertuigtype],"Lichte voertuigen")*SUMIFS(TableECFTransport[EnergieConsumptieFactor (PJ per km)],TableECFTransport[Index],CONCATENATE($A8,"_LPG_LPG"))</f>
        <v>1.7093307141991559E-4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4.7162024609443132E-2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1.6053747249672616E-2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3.2280993902674866E-3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6.7487209966193136E-8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2.7813249845425911E-3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4.2689573186346679E-8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1.6250034571956964E-4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34.780657154301856</v>
      </c>
      <c r="C14" s="21"/>
      <c r="D14" s="21">
        <f t="shared" ref="D14:M14" si="0">((D5)*10^9/3600)+D12</f>
        <v>63.910887573775135</v>
      </c>
      <c r="E14" s="21">
        <f t="shared" si="0"/>
        <v>110.34885843896264</v>
      </c>
      <c r="F14" s="21"/>
      <c r="G14" s="21">
        <f t="shared" si="0"/>
        <v>46523.906075317544</v>
      </c>
      <c r="H14" s="21">
        <f t="shared" si="0"/>
        <v>10232.301169629745</v>
      </c>
      <c r="I14" s="21"/>
      <c r="J14" s="21"/>
      <c r="K14" s="21"/>
      <c r="L14" s="21"/>
      <c r="M14" s="21">
        <f t="shared" si="0"/>
        <v>3019.4220119934753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0.17471501474098364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6.0767030274149469</v>
      </c>
      <c r="C18" s="23"/>
      <c r="D18" s="23">
        <f t="shared" ref="D18:M18" si="1">D14*D16</f>
        <v>12.909999289902578</v>
      </c>
      <c r="E18" s="23">
        <f t="shared" si="1"/>
        <v>25.049190865644519</v>
      </c>
      <c r="F18" s="23"/>
      <c r="G18" s="23">
        <f t="shared" si="1"/>
        <v>12421.882922109784</v>
      </c>
      <c r="H18" s="23">
        <f t="shared" si="1"/>
        <v>2547.8429912378065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3.6165685849809031E-5</v>
      </c>
      <c r="C50" s="313">
        <f t="shared" ref="C50:P50" si="2">SUM(C51:C52)</f>
        <v>0</v>
      </c>
      <c r="D50" s="313">
        <f t="shared" si="2"/>
        <v>0</v>
      </c>
      <c r="E50" s="313">
        <f t="shared" si="2"/>
        <v>0</v>
      </c>
      <c r="F50" s="313">
        <f t="shared" si="2"/>
        <v>0</v>
      </c>
      <c r="G50" s="313">
        <f t="shared" si="2"/>
        <v>3.3974072087472286E-3</v>
      </c>
      <c r="H50" s="313">
        <f t="shared" si="2"/>
        <v>0</v>
      </c>
      <c r="I50" s="313">
        <f t="shared" si="2"/>
        <v>0</v>
      </c>
      <c r="J50" s="313">
        <f t="shared" si="2"/>
        <v>0</v>
      </c>
      <c r="K50" s="313">
        <f t="shared" si="2"/>
        <v>0</v>
      </c>
      <c r="L50" s="313">
        <f t="shared" si="2"/>
        <v>0</v>
      </c>
      <c r="M50" s="313">
        <f t="shared" si="2"/>
        <v>1.956464803821619E-4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3.6165685849809031E-5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3.3974072087472286E-3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1.956464803821619E-4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10.046023847169176</v>
      </c>
      <c r="C54" s="21">
        <f t="shared" ref="C54:P54" si="3">(C50)*10^9/3600</f>
        <v>0</v>
      </c>
      <c r="D54" s="21">
        <f t="shared" si="3"/>
        <v>0</v>
      </c>
      <c r="E54" s="21">
        <f t="shared" si="3"/>
        <v>0</v>
      </c>
      <c r="F54" s="21">
        <f t="shared" si="3"/>
        <v>0</v>
      </c>
      <c r="G54" s="21">
        <f t="shared" si="3"/>
        <v>943.72422465200793</v>
      </c>
      <c r="H54" s="21">
        <f t="shared" si="3"/>
        <v>0</v>
      </c>
      <c r="I54" s="21">
        <f t="shared" si="3"/>
        <v>0</v>
      </c>
      <c r="J54" s="21">
        <f t="shared" si="3"/>
        <v>0</v>
      </c>
      <c r="K54" s="21">
        <f t="shared" si="3"/>
        <v>0</v>
      </c>
      <c r="L54" s="21">
        <f t="shared" si="3"/>
        <v>0</v>
      </c>
      <c r="M54" s="21">
        <f t="shared" si="3"/>
        <v>54.346244550600524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0.17471501474098364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1.7551912045464357</v>
      </c>
      <c r="C58" s="23">
        <f t="shared" ref="C58:P58" ca="1" si="4">C54*C56</f>
        <v>0</v>
      </c>
      <c r="D58" s="23">
        <f t="shared" si="4"/>
        <v>0</v>
      </c>
      <c r="E58" s="23">
        <f t="shared" si="4"/>
        <v>0</v>
      </c>
      <c r="F58" s="23">
        <f t="shared" si="4"/>
        <v>0</v>
      </c>
      <c r="G58" s="23">
        <f t="shared" si="4"/>
        <v>251.97436798208614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Normal="100" workbookViewId="0">
      <selection activeCell="A28" sqref="A28:XFD31"/>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351.81240081911267</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8926.5822129291682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N31</f>
        <v>13470.3</v>
      </c>
      <c r="C8" s="536">
        <f>B50</f>
        <v>0</v>
      </c>
      <c r="D8" s="1002"/>
      <c r="E8" s="1002">
        <f>E50</f>
        <v>0</v>
      </c>
      <c r="F8" s="1003"/>
      <c r="G8" s="537"/>
      <c r="H8" s="1002">
        <f>I50</f>
        <v>0</v>
      </c>
      <c r="I8" s="1002">
        <f>G50+F50</f>
        <v>0</v>
      </c>
      <c r="J8" s="1002">
        <f>H50+D50+C50</f>
        <v>15847.411764705885</v>
      </c>
      <c r="K8" s="1002"/>
      <c r="L8" s="1002"/>
      <c r="M8" s="1002"/>
      <c r="N8" s="538"/>
      <c r="O8" s="539">
        <f>C8*$C$12+D8*$D$12+E8*$E$12+F8*$F$12+G8*$G$12+H8*$H$12+I8*$I$12+J8*$J$12</f>
        <v>0</v>
      </c>
      <c r="P8" s="1221"/>
      <c r="Q8" s="1222"/>
      <c r="S8" s="965"/>
      <c r="T8" s="1258"/>
      <c r="U8" s="1258"/>
    </row>
    <row r="9" spans="1:21" s="525" customFormat="1" ht="17.45" customHeight="1" thickBot="1">
      <c r="A9" s="540" t="s">
        <v>236</v>
      </c>
      <c r="B9" s="541">
        <f>N38+'Eigen informatie GS &amp; warmtenet'!B12</f>
        <v>0</v>
      </c>
      <c r="C9" s="54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22748.694613748281</v>
      </c>
      <c r="C10" s="549">
        <f t="shared" ref="C10:L10" si="0">SUM(C8:C9)</f>
        <v>0</v>
      </c>
      <c r="D10" s="549">
        <f t="shared" si="0"/>
        <v>0</v>
      </c>
      <c r="E10" s="549">
        <f t="shared" si="0"/>
        <v>0</v>
      </c>
      <c r="F10" s="549">
        <f t="shared" si="0"/>
        <v>0</v>
      </c>
      <c r="G10" s="549">
        <f t="shared" si="0"/>
        <v>0</v>
      </c>
      <c r="H10" s="549">
        <f t="shared" si="0"/>
        <v>0</v>
      </c>
      <c r="I10" s="549">
        <f t="shared" si="0"/>
        <v>0</v>
      </c>
      <c r="J10" s="549">
        <f t="shared" si="0"/>
        <v>15847.411764705885</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O31</f>
        <v>19243.285714285714</v>
      </c>
      <c r="C17" s="561">
        <f>B51</f>
        <v>0</v>
      </c>
      <c r="D17" s="562"/>
      <c r="E17" s="562">
        <f>E51</f>
        <v>0</v>
      </c>
      <c r="F17" s="1008"/>
      <c r="G17" s="563"/>
      <c r="H17" s="561">
        <f>I51</f>
        <v>0</v>
      </c>
      <c r="I17" s="562">
        <f>G51+F51</f>
        <v>0</v>
      </c>
      <c r="J17" s="562">
        <f>H51+D51+C51</f>
        <v>22639.15966386555</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19243.285714285714</v>
      </c>
      <c r="C20" s="548">
        <f>SUM(C17:C19)</f>
        <v>0</v>
      </c>
      <c r="D20" s="548">
        <f t="shared" ref="D20:L20" si="1">SUM(D17:D19)</f>
        <v>0</v>
      </c>
      <c r="E20" s="548">
        <f t="shared" si="1"/>
        <v>0</v>
      </c>
      <c r="F20" s="548">
        <f t="shared" si="1"/>
        <v>0</v>
      </c>
      <c r="G20" s="548">
        <f t="shared" si="1"/>
        <v>0</v>
      </c>
      <c r="H20" s="548">
        <f t="shared" si="1"/>
        <v>0</v>
      </c>
      <c r="I20" s="548">
        <f t="shared" si="1"/>
        <v>0</v>
      </c>
      <c r="J20" s="548">
        <f t="shared" si="1"/>
        <v>22639.15966386555</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72003</v>
      </c>
      <c r="C28" s="762">
        <v>3950</v>
      </c>
      <c r="D28" s="619"/>
      <c r="E28" s="618"/>
      <c r="F28" s="618"/>
      <c r="G28" s="618" t="s">
        <v>896</v>
      </c>
      <c r="H28" s="618" t="s">
        <v>897</v>
      </c>
      <c r="I28" s="618"/>
      <c r="J28" s="761"/>
      <c r="K28" s="761"/>
      <c r="L28" s="618" t="s">
        <v>898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72" customFormat="1" ht="25.5" hidden="1">
      <c r="A29" s="571"/>
      <c r="B29" s="762">
        <v>72003</v>
      </c>
      <c r="C29" s="762">
        <v>3950</v>
      </c>
      <c r="D29" s="619"/>
      <c r="E29" s="618"/>
      <c r="F29" s="618"/>
      <c r="G29" s="618" t="s">
        <v>896</v>
      </c>
      <c r="H29" s="618" t="s">
        <v>897</v>
      </c>
      <c r="I29" s="618"/>
      <c r="J29" s="761"/>
      <c r="K29" s="761"/>
      <c r="L29" s="618" t="s">
        <v>898</v>
      </c>
      <c r="M29" s="618">
        <v>9.6999999999999993</v>
      </c>
      <c r="N29" s="618">
        <v>43.649999999999991</v>
      </c>
      <c r="O29" s="618">
        <v>62.357142857142847</v>
      </c>
      <c r="P29" s="618">
        <v>0</v>
      </c>
      <c r="Q29" s="618">
        <v>124.71428571428569</v>
      </c>
      <c r="R29" s="618">
        <v>0</v>
      </c>
      <c r="S29" s="618">
        <v>0</v>
      </c>
      <c r="T29" s="618">
        <v>0</v>
      </c>
      <c r="U29" s="618">
        <v>0</v>
      </c>
      <c r="V29" s="618">
        <v>0</v>
      </c>
      <c r="W29" s="618">
        <v>0</v>
      </c>
      <c r="X29" s="618">
        <v>10</v>
      </c>
      <c r="Y29" s="618" t="s">
        <v>105</v>
      </c>
      <c r="Z29" s="620" t="s">
        <v>105</v>
      </c>
    </row>
    <row r="30" spans="1:26" s="572" customFormat="1" ht="63.75" hidden="1">
      <c r="A30" s="571"/>
      <c r="B30" s="762">
        <v>72003</v>
      </c>
      <c r="C30" s="762">
        <v>3950</v>
      </c>
      <c r="D30" s="619"/>
      <c r="E30" s="618"/>
      <c r="F30" s="618"/>
      <c r="G30" s="618" t="s">
        <v>896</v>
      </c>
      <c r="H30" s="618" t="s">
        <v>897</v>
      </c>
      <c r="I30" s="618"/>
      <c r="J30" s="761"/>
      <c r="K30" s="761"/>
      <c r="L30" s="618" t="s">
        <v>898</v>
      </c>
      <c r="M30" s="618">
        <v>2974</v>
      </c>
      <c r="N30" s="618">
        <v>13383</v>
      </c>
      <c r="O30" s="618">
        <v>19118.571428571428</v>
      </c>
      <c r="P30" s="618">
        <v>0</v>
      </c>
      <c r="Q30" s="618">
        <v>38237.142857142862</v>
      </c>
      <c r="R30" s="618">
        <v>0</v>
      </c>
      <c r="S30" s="618">
        <v>0</v>
      </c>
      <c r="T30" s="618">
        <v>0</v>
      </c>
      <c r="U30" s="618">
        <v>0</v>
      </c>
      <c r="V30" s="618">
        <v>0</v>
      </c>
      <c r="W30" s="618">
        <v>0</v>
      </c>
      <c r="X30" s="618">
        <v>1600</v>
      </c>
      <c r="Y30" s="618" t="s">
        <v>49</v>
      </c>
      <c r="Z30" s="620" t="s">
        <v>149</v>
      </c>
    </row>
    <row r="31" spans="1:26" s="556" customFormat="1" hidden="1">
      <c r="A31" s="574" t="s">
        <v>268</v>
      </c>
      <c r="B31" s="575"/>
      <c r="C31" s="575"/>
      <c r="D31" s="575"/>
      <c r="E31" s="575"/>
      <c r="F31" s="575"/>
      <c r="G31" s="575"/>
      <c r="H31" s="575"/>
      <c r="I31" s="575"/>
      <c r="J31" s="575"/>
      <c r="K31" s="575"/>
      <c r="L31" s="576"/>
      <c r="M31" s="576">
        <f>SUM(M28:M30)</f>
        <v>2993.4</v>
      </c>
      <c r="N31" s="576">
        <f>SUM(N28:N30)</f>
        <v>13470.3</v>
      </c>
      <c r="O31" s="576">
        <f>SUM(O28:O30)</f>
        <v>19243.285714285714</v>
      </c>
      <c r="P31" s="576">
        <f>SUM(P28:P30)</f>
        <v>0</v>
      </c>
      <c r="Q31" s="576">
        <f>SUM(Q28:Q30)</f>
        <v>38486.571428571435</v>
      </c>
      <c r="R31" s="576">
        <f>SUM(R28:R30)</f>
        <v>0</v>
      </c>
      <c r="S31" s="576">
        <f>SUM(S28:S30)</f>
        <v>0</v>
      </c>
      <c r="T31" s="576">
        <f>SUM(T28:T30)</f>
        <v>0</v>
      </c>
      <c r="U31" s="576">
        <f>SUM(U28:U30)</f>
        <v>0</v>
      </c>
      <c r="V31" s="576">
        <f>SUM(V28:V30)</f>
        <v>0</v>
      </c>
      <c r="W31" s="576">
        <f>SUM(W28:W30)</f>
        <v>0</v>
      </c>
      <c r="X31" s="577"/>
      <c r="Y31" s="577"/>
      <c r="Z31" s="578"/>
    </row>
    <row r="32" spans="1:26" s="556" customFormat="1">
      <c r="A32" s="574" t="s">
        <v>275</v>
      </c>
      <c r="B32" s="575"/>
      <c r="C32" s="575"/>
      <c r="D32" s="575"/>
      <c r="E32" s="575"/>
      <c r="F32" s="575"/>
      <c r="G32" s="575"/>
      <c r="H32" s="575"/>
      <c r="I32" s="575"/>
      <c r="J32" s="575"/>
      <c r="K32" s="575"/>
      <c r="L32" s="576"/>
      <c r="M32" s="576">
        <f>SUMIF($Z$28:$Z$30,"industrie",M28:M30)</f>
        <v>0</v>
      </c>
      <c r="N32" s="576">
        <f>SUMIF($Z$28:$Z$30,"industrie",N28:N30)</f>
        <v>0</v>
      </c>
      <c r="O32" s="576">
        <f>SUMIF($Z$28:$Z$30,"industrie",O28:O30)</f>
        <v>0</v>
      </c>
      <c r="P32" s="576">
        <f>SUMIF($Z$28:$Z$30,"industrie",P28:P30)</f>
        <v>0</v>
      </c>
      <c r="Q32" s="576">
        <f>SUMIF($Z$28:$Z$30,"industrie",Q28:Q30)</f>
        <v>0</v>
      </c>
      <c r="R32" s="576">
        <f>SUMIF($Z$28:$Z$30,"industrie",R28:R30)</f>
        <v>0</v>
      </c>
      <c r="S32" s="576">
        <f>SUMIF($Z$28:$Z$30,"industrie",S28:S30)</f>
        <v>0</v>
      </c>
      <c r="T32" s="576">
        <f>SUMIF($Z$28:$Z$30,"industrie",T28:T30)</f>
        <v>0</v>
      </c>
      <c r="U32" s="576">
        <f>SUMIF($Z$28:$Z$30,"industrie",U28:U30)</f>
        <v>0</v>
      </c>
      <c r="V32" s="576">
        <f>SUMIF($Z$28:$Z$30,"industrie",V28:V30)</f>
        <v>0</v>
      </c>
      <c r="W32" s="576">
        <f>SUMIF($Z$28:$Z$30,"industrie",W28:W30)</f>
        <v>0</v>
      </c>
      <c r="X32" s="577"/>
      <c r="Y32" s="577"/>
      <c r="Z32" s="578"/>
    </row>
    <row r="33" spans="1:27" s="556" customFormat="1">
      <c r="A33" s="574" t="s">
        <v>276</v>
      </c>
      <c r="B33" s="575"/>
      <c r="C33" s="575"/>
      <c r="D33" s="575"/>
      <c r="E33" s="575"/>
      <c r="F33" s="575"/>
      <c r="G33" s="575"/>
      <c r="H33" s="575"/>
      <c r="I33" s="575"/>
      <c r="J33" s="575"/>
      <c r="K33" s="575"/>
      <c r="L33" s="576"/>
      <c r="M33" s="576">
        <f ca="1">SUMIF($Z$28:AC30,"tertiair",M28:M30)</f>
        <v>2974</v>
      </c>
      <c r="N33" s="576">
        <f ca="1">SUMIF($Z$28:AD30,"tertiair",N28:N30)</f>
        <v>13383</v>
      </c>
      <c r="O33" s="576">
        <f ca="1">SUMIF($Z$28:AE30,"tertiair",O28:O30)</f>
        <v>19118.571428571428</v>
      </c>
      <c r="P33" s="576">
        <f ca="1">SUMIF($Z$28:AF30,"tertiair",P28:P30)</f>
        <v>0</v>
      </c>
      <c r="Q33" s="576">
        <f ca="1">SUMIF($Z$28:AG30,"tertiair",Q28:Q30)</f>
        <v>38237.142857142862</v>
      </c>
      <c r="R33" s="576">
        <f ca="1">SUMIF($Z$28:AH30,"tertiair",R28:R30)</f>
        <v>0</v>
      </c>
      <c r="S33" s="576">
        <f ca="1">SUMIF($Z$28:AI30,"tertiair",S28:S30)</f>
        <v>0</v>
      </c>
      <c r="T33" s="576">
        <f ca="1">SUMIF($Z$28:AJ30,"tertiair",T28:T30)</f>
        <v>0</v>
      </c>
      <c r="U33" s="576">
        <f ca="1">SUMIF($Z$28:AK30,"tertiair",U28:U30)</f>
        <v>0</v>
      </c>
      <c r="V33" s="576">
        <f ca="1">SUMIF($Z$28:AL30,"tertiair",V28:V30)</f>
        <v>0</v>
      </c>
      <c r="W33" s="576">
        <f ca="1">SUMIF($Z$28:AM30,"tertiair",W28:W30)</f>
        <v>0</v>
      </c>
      <c r="X33" s="577"/>
      <c r="Y33" s="577"/>
      <c r="Z33" s="578"/>
    </row>
    <row r="34" spans="1:27" s="556" customFormat="1" ht="15.75" thickBot="1">
      <c r="A34" s="579" t="s">
        <v>277</v>
      </c>
      <c r="B34" s="580"/>
      <c r="C34" s="580"/>
      <c r="D34" s="580"/>
      <c r="E34" s="580"/>
      <c r="F34" s="580"/>
      <c r="G34" s="580"/>
      <c r="H34" s="580"/>
      <c r="I34" s="580"/>
      <c r="J34" s="580"/>
      <c r="K34" s="580"/>
      <c r="L34" s="581"/>
      <c r="M34" s="581">
        <f>SUMIF($Z$28:$Z$30,"landbouw",M28:M30)</f>
        <v>19.399999999999999</v>
      </c>
      <c r="N34" s="581">
        <f>SUMIF($Z$28:$Z$30,"landbouw",N28:N30)</f>
        <v>87.299999999999983</v>
      </c>
      <c r="O34" s="581">
        <f>SUMIF($Z$28:$Z$30,"landbouw",O28:O30)</f>
        <v>124.71428571428569</v>
      </c>
      <c r="P34" s="581">
        <f>SUMIF($Z$28:$Z$30,"landbouw",P28:P30)</f>
        <v>0</v>
      </c>
      <c r="Q34" s="581">
        <f>SUMIF($Z$28:$Z$30,"landbouw",Q28:Q30)</f>
        <v>249.42857142857139</v>
      </c>
      <c r="R34" s="581">
        <f>SUMIF($Z$28:$Z$30,"landbouw",R28:R30)</f>
        <v>0</v>
      </c>
      <c r="S34" s="581">
        <f>SUMIF($Z$28:$Z$30,"landbouw",S28:S30)</f>
        <v>0</v>
      </c>
      <c r="T34" s="581">
        <f>SUMIF($Z$28:$Z$30,"landbouw",T28:T30)</f>
        <v>0</v>
      </c>
      <c r="U34" s="581">
        <f>SUMIF($Z$28:$Z$30,"landbouw",U28:U30)</f>
        <v>0</v>
      </c>
      <c r="V34" s="581">
        <f>SUMIF($Z$28:$Z$30,"landbouw",V28:V30)</f>
        <v>0</v>
      </c>
      <c r="W34" s="581">
        <f>SUMIF($Z$28:$Z$30,"landbouw",W28:W30)</f>
        <v>0</v>
      </c>
      <c r="X34" s="582"/>
      <c r="Y34" s="582"/>
      <c r="Z34" s="583"/>
    </row>
    <row r="35" spans="1:27" s="525" customFormat="1" ht="15.75" thickBot="1">
      <c r="A35" s="584"/>
      <c r="B35" s="585"/>
      <c r="C35" s="585"/>
      <c r="D35" s="585"/>
      <c r="E35" s="585"/>
      <c r="F35" s="585"/>
      <c r="G35" s="585"/>
      <c r="H35" s="585"/>
      <c r="I35" s="585"/>
      <c r="J35" s="585"/>
      <c r="K35" s="585"/>
      <c r="L35" s="568"/>
      <c r="M35" s="568"/>
      <c r="N35" s="568"/>
      <c r="O35" s="569"/>
      <c r="P35" s="569"/>
    </row>
    <row r="36" spans="1:27" s="525" customFormat="1" ht="45">
      <c r="A36" s="586" t="s">
        <v>269</v>
      </c>
      <c r="B36" s="615" t="s">
        <v>89</v>
      </c>
      <c r="C36" s="615" t="s">
        <v>90</v>
      </c>
      <c r="D36" s="615"/>
      <c r="E36" s="615"/>
      <c r="F36" s="615"/>
      <c r="G36" s="615" t="s">
        <v>91</v>
      </c>
      <c r="H36" s="615" t="s">
        <v>92</v>
      </c>
      <c r="I36" s="615"/>
      <c r="J36" s="615"/>
      <c r="K36" s="615"/>
      <c r="L36" s="615" t="s">
        <v>93</v>
      </c>
      <c r="M36" s="616" t="s">
        <v>286</v>
      </c>
      <c r="N36" s="616" t="s">
        <v>94</v>
      </c>
      <c r="O36" s="616" t="s">
        <v>95</v>
      </c>
      <c r="P36" s="616" t="s">
        <v>520</v>
      </c>
      <c r="Q36" s="616" t="s">
        <v>96</v>
      </c>
      <c r="R36" s="616" t="s">
        <v>97</v>
      </c>
      <c r="S36" s="616" t="s">
        <v>98</v>
      </c>
      <c r="T36" s="616" t="s">
        <v>99</v>
      </c>
      <c r="U36" s="616" t="s">
        <v>100</v>
      </c>
      <c r="V36" s="616" t="s">
        <v>101</v>
      </c>
      <c r="W36" s="615" t="s">
        <v>102</v>
      </c>
      <c r="X36" s="615" t="s">
        <v>287</v>
      </c>
      <c r="Y36" s="615" t="s">
        <v>103</v>
      </c>
      <c r="Z36" s="617" t="s">
        <v>288</v>
      </c>
    </row>
    <row r="37" spans="1:27" s="587" customFormat="1" ht="12.75" hidden="1">
      <c r="A37" s="573"/>
      <c r="B37" s="762"/>
      <c r="C37" s="762"/>
      <c r="D37" s="621"/>
      <c r="E37" s="621"/>
      <c r="F37" s="621"/>
      <c r="G37" s="621"/>
      <c r="H37" s="621"/>
      <c r="I37" s="621"/>
      <c r="J37" s="761"/>
      <c r="K37" s="761"/>
      <c r="L37" s="621"/>
      <c r="M37" s="621"/>
      <c r="N37" s="621"/>
      <c r="O37" s="621"/>
      <c r="P37" s="621"/>
      <c r="Q37" s="621"/>
      <c r="R37" s="621"/>
      <c r="S37" s="621"/>
      <c r="T37" s="621"/>
      <c r="U37" s="621"/>
      <c r="V37" s="621"/>
      <c r="W37" s="621"/>
      <c r="X37" s="621"/>
      <c r="Y37" s="621"/>
      <c r="Z37" s="622"/>
    </row>
    <row r="38" spans="1:27" s="556" customFormat="1" hidden="1">
      <c r="A38" s="574" t="s">
        <v>268</v>
      </c>
      <c r="B38" s="575"/>
      <c r="C38" s="575"/>
      <c r="D38" s="575"/>
      <c r="E38" s="575"/>
      <c r="F38" s="575"/>
      <c r="G38" s="575"/>
      <c r="H38" s="575"/>
      <c r="I38" s="575"/>
      <c r="J38" s="575"/>
      <c r="K38" s="575"/>
      <c r="L38" s="576"/>
      <c r="M38" s="576">
        <f>SUM(M37:M37)</f>
        <v>0</v>
      </c>
      <c r="N38" s="576">
        <f>SUM(N37:N37)</f>
        <v>0</v>
      </c>
      <c r="O38" s="576">
        <f>SUM(O37:O37)</f>
        <v>0</v>
      </c>
      <c r="P38" s="576">
        <f>SUM(P37:P37)</f>
        <v>0</v>
      </c>
      <c r="Q38" s="576">
        <f>SUM(Q37:Q37)</f>
        <v>0</v>
      </c>
      <c r="R38" s="576">
        <f>SUM(R37:R37)</f>
        <v>0</v>
      </c>
      <c r="S38" s="576">
        <f>SUM(S37:S37)</f>
        <v>0</v>
      </c>
      <c r="T38" s="576">
        <f>SUM(T37:T37)</f>
        <v>0</v>
      </c>
      <c r="U38" s="576">
        <f>SUM(U37:U37)</f>
        <v>0</v>
      </c>
      <c r="V38" s="576">
        <f>SUM(V37:V37)</f>
        <v>0</v>
      </c>
      <c r="W38" s="576">
        <f>SUM(W37:W37)</f>
        <v>0</v>
      </c>
      <c r="X38" s="577"/>
      <c r="Y38" s="577"/>
      <c r="Z38" s="578"/>
    </row>
    <row r="39" spans="1:27" s="556" customFormat="1">
      <c r="A39" s="574" t="s">
        <v>275</v>
      </c>
      <c r="B39" s="575"/>
      <c r="C39" s="575"/>
      <c r="D39" s="575"/>
      <c r="E39" s="575"/>
      <c r="F39" s="575"/>
      <c r="G39" s="575"/>
      <c r="H39" s="575"/>
      <c r="I39" s="575"/>
      <c r="J39" s="575"/>
      <c r="K39" s="575"/>
      <c r="L39" s="576"/>
      <c r="M39" s="576">
        <f>SUMIF($Z$37:$Z$37,"industrie",M37:M37)</f>
        <v>0</v>
      </c>
      <c r="N39" s="576">
        <f>SUMIF($Z$37:$Z$37,"industrie",N37:N37)</f>
        <v>0</v>
      </c>
      <c r="O39" s="576">
        <f>SUMIF($Z$37:$Z$37,"industrie",O37:O37)</f>
        <v>0</v>
      </c>
      <c r="P39" s="576">
        <f>SUMIF($Z$37:$Z$37,"industrie",P37:P37)</f>
        <v>0</v>
      </c>
      <c r="Q39" s="576">
        <f>SUMIF($Z$37:$Z$37,"industrie",Q37:Q37)</f>
        <v>0</v>
      </c>
      <c r="R39" s="576">
        <f>SUMIF($Z$37:$Z$37,"industrie",R37:R37)</f>
        <v>0</v>
      </c>
      <c r="S39" s="576">
        <f>SUMIF($Z$37:$Z$37,"industrie",S37:S37)</f>
        <v>0</v>
      </c>
      <c r="T39" s="576">
        <f>SUMIF($Z$37:$Z$37,"industrie",T37:T37)</f>
        <v>0</v>
      </c>
      <c r="U39" s="576">
        <f>SUMIF($Z$37:$Z$37,"industrie",U37:U37)</f>
        <v>0</v>
      </c>
      <c r="V39" s="576">
        <f>SUMIF($Z$37:$Z$37,"industrie",V37:V37)</f>
        <v>0</v>
      </c>
      <c r="W39" s="576">
        <f>SUMIF($Z$37:$Z$37,"industrie",W37:W37)</f>
        <v>0</v>
      </c>
      <c r="X39" s="577"/>
      <c r="Y39" s="577"/>
      <c r="Z39" s="578"/>
    </row>
    <row r="40" spans="1:27" s="556" customFormat="1">
      <c r="A40" s="574" t="s">
        <v>276</v>
      </c>
      <c r="B40" s="575"/>
      <c r="C40" s="575"/>
      <c r="D40" s="575"/>
      <c r="E40" s="575"/>
      <c r="F40" s="575"/>
      <c r="G40" s="575"/>
      <c r="H40" s="575"/>
      <c r="I40" s="575"/>
      <c r="J40" s="575"/>
      <c r="K40" s="575"/>
      <c r="L40" s="576"/>
      <c r="M40" s="576">
        <f>SUMIF($Z$37:$Z$38,"tertiair",M37:M38)</f>
        <v>0</v>
      </c>
      <c r="N40" s="576">
        <f>SUMIF($Z$37:$Z$38,"tertiair",N37:N38)</f>
        <v>0</v>
      </c>
      <c r="O40" s="576">
        <f>SUMIF($Z$37:$Z$38,"tertiair",O37:O38)</f>
        <v>0</v>
      </c>
      <c r="P40" s="576">
        <f>SUMIF($Z$37:$Z$38,"tertiair",P37:P38)</f>
        <v>0</v>
      </c>
      <c r="Q40" s="576">
        <f>SUMIF($Z$37:$Z$38,"tertiair",Q37:Q38)</f>
        <v>0</v>
      </c>
      <c r="R40" s="576">
        <f>SUMIF($Z$37:$Z$38,"tertiair",R37:R38)</f>
        <v>0</v>
      </c>
      <c r="S40" s="576">
        <f>SUMIF($Z$37:$Z$38,"tertiair",S37:S38)</f>
        <v>0</v>
      </c>
      <c r="T40" s="576">
        <f>SUMIF($Z$37:$Z$38,"tertiair",T37:T38)</f>
        <v>0</v>
      </c>
      <c r="U40" s="576">
        <f>SUMIF($Z$37:$Z$38,"tertiair",U37:U38)</f>
        <v>0</v>
      </c>
      <c r="V40" s="576">
        <f>SUMIF($Z$37:$Z$38,"tertiair",V37:V38)</f>
        <v>0</v>
      </c>
      <c r="W40" s="576">
        <f>SUMIF($Z$37:$Z$38,"tertiair",W37:W38)</f>
        <v>0</v>
      </c>
      <c r="X40" s="577"/>
      <c r="Y40" s="577"/>
      <c r="Z40" s="578"/>
    </row>
    <row r="41" spans="1:27" s="556" customFormat="1" ht="15.75" thickBot="1">
      <c r="A41" s="579" t="s">
        <v>277</v>
      </c>
      <c r="B41" s="580"/>
      <c r="C41" s="580"/>
      <c r="D41" s="580"/>
      <c r="E41" s="580"/>
      <c r="F41" s="580"/>
      <c r="G41" s="580"/>
      <c r="H41" s="580"/>
      <c r="I41" s="580"/>
      <c r="J41" s="580"/>
      <c r="K41" s="580"/>
      <c r="L41" s="581"/>
      <c r="M41" s="581">
        <f>SUMIF($Z$37:$Z$39,"landbouw",M37:M39)</f>
        <v>0</v>
      </c>
      <c r="N41" s="581">
        <f>SUMIF($Z$37:$Z$39,"landbouw",N37:N39)</f>
        <v>0</v>
      </c>
      <c r="O41" s="581">
        <f>SUMIF($Z$37:$Z$39,"landbouw",O37:O39)</f>
        <v>0</v>
      </c>
      <c r="P41" s="581">
        <f>SUMIF($Z$37:$Z$39,"landbouw",P37:P39)</f>
        <v>0</v>
      </c>
      <c r="Q41" s="581">
        <f>SUMIF($Z$37:$Z$39,"landbouw",Q37:Q39)</f>
        <v>0</v>
      </c>
      <c r="R41" s="581">
        <f>SUMIF($Z$37:$Z$39,"landbouw",R37:R39)</f>
        <v>0</v>
      </c>
      <c r="S41" s="581">
        <f>SUMIF($Z$37:$Z$39,"landbouw",S37:S39)</f>
        <v>0</v>
      </c>
      <c r="T41" s="581">
        <f>SUMIF($Z$37:$Z$39,"landbouw",T37:T39)</f>
        <v>0</v>
      </c>
      <c r="U41" s="581">
        <f>SUMIF($Z$37:$Z$39,"landbouw",U37:U39)</f>
        <v>0</v>
      </c>
      <c r="V41" s="581">
        <f>SUMIF($Z$37:$Z$39,"landbouw",V37:V39)</f>
        <v>0</v>
      </c>
      <c r="W41" s="581">
        <f>SUMIF($Z$37:$Z$39,"landbouw",W37:W39)</f>
        <v>0</v>
      </c>
      <c r="X41" s="582"/>
      <c r="Y41" s="582"/>
      <c r="Z41" s="583"/>
    </row>
    <row r="42" spans="1:27" s="588" customForma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row>
    <row r="43" spans="1:27" s="588" customFormat="1" ht="15.75" thickBo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row>
    <row r="44" spans="1:27">
      <c r="A44" s="589" t="s">
        <v>270</v>
      </c>
      <c r="B44" s="590"/>
      <c r="C44" s="590"/>
      <c r="D44" s="590"/>
      <c r="E44" s="590"/>
      <c r="F44" s="590"/>
      <c r="G44" s="590"/>
      <c r="H44" s="590"/>
      <c r="I44" s="591"/>
      <c r="J44" s="592"/>
      <c r="K44" s="592"/>
      <c r="L44" s="593"/>
      <c r="M44" s="593"/>
      <c r="N44" s="593"/>
      <c r="O44" s="593"/>
      <c r="P44" s="593"/>
    </row>
    <row r="45" spans="1:27">
      <c r="A45" s="595"/>
      <c r="B45" s="585"/>
      <c r="C45" s="585"/>
      <c r="D45" s="585"/>
      <c r="E45" s="585"/>
      <c r="F45" s="585"/>
      <c r="G45" s="585"/>
      <c r="H45" s="585"/>
      <c r="I45" s="596"/>
      <c r="J45" s="585"/>
      <c r="K45" s="585"/>
      <c r="L45" s="593"/>
      <c r="M45" s="593"/>
      <c r="N45" s="593"/>
      <c r="O45" s="593"/>
      <c r="P45" s="593"/>
    </row>
    <row r="46" spans="1:27">
      <c r="A46" s="597"/>
      <c r="B46" s="598" t="s">
        <v>271</v>
      </c>
      <c r="C46" s="598" t="s">
        <v>272</v>
      </c>
      <c r="D46" s="598"/>
      <c r="E46" s="598"/>
      <c r="F46" s="598"/>
      <c r="G46" s="598"/>
      <c r="H46" s="598"/>
      <c r="I46" s="599"/>
      <c r="J46" s="598"/>
      <c r="K46" s="598"/>
      <c r="L46" s="598"/>
      <c r="M46" s="598"/>
      <c r="N46" s="598"/>
      <c r="O46" s="598"/>
      <c r="P46" s="593"/>
    </row>
    <row r="47" spans="1:27">
      <c r="A47" s="595" t="s">
        <v>268</v>
      </c>
      <c r="B47" s="600">
        <f>IF(ISERROR(O31/(O31+N31)),0,O31/(O31+N31))</f>
        <v>0.58823529411764708</v>
      </c>
      <c r="C47" s="601">
        <f>IF(ISERROR(N31/(O31+N31)),0,N31/(N31+O31))</f>
        <v>0.41176470588235292</v>
      </c>
      <c r="D47" s="568"/>
      <c r="E47" s="568"/>
      <c r="F47" s="568"/>
      <c r="G47" s="568"/>
      <c r="H47" s="568"/>
      <c r="I47" s="602"/>
      <c r="J47" s="568"/>
      <c r="K47" s="568"/>
      <c r="L47" s="603"/>
      <c r="M47" s="603"/>
      <c r="N47" s="603"/>
      <c r="O47" s="603"/>
      <c r="P47" s="593"/>
    </row>
    <row r="48" spans="1:27">
      <c r="A48" s="595"/>
      <c r="B48" s="604"/>
      <c r="C48" s="604"/>
      <c r="D48" s="604"/>
      <c r="E48" s="604"/>
      <c r="F48" s="604"/>
      <c r="G48" s="604"/>
      <c r="H48" s="604"/>
      <c r="I48" s="605"/>
      <c r="J48" s="604"/>
      <c r="K48" s="604"/>
      <c r="L48" s="606"/>
      <c r="M48" s="606"/>
      <c r="N48" s="606"/>
      <c r="O48" s="606"/>
      <c r="P48" s="593"/>
    </row>
    <row r="49" spans="1:16" ht="30">
      <c r="A49" s="607"/>
      <c r="B49" s="608" t="s">
        <v>520</v>
      </c>
      <c r="C49" s="608" t="s">
        <v>96</v>
      </c>
      <c r="D49" s="608" t="s">
        <v>97</v>
      </c>
      <c r="E49" s="608" t="s">
        <v>98</v>
      </c>
      <c r="F49" s="608" t="s">
        <v>99</v>
      </c>
      <c r="G49" s="608" t="s">
        <v>100</v>
      </c>
      <c r="H49" s="608" t="s">
        <v>101</v>
      </c>
      <c r="I49" s="609" t="s">
        <v>102</v>
      </c>
      <c r="J49" s="598"/>
      <c r="K49" s="598"/>
      <c r="L49" s="606"/>
      <c r="M49" s="606"/>
      <c r="N49" s="606"/>
      <c r="O49" s="593"/>
      <c r="P49" s="593"/>
    </row>
    <row r="50" spans="1:16">
      <c r="A50" s="597" t="s">
        <v>273</v>
      </c>
      <c r="B50" s="610">
        <f t="shared" ref="B50:I50" si="2">$C$47*P31</f>
        <v>0</v>
      </c>
      <c r="C50" s="610">
        <f t="shared" si="2"/>
        <v>15847.411764705885</v>
      </c>
      <c r="D50" s="610">
        <f t="shared" si="2"/>
        <v>0</v>
      </c>
      <c r="E50" s="610">
        <f t="shared" si="2"/>
        <v>0</v>
      </c>
      <c r="F50" s="610">
        <f t="shared" si="2"/>
        <v>0</v>
      </c>
      <c r="G50" s="610">
        <f t="shared" si="2"/>
        <v>0</v>
      </c>
      <c r="H50" s="610">
        <f t="shared" si="2"/>
        <v>0</v>
      </c>
      <c r="I50" s="611">
        <f t="shared" si="2"/>
        <v>0</v>
      </c>
      <c r="J50" s="568"/>
      <c r="K50" s="568"/>
      <c r="L50" s="606"/>
      <c r="M50" s="606"/>
      <c r="N50" s="606"/>
      <c r="O50" s="593"/>
      <c r="P50" s="593"/>
    </row>
    <row r="51" spans="1:16" ht="15.75" thickBot="1">
      <c r="A51" s="612" t="s">
        <v>274</v>
      </c>
      <c r="B51" s="613">
        <f t="shared" ref="B51:I51" si="3">$B$47*P31</f>
        <v>0</v>
      </c>
      <c r="C51" s="613">
        <f t="shared" si="3"/>
        <v>22639.15966386555</v>
      </c>
      <c r="D51" s="613">
        <f t="shared" si="3"/>
        <v>0</v>
      </c>
      <c r="E51" s="613">
        <f t="shared" si="3"/>
        <v>0</v>
      </c>
      <c r="F51" s="613">
        <f t="shared" si="3"/>
        <v>0</v>
      </c>
      <c r="G51" s="613">
        <f t="shared" si="3"/>
        <v>0</v>
      </c>
      <c r="H51" s="613">
        <f t="shared" si="3"/>
        <v>0</v>
      </c>
      <c r="I51" s="614">
        <f t="shared" si="3"/>
        <v>0</v>
      </c>
      <c r="J51" s="568"/>
      <c r="K51" s="568"/>
      <c r="L51" s="606"/>
      <c r="M51" s="606"/>
      <c r="N51" s="606"/>
      <c r="O51" s="593"/>
      <c r="P51" s="593"/>
    </row>
    <row r="52" spans="1:16">
      <c r="J52" s="554"/>
      <c r="K52" s="554"/>
      <c r="L52" s="554"/>
      <c r="M52" s="554"/>
      <c r="N52" s="554"/>
    </row>
    <row r="53" spans="1:16">
      <c r="J53" s="554"/>
      <c r="K53" s="554"/>
      <c r="L53" s="554"/>
      <c r="M53" s="554"/>
      <c r="N53"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2021-11-11T12:53:04Z</dcterms:modified>
</cp:coreProperties>
</file>