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8B1A7A80-CED9-40D0-988B-16C83E33328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B8" i="18"/>
  <c r="B45" i="18"/>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D8" i="22" s="1"/>
  <c r="A7" i="23"/>
  <c r="D6" i="22" s="1"/>
  <c r="A8" i="23"/>
  <c r="A9" i="23"/>
  <c r="A10" i="23"/>
  <c r="A11" i="23"/>
  <c r="A12" i="23"/>
  <c r="A13" i="23"/>
  <c r="A14" i="23"/>
  <c r="A15" i="23"/>
  <c r="A16" i="23"/>
  <c r="A17" i="23"/>
  <c r="A18" i="23"/>
  <c r="A19" i="23"/>
  <c r="A20" i="23"/>
  <c r="A21" i="23"/>
  <c r="A22" i="23"/>
  <c r="A23" i="23"/>
  <c r="A24" i="23"/>
  <c r="A25" i="23"/>
  <c r="A26" i="23"/>
  <c r="A27" i="23"/>
  <c r="A28" i="23"/>
  <c r="A29" i="23"/>
  <c r="A30" i="23"/>
  <c r="B52" i="22" l="1"/>
  <c r="B51" i="22"/>
  <c r="D10"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G50" i="22" s="1"/>
  <c r="G54" i="22" s="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N5" i="13" l="1"/>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<sst xmlns="http://schemas.openxmlformats.org/spreadsheetml/2006/main" count="2464" uniqueCount="896">
  <si>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</si>
  <si>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</si>
  <si>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</si>
  <si>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</si>
  <si>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</si>
  <si>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</si>
  <si>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</si>
  <si>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</si>
  <si>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</si>
  <si>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</si>
  <si>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</si>
  <si>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</si>
  <si>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</si>
  <si>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</si>
  <si>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</si>
  <si>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</si>
  <si>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</si>
  <si>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</si>
  <si>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</si>
  <si>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</si>
  <si>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</si>
  <si>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</si>
  <si>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</si>
  <si>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</si>
  <si>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</si>
  <si>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</si>
  <si>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</si>
  <si>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</si>
  <si>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</si>
  <si>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</si>
  <si>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</si>
  <si>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</si>
  <si>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</si>
  <si>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</si>
  <si>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</si>
  <si>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</si>
  <si>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</si>
  <si>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</si>
  <si>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</si>
  <si>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</si>
  <si>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</si>
  <si>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</si>
  <si>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</si>
  <si>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</si>
  <si>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</si>
  <si>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</si>
  <si>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</si>
  <si>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</si>
  <si>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</si>
  <si>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</si>
  <si>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</si>
  <si>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</si>
  <si>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</si>
  <si>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</si>
  <si>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</si>
  <si>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</si>
  <si>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</si>
  <si>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</si>
  <si>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</si>
  <si>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</si>
  <si>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</si>
  <si>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</si>
  <si>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</si>
  <si>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</si>
  <si>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</si>
  <si>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</si>
  <si>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</si>
  <si>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</si>
  <si>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</si>
  <si>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</si>
  <si>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</si>
  <si>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</si>
  <si>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</si>
  <si>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</si>
  <si>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</si>
  <si>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</si>
  <si>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</si>
  <si>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</si>
  <si>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</si>
  <si>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</si>
  <si>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</si>
  <si>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</si>
  <si>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</si>
  <si>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</si>
  <si>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</si>
  <si>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</si>
  <si>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</si>
  <si>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</si>
  <si>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</si>
  <si>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</si>
  <si>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</si>
  <si>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</si>
  <si>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</si>
  <si>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</si>
  <si>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</si>
  <si>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</si>
  <si>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</si>
  <si>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</si>
  <si>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</si>
  <si>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</si>
  <si>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</si>
  <si>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</si>
  <si>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</si>
  <si>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</si>
  <si>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</si>
  <si>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</si>
  <si>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</si>
  <si>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</si>
  <si>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</si>
  <si>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</si>
  <si>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</si>
  <si>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</si>
  <si>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</si>
  <si>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</si>
  <si>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</si>
  <si>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</si>
  <si>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</si>
  <si>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</si>
  <si>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</si>
  <si>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</si>
  <si>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</si>
  <si>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</si>
  <si>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</si>
  <si>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</si>
  <si>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</si>
  <si>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</si>
  <si>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</si>
  <si>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</si>
  <si>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</si>
  <si>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</si>
  <si>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</si>
  <si>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</si>
  <si>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</si>
  <si>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</si>
  <si>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</si>
  <si>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</si>
  <si>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</si>
  <si>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</si>
  <si>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</si>
  <si>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</si>
  <si>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</si>
  <si>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</si>
  <si>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</si>
  <si>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</si>
  <si>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</si>
  <si>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</si>
  <si>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</si>
  <si>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</si>
  <si>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</si>
  <si>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</si>
  <si>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</si>
  <si>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</si>
  <si>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</si>
  <si>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</si>
  <si>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</si>
  <si>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</si>
  <si>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</si>
  <si>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</si>
  <si>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</si>
  <si>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</si>
  <si>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</si>
  <si>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</si>
  <si>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</si>
  <si>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</si>
  <si>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</si>
  <si>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</si>
  <si>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</si>
  <si>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</si>
  <si>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</si>
  <si>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</si>
  <si>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</si>
  <si>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</si>
  <si>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</si>
  <si>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</si>
  <si>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</si>
  <si>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</si>
  <si>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</si>
  <si>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</si>
  <si>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</si>
  <si>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</si>
  <si>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</si>
  <si>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</si>
  <si>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</si>
  <si>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</si>
  <si>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</si>
  <si>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</si>
  <si>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</si>
  <si>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</si>
  <si>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</si>
  <si>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</si>
  <si>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</si>
  <si>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</si>
  <si>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</si>
  <si>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</si>
  <si>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</si>
  <si>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</si>
  <si>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</si>
  <si>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</si>
  <si>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</si>
  <si>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</si>
  <si>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</si>
  <si>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</si>
  <si>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</si>
  <si>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</si>
  <si>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</si>
  <si>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</si>
  <si>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</si>
  <si>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</si>
  <si>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</si>
  <si>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</si>
  <si>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</si>
  <si>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</si>
  <si>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</si>
  <si>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</si>
  <si>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</si>
  <si>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</si>
  <si>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</si>
  <si>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</si>
  <si>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</si>
  <si>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</si>
  <si>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</si>
  <si>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</si>
  <si>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</si>
  <si>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</si>
  <si>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</si>
  <si>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</si>
  <si>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</si>
  <si>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</si>
  <si>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</si>
  <si>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</si>
  <si>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</si>
  <si>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</si>
  <si>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</si>
  <si>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</si>
  <si>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</si>
  <si>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</si>
  <si>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</si>
  <si>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</si>
  <si>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</si>
  <si>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</si>
  <si>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</si>
  <si>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</si>
  <si>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</si>
  <si>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</si>
  <si>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</si>
  <si>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</si>
  <si>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</si>
  <si>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</si>
  <si>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</si>
  <si>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</si>
  <si>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</si>
  <si>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</si>
  <si>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</si>
  <si>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</si>
  <si>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</si>
  <si>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</si>
  <si>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</si>
  <si>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</si>
  <si>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</si>
  <si>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</si>
  <si>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</si>
  <si>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</si>
  <si>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</si>
  <si>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</si>
  <si>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</si>
  <si>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</si>
  <si>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</si>
  <si>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</si>
  <si>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</si>
  <si>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</si>
  <si>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</si>
  <si>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</si>
  <si>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</si>
  <si>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</si>
  <si>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</si>
  <si>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</si>
  <si>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</si>
  <si>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</si>
  <si>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</si>
  <si>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</si>
  <si>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</si>
  <si>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</si>
  <si>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</si>
  <si>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</si>
  <si>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</si>
  <si>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</si>
  <si>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</si>
  <si>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</si>
  <si>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</si>
  <si>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</si>
  <si>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</si>
  <si>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</si>
  <si>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</si>
  <si>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</si>
  <si>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</si>
  <si>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</si>
  <si>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</si>
  <si>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</si>
  <si>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</si>
  <si>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</si>
  <si>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</si>
  <si>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</si>
  <si>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</si>
  <si>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</si>
  <si>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</si>
  <si>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</si>
  <si>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</si>
  <si>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</si>
  <si>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</si>
  <si>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</si>
  <si>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</si>
  <si>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</si>
  <si>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</si>
  <si>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</si>
  <si>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</si>
  <si>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</si>
  <si>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</si>
  <si>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</si>
  <si>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</si>
  <si>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</si>
  <si>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</si>
  <si>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</si>
  <si>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</si>
  <si>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</si>
  <si>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</si>
  <si>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</si>
  <si>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</si>
  <si>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</si>
  <si>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</si>
  <si>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</si>
  <si>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</si>
  <si>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</si>
  <si>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</si>
  <si>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</si>
  <si>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</si>
  <si>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</si>
  <si>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</si>
  <si>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</si>
  <si>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</si>
  <si>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</si>
  <si>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</si>
  <si>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</si>
  <si>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</si>
  <si>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</si>
  <si>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</si>
  <si>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</si>
  <si>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</si>
  <si>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</si>
  <si>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</si>
  <si>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</si>
  <si>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</si>
  <si>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</si>
  <si>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</si>
  <si>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</si>
  <si>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</si>
  <si>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</si>
  <si>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</si>
  <si>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</si>
  <si>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</si>
  <si>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</si>
  <si>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</si>
  <si>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</si>
  <si>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</si>
  <si>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</si>
  <si>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</si>
  <si>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</si>
  <si>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</si>
  <si>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</si>
  <si>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</si>
  <si>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</si>
  <si>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</si>
  <si>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</si>
  <si>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</si>
  <si>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</si>
  <si>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</si>
  <si>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</si>
  <si>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</si>
  <si>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</si>
  <si>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</si>
  <si>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</si>
  <si>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</si>
  <si>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</si>
  <si>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</si>
  <si>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</si>
  <si>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</si>
  <si>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</si>
  <si>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</si>
  <si>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</si>
  <si>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</si>
  <si>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</si>
  <si>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</si>
  <si>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</si>
  <si>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</si>
  <si>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</si>
  <si>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</si>
  <si>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</si>
  <si>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</si>
  <si>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</si>
  <si>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</si>
  <si>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</si>
  <si>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</si>
  <si>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</si>
  <si>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</si>
  <si>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</si>
  <si>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</si>
  <si>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</si>
  <si>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</si>
  <si>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</si>
  <si>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</si>
  <si>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</si>
  <si>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</si>
  <si>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</si>
  <si>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</si>
  <si>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</si>
  <si>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</si>
  <si>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</si>
  <si>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</si>
  <si>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</si>
  <si>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</si>
  <si>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</si>
  <si>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</si>
  <si>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</si>
  <si>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</si>
  <si>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</si>
  <si>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</si>
  <si>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</si>
  <si>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</si>
  <si>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</si>
  <si>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</si>
  <si>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</si>
  <si>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</si>
  <si>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</si>
  <si>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</si>
  <si>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</si>
  <si>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</si>
  <si>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</si>
  <si>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</si>
  <si>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</si>
  <si>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</si>
  <si>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</si>
  <si>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</si>
  <si>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</si>
  <si>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</si>
  <si>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</si>
  <si>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</si>
  <si>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</si>
  <si>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</si>
  <si>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</si>
  <si>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</si>
  <si>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</si>
  <si>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</si>
  <si>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</si>
  <si>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</si>
  <si>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</si>
  <si>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</si>
  <si>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</si>
  <si>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</si>
  <si>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</si>
  <si>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</si>
  <si>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</si>
  <si>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</si>
  <si>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</si>
  <si>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</si>
  <si>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</si>
  <si>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</si>
  <si>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</si>
  <si>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</si>
  <si>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</si>
  <si>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</si>
  <si>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</si>
  <si>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</si>
  <si>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</si>
  <si>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</si>
  <si>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</si>
  <si>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</si>
  <si>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</si>
  <si>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</si>
  <si>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</si>
  <si>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</si>
  <si>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</si>
  <si>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</si>
  <si>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</si>
  <si>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</si>
  <si>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</si>
  <si>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</si>
  <si>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</si>
  <si>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</si>
  <si>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</si>
  <si>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</si>
  <si>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</si>
  <si>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</si>
  <si>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</si>
  <si>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</si>
  <si>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</si>
  <si>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</si>
  <si>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</si>
  <si>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</si>
  <si>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</si>
  <si>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</si>
  <si>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</si>
  <si>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</si>
  <si>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</si>
  <si>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</si>
  <si>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</si>
  <si>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</si>
  <si>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</si>
  <si>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</si>
  <si>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</si>
  <si>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</si>
  <si>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</si>
  <si>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</si>
  <si>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</si>
  <si>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</si>
  <si>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</si>
  <si>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</si>
  <si>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</si>
  <si>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</si>
  <si>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</si>
  <si>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</si>
  <si>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</si>
  <si>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</si>
  <si>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</si>
  <si>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</si>
  <si>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</si>
  <si>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</si>
  <si>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</si>
  <si>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</si>
  <si>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</si>
  <si>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</si>
  <si>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</si>
  <si>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</si>
  <si>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</si>
  <si>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</si>
  <si>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</si>
  <si>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</si>
  <si>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</si>
  <si>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</si>
  <si>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</si>
  <si>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</si>
  <si>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</si>
  <si>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</si>
  <si>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</si>
  <si>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</si>
  <si>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</si>
  <si>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</si>
  <si>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</si>
  <si>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</si>
  <si>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</si>
  <si>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</si>
  <si>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</si>
  <si>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</si>
  <si>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</si>
  <si>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</si>
  <si>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</si>
  <si>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</si>
  <si>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</si>
  <si>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</si>
  <si>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</si>
  <si>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</si>
  <si>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</si>
  <si>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</si>
  <si>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</si>
  <si>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</si>
  <si>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</si>
  <si>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</si>
  <si>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</si>
  <si>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</si>
  <si>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</si>
  <si>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</si>
  <si>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</si>
  <si>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</si>
  <si>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</si>
  <si>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</si>
  <si>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</si>
  <si>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</si>
  <si>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</si>
  <si>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</si>
  <si>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</si>
  <si>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</si>
  <si>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</si>
  <si>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</si>
  <si>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</si>
  <si>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</si>
  <si>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</si>
  <si>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</si>
  <si>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</si>
  <si>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</si>
  <si>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</si>
  <si>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</si>
  <si>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</si>
  <si>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</si>
  <si>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</si>
  <si>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</si>
  <si>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</si>
  <si>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</si>
  <si>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</si>
  <si>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</si>
  <si>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</si>
  <si>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</si>
  <si>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</si>
  <si>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</si>
  <si>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</si>
  <si>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</si>
  <si>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</si>
  <si>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</si>
  <si>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</si>
  <si>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</si>
  <si>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</si>
  <si>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</si>
  <si>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</si>
  <si>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</si>
  <si>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</si>
  <si>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</si>
  <si>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</si>
  <si>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</si>
  <si>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</si>
  <si>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</si>
  <si>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</si>
  <si>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</si>
  <si>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</si>
  <si>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</si>
  <si>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</si>
  <si>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</si>
  <si>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</si>
  <si>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</si>
  <si>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</si>
  <si>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</si>
  <si>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</si>
  <si>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</si>
  <si>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</si>
  <si>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</si>
  <si>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</si>
  <si>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</si>
  <si>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</si>
  <si>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</si>
  <si>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</si>
  <si>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</si>
  <si>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</si>
  <si>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</si>
  <si>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</si>
  <si>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</si>
  <si>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</si>
  <si>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</si>
  <si>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</si>
  <si>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</si>
  <si>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</si>
  <si>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</si>
  <si>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</si>
  <si>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</si>
  <si>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</si>
  <si>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</si>
  <si>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</si>
  <si>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</si>
  <si>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</si>
  <si>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</si>
  <si>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</si>
  <si>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</si>
  <si>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</si>
  <si>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</si>
  <si>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</si>
  <si>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</si>
  <si>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</si>
  <si>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</si>
  <si>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</si>
  <si>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</si>
  <si>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</si>
  <si>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</si>
  <si>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</si>
  <si>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</si>
  <si>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</si>
  <si>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</si>
  <si>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</si>
  <si>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</si>
  <si>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</si>
  <si>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</si>
  <si>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</si>
  <si>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</si>
  <si>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</si>
  <si>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</si>
  <si>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</si>
  <si>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</si>
  <si>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</si>
  <si>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</si>
  <si>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</si>
  <si>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</si>
  <si>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</si>
  <si>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</si>
  <si>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</si>
  <si>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</si>
  <si>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</si>
  <si>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</si>
  <si>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</si>
  <si>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</si>
  <si>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</si>
  <si>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</si>
  <si>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</si>
  <si>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</si>
  <si>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</si>
  <si>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</si>
  <si>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</si>
  <si>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</si>
  <si>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</si>
  <si>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</si>
  <si>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</si>
  <si>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</si>
  <si>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</si>
  <si>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</si>
  <si>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</si>
  <si>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</si>
  <si>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</si>
  <si>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</si>
  <si>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</si>
  <si>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</si>
  <si>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</si>
  <si>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</si>
  <si>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</si>
  <si>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</si>
  <si>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</si>
  <si>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</si>
  <si>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</si>
  <si>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</si>
  <si>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</si>
  <si>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</si>
  <si>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</si>
  <si>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</si>
  <si>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</si>
  <si>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</si>
  <si>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</si>
  <si>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</si>
  <si>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</si>
  <si>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</si>
  <si>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</si>
  <si>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</si>
  <si>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</si>
  <si>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</si>
  <si>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</si>
  <si>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</si>
  <si>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</si>
  <si>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</si>
  <si>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</si>
  <si>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</si>
  <si>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</si>
  <si>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</si>
  <si>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</si>
  <si>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</si>
  <si>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</si>
  <si>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</si>
  <si>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</si>
  <si>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</si>
  <si>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</si>
  <si>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</si>
  <si>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</si>
  <si>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</si>
  <si>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</si>
  <si>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</si>
  <si>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</si>
  <si>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</si>
  <si>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</si>
  <si>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</si>
  <si>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</si>
  <si>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</si>
  <si>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</si>
  <si>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</si>
  <si>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</si>
  <si>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</si>
  <si>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</si>
  <si>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</si>
  <si>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</si>
  <si>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</si>
  <si>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</si>
  <si>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</si>
  <si>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</si>
  <si>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</si>
  <si>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</si>
  <si>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</si>
  <si>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</si>
  <si>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</si>
  <si>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</si>
  <si>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</si>
  <si>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</si>
  <si>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</si>
  <si>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</si>
  <si>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</si>
  <si>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</si>
  <si>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</si>
  <si>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</si>
  <si>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</si>
  <si>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</si>
  <si>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</si>
  <si>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</si>
  <si>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</si>
  <si>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</si>
  <si>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</si>
  <si>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</si>
  <si>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</si>
  <si>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</si>
  <si>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</si>
  <si>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</si>
  <si>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</si>
  <si>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</si>
  <si>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</si>
  <si>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</si>
  <si>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</si>
  <si>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</si>
  <si>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</si>
  <si>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</si>
  <si>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</si>
  <si>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</si>
  <si>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</si>
  <si>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</si>
  <si>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</si>
  <si>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</si>
  <si>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</si>
  <si>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</si>
  <si>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</si>
  <si>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</si>
  <si>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</si>
  <si>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</si>
  <si>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</si>
  <si>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</si>
  <si>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</si>
  <si>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</si>
  <si>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</si>
  <si>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</si>
  <si>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</si>
  <si>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</si>
  <si>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</si>
  <si>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</si>
  <si>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</si>
  <si>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</si>
  <si>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</si>
  <si>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</si>
  <si>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</si>
  <si>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</si>
  <si>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</si>
  <si>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</si>
  <si>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</si>
  <si>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</si>
  <si>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</si>
  <si>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</si>
  <si>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</si>
  <si>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</si>
  <si>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</si>
  <si>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</si>
  <si>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</si>
  <si>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</si>
  <si>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</si>
  <si>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</si>
  <si>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</si>
  <si>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</si>
  <si>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</si>
  <si>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</si>
  <si>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</si>
  <si>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</si>
  <si>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</si>
  <si>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</si>
  <si>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</si>
  <si>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</si>
  <si>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</si>
  <si>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</si>
  <si>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</si>
  <si>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</si>
  <si>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</si>
  <si>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</si>
  <si>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</si>
  <si>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</si>
  <si>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</si>
  <si>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</si>
  <si>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</si>
  <si>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</si>
  <si>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</si>
  <si>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</si>
  <si>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</si>
  <si>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</si>
  <si>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</si>
  <si>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</si>
  <si>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</si>
  <si>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</si>
  <si>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</si>
  <si>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</si>
  <si>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</si>
  <si>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</si>
  <si>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</si>
  <si>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</si>
  <si>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</si>
  <si>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</si>
  <si>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</si>
  <si>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</si>
  <si>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</si>
  <si>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</si>
  <si>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</si>
  <si>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</si>
  <si>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71047</t>
  </si>
  <si>
    <t>OPGLABBEEK</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</si>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</sst>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8CC4FBA2-17D9-4621-926C-DB99F516D5E6}"/>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88833.981939704885</c:v>
                </c:pt>
                <c:pt idx="1">
                  <c:v>46447.878478265404</c:v>
                </c:pt>
                <c:pt idx="2">
                  <c:v>723.99800000000005</c:v>
                </c:pt>
                <c:pt idx="3">
                  <c:v>1554.2399354546751</c:v>
                </c:pt>
                <c:pt idx="4">
                  <c:v>30392.929101633854</c:v>
                </c:pt>
                <c:pt idx="5">
                  <c:v>50209.159099952289</c:v>
                </c:pt>
                <c:pt idx="6">
                  <c:v>1152.2854534408436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88833.981939704885</c:v>
                </c:pt>
                <c:pt idx="1">
                  <c:v>46447.878478265404</c:v>
                </c:pt>
                <c:pt idx="2">
                  <c:v>723.99800000000005</c:v>
                </c:pt>
                <c:pt idx="3">
                  <c:v>1554.2399354546751</c:v>
                </c:pt>
                <c:pt idx="4">
                  <c:v>30392.929101633854</c:v>
                </c:pt>
                <c:pt idx="5">
                  <c:v>50209.159099952289</c:v>
                </c:pt>
                <c:pt idx="6">
                  <c:v>1152.2854534408436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18249.432510483028</c:v>
                </c:pt>
                <c:pt idx="2">
                  <c:v>8825.1913095570035</c:v>
                </c:pt>
                <c:pt idx="3">
                  <c:v>121.10523933499384</c:v>
                </c:pt>
                <c:pt idx="4">
                  <c:v>388.54224625133401</c:v>
                </c:pt>
                <c:pt idx="5">
                  <c:v>5700.5327493470886</c:v>
                </c:pt>
                <c:pt idx="6">
                  <c:v>12554.256371958763</c:v>
                </c:pt>
                <c:pt idx="7">
                  <c:v>289.92952005248503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18249.432510483028</c:v>
                </c:pt>
                <c:pt idx="2">
                  <c:v>8825.1913095570035</c:v>
                </c:pt>
                <c:pt idx="3">
                  <c:v>121.10523933499384</c:v>
                </c:pt>
                <c:pt idx="4">
                  <c:v>388.54224625133401</c:v>
                </c:pt>
                <c:pt idx="5">
                  <c:v>5700.5327493470886</c:v>
                </c:pt>
                <c:pt idx="6">
                  <c:v>12554.256371958763</c:v>
                </c:pt>
                <c:pt idx="7">
                  <c:v>289.92952005248503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71047</v>
      </c>
      <c r="B6" s="382"/>
      <c r="C6" s="383"/>
    </row>
    <row r="7" spans="1:7" s="380" customFormat="1" ht="15.75" customHeight="1">
      <c r="A7" s="384" t="str">
        <f>txtMunicipality</f>
        <v>OPGLABBEEK</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19911.031336</v>
      </c>
      <c r="D10" s="971">
        <f ca="1">tertiair!C16</f>
        <v>0</v>
      </c>
      <c r="E10" s="971">
        <f ca="1">tertiair!D16</f>
        <v>22736.593056232003</v>
      </c>
      <c r="F10" s="971">
        <f>tertiair!E16</f>
        <v>455.54819041903079</v>
      </c>
      <c r="G10" s="971">
        <f ca="1">tertiair!F16</f>
        <v>3443.8733254436352</v>
      </c>
      <c r="H10" s="971">
        <f>tertiair!G16</f>
        <v>0</v>
      </c>
      <c r="I10" s="971">
        <f>tertiair!H16</f>
        <v>0</v>
      </c>
      <c r="J10" s="971">
        <f>tertiair!I16</f>
        <v>0</v>
      </c>
      <c r="K10" s="971">
        <f>tertiair!J16</f>
        <v>1.5079485079740836E-2</v>
      </c>
      <c r="L10" s="971">
        <f>tertiair!K16</f>
        <v>0</v>
      </c>
      <c r="M10" s="971">
        <f ca="1">tertiair!L16</f>
        <v>0</v>
      </c>
      <c r="N10" s="971">
        <f>tertiair!M16</f>
        <v>0</v>
      </c>
      <c r="O10" s="971">
        <f ca="1">tertiair!N16</f>
        <v>620.1254906856451</v>
      </c>
      <c r="P10" s="971">
        <f>tertiair!O16</f>
        <v>4.6900000000000004</v>
      </c>
      <c r="Q10" s="972">
        <f>tertiair!P16</f>
        <v>0</v>
      </c>
      <c r="R10" s="666">
        <f ca="1">SUM(C10:Q10)</f>
        <v>47171.876478265396</v>
      </c>
      <c r="S10" s="67"/>
    </row>
    <row r="11" spans="1:19" s="439" customFormat="1">
      <c r="A11" s="775" t="s">
        <v>213</v>
      </c>
      <c r="B11" s="780"/>
      <c r="C11" s="971">
        <f>huishoudens!B8</f>
        <v>17904.240829787039</v>
      </c>
      <c r="D11" s="971">
        <f>huishoudens!C8</f>
        <v>0</v>
      </c>
      <c r="E11" s="971">
        <f>huishoudens!D8</f>
        <v>27019.534936020002</v>
      </c>
      <c r="F11" s="971">
        <f>huishoudens!E8</f>
        <v>1392.6019229268595</v>
      </c>
      <c r="G11" s="971">
        <f>huishoudens!F8</f>
        <v>35282.290362348518</v>
      </c>
      <c r="H11" s="971">
        <f>huishoudens!G8</f>
        <v>0</v>
      </c>
      <c r="I11" s="971">
        <f>huishoudens!H8</f>
        <v>0</v>
      </c>
      <c r="J11" s="971">
        <f>huishoudens!I8</f>
        <v>0</v>
      </c>
      <c r="K11" s="971">
        <f>huishoudens!J8</f>
        <v>169.77442286103565</v>
      </c>
      <c r="L11" s="971">
        <f>huishoudens!K8</f>
        <v>0</v>
      </c>
      <c r="M11" s="971">
        <f>huishoudens!L8</f>
        <v>0</v>
      </c>
      <c r="N11" s="971">
        <f>huishoudens!M8</f>
        <v>0</v>
      </c>
      <c r="O11" s="971">
        <f>huishoudens!N8</f>
        <v>6254.656132428112</v>
      </c>
      <c r="P11" s="971">
        <f>huishoudens!O8</f>
        <v>257.95</v>
      </c>
      <c r="Q11" s="972">
        <f>huishoudens!P8</f>
        <v>552.93333333333339</v>
      </c>
      <c r="R11" s="666">
        <f>SUM(C11:Q11)</f>
        <v>88833.981939704885</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12728.914516000001</v>
      </c>
      <c r="D13" s="971">
        <f>industrie!C18</f>
        <v>0</v>
      </c>
      <c r="E13" s="971">
        <f>industrie!D18</f>
        <v>10209.412442041999</v>
      </c>
      <c r="F13" s="971">
        <f>industrie!E18</f>
        <v>1049.7086101639063</v>
      </c>
      <c r="G13" s="971">
        <f>industrie!F18</f>
        <v>4743.2215657420875</v>
      </c>
      <c r="H13" s="971">
        <f>industrie!G18</f>
        <v>0</v>
      </c>
      <c r="I13" s="971">
        <f>industrie!H18</f>
        <v>0</v>
      </c>
      <c r="J13" s="971">
        <f>industrie!I18</f>
        <v>0</v>
      </c>
      <c r="K13" s="971">
        <f>industrie!J18</f>
        <v>12.161240402889787</v>
      </c>
      <c r="L13" s="971">
        <f>industrie!K18</f>
        <v>0</v>
      </c>
      <c r="M13" s="971">
        <f>industrie!L18</f>
        <v>0</v>
      </c>
      <c r="N13" s="971">
        <f>industrie!M18</f>
        <v>0</v>
      </c>
      <c r="O13" s="971">
        <f>industrie!N18</f>
        <v>1649.510727282968</v>
      </c>
      <c r="P13" s="971">
        <f>industrie!O18</f>
        <v>0</v>
      </c>
      <c r="Q13" s="972">
        <f>industrie!P18</f>
        <v>0</v>
      </c>
      <c r="R13" s="666">
        <f>SUM(C13:Q13)</f>
        <v>30392.929101633854</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50544.186681787047</v>
      </c>
      <c r="D16" s="698">
        <f t="shared" ref="D16:R16" ca="1" si="0">SUM(D9:D15)</f>
        <v>0</v>
      </c>
      <c r="E16" s="698">
        <f t="shared" ca="1" si="0"/>
        <v>59965.540434294002</v>
      </c>
      <c r="F16" s="698">
        <f t="shared" si="0"/>
        <v>2897.8587235097966</v>
      </c>
      <c r="G16" s="698">
        <f t="shared" ca="1" si="0"/>
        <v>43469.385253534245</v>
      </c>
      <c r="H16" s="698">
        <f t="shared" si="0"/>
        <v>0</v>
      </c>
      <c r="I16" s="698">
        <f t="shared" si="0"/>
        <v>0</v>
      </c>
      <c r="J16" s="698">
        <f t="shared" si="0"/>
        <v>0</v>
      </c>
      <c r="K16" s="698">
        <f t="shared" si="0"/>
        <v>181.95074274900517</v>
      </c>
      <c r="L16" s="698">
        <f t="shared" si="0"/>
        <v>0</v>
      </c>
      <c r="M16" s="698">
        <f t="shared" ca="1" si="0"/>
        <v>0</v>
      </c>
      <c r="N16" s="698">
        <f t="shared" si="0"/>
        <v>0</v>
      </c>
      <c r="O16" s="698">
        <f t="shared" ca="1" si="0"/>
        <v>8524.2923503967249</v>
      </c>
      <c r="P16" s="698">
        <f t="shared" si="0"/>
        <v>262.64</v>
      </c>
      <c r="Q16" s="698">
        <f t="shared" si="0"/>
        <v>552.93333333333339</v>
      </c>
      <c r="R16" s="698">
        <f t="shared" ca="1" si="0"/>
        <v>166398.78751960414</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11.48268798677543</v>
      </c>
      <c r="D19" s="971">
        <f>transport!C54</f>
        <v>0</v>
      </c>
      <c r="E19" s="971">
        <f>transport!D54</f>
        <v>0</v>
      </c>
      <c r="F19" s="971">
        <f>transport!E54</f>
        <v>0</v>
      </c>
      <c r="G19" s="971">
        <f>transport!F54</f>
        <v>0</v>
      </c>
      <c r="H19" s="971">
        <f>transport!G54</f>
        <v>1078.6845603889483</v>
      </c>
      <c r="I19" s="971">
        <f>transport!H54</f>
        <v>0</v>
      </c>
      <c r="J19" s="971">
        <f>transport!I54</f>
        <v>0</v>
      </c>
      <c r="K19" s="971">
        <f>transport!J54</f>
        <v>0</v>
      </c>
      <c r="L19" s="971">
        <f>transport!K54</f>
        <v>0</v>
      </c>
      <c r="M19" s="971">
        <f>transport!L54</f>
        <v>0</v>
      </c>
      <c r="N19" s="971">
        <f>transport!M54</f>
        <v>62.118205065119987</v>
      </c>
      <c r="O19" s="971">
        <f>transport!N54</f>
        <v>0</v>
      </c>
      <c r="P19" s="971">
        <f>transport!O54</f>
        <v>0</v>
      </c>
      <c r="Q19" s="972">
        <f>transport!P54</f>
        <v>0</v>
      </c>
      <c r="R19" s="666">
        <f>SUM(C19:Q19)</f>
        <v>1152.2854534408436</v>
      </c>
      <c r="S19" s="67"/>
    </row>
    <row r="20" spans="1:19" s="439" customFormat="1">
      <c r="A20" s="775" t="s">
        <v>295</v>
      </c>
      <c r="B20" s="780"/>
      <c r="C20" s="971">
        <f>transport!B14</f>
        <v>31.6430595319768</v>
      </c>
      <c r="D20" s="971">
        <f>transport!C14</f>
        <v>0</v>
      </c>
      <c r="E20" s="971">
        <f>transport!D14</f>
        <v>60.499019087066912</v>
      </c>
      <c r="F20" s="971">
        <f>transport!E14</f>
        <v>103.83389070803074</v>
      </c>
      <c r="G20" s="971">
        <f>transport!F14</f>
        <v>0</v>
      </c>
      <c r="H20" s="971">
        <f>transport!G14</f>
        <v>37858.747817864198</v>
      </c>
      <c r="I20" s="971">
        <f>transport!H14</f>
        <v>9658.1790500397128</v>
      </c>
      <c r="J20" s="971">
        <f>transport!I14</f>
        <v>0</v>
      </c>
      <c r="K20" s="971">
        <f>transport!J14</f>
        <v>0</v>
      </c>
      <c r="L20" s="971">
        <f>transport!K14</f>
        <v>0</v>
      </c>
      <c r="M20" s="971">
        <f>transport!L14</f>
        <v>0</v>
      </c>
      <c r="N20" s="971">
        <f>transport!M14</f>
        <v>2496.2562627213038</v>
      </c>
      <c r="O20" s="971">
        <f>transport!N14</f>
        <v>0</v>
      </c>
      <c r="P20" s="971">
        <f>transport!O14</f>
        <v>0</v>
      </c>
      <c r="Q20" s="972">
        <f>transport!P14</f>
        <v>0</v>
      </c>
      <c r="R20" s="666">
        <f>SUM(C20:Q20)</f>
        <v>50209.159099952289</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43.125747518752227</v>
      </c>
      <c r="D22" s="778">
        <f t="shared" ref="D22:R22" si="1">SUM(D18:D21)</f>
        <v>0</v>
      </c>
      <c r="E22" s="778">
        <f t="shared" si="1"/>
        <v>60.499019087066912</v>
      </c>
      <c r="F22" s="778">
        <f t="shared" si="1"/>
        <v>103.83389070803074</v>
      </c>
      <c r="G22" s="778">
        <f t="shared" si="1"/>
        <v>0</v>
      </c>
      <c r="H22" s="778">
        <f t="shared" si="1"/>
        <v>38937.432378253143</v>
      </c>
      <c r="I22" s="778">
        <f t="shared" si="1"/>
        <v>9658.1790500397128</v>
      </c>
      <c r="J22" s="778">
        <f t="shared" si="1"/>
        <v>0</v>
      </c>
      <c r="K22" s="778">
        <f t="shared" si="1"/>
        <v>0</v>
      </c>
      <c r="L22" s="778">
        <f t="shared" si="1"/>
        <v>0</v>
      </c>
      <c r="M22" s="778">
        <f t="shared" si="1"/>
        <v>0</v>
      </c>
      <c r="N22" s="778">
        <f t="shared" si="1"/>
        <v>2558.3744677864238</v>
      </c>
      <c r="O22" s="778">
        <f t="shared" si="1"/>
        <v>0</v>
      </c>
      <c r="P22" s="778">
        <f t="shared" si="1"/>
        <v>0</v>
      </c>
      <c r="Q22" s="778">
        <f t="shared" si="1"/>
        <v>0</v>
      </c>
      <c r="R22" s="778">
        <f t="shared" si="1"/>
        <v>51361.444553393136</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288.18099999999998</v>
      </c>
      <c r="D24" s="971">
        <f>+landbouw!C8</f>
        <v>0</v>
      </c>
      <c r="E24" s="971">
        <f>+landbouw!D8</f>
        <v>15.290704000000002</v>
      </c>
      <c r="F24" s="971">
        <f>+landbouw!E8</f>
        <v>8.4705197963687393</v>
      </c>
      <c r="G24" s="971">
        <f>+landbouw!F8</f>
        <v>1200.5464735161233</v>
      </c>
      <c r="H24" s="971">
        <f>+landbouw!G8</f>
        <v>0</v>
      </c>
      <c r="I24" s="971">
        <f>+landbouw!H8</f>
        <v>0</v>
      </c>
      <c r="J24" s="971">
        <f>+landbouw!I8</f>
        <v>0</v>
      </c>
      <c r="K24" s="971">
        <f>+landbouw!J8</f>
        <v>41.751238142182984</v>
      </c>
      <c r="L24" s="971">
        <f>+landbouw!K8</f>
        <v>0</v>
      </c>
      <c r="M24" s="971">
        <f>+landbouw!L8</f>
        <v>0</v>
      </c>
      <c r="N24" s="971">
        <f>+landbouw!M8</f>
        <v>0</v>
      </c>
      <c r="O24" s="971">
        <f>+landbouw!N8</f>
        <v>0</v>
      </c>
      <c r="P24" s="971">
        <f>+landbouw!O8</f>
        <v>0</v>
      </c>
      <c r="Q24" s="972">
        <f>+landbouw!P8</f>
        <v>0</v>
      </c>
      <c r="R24" s="666">
        <f>SUM(C24:Q24)</f>
        <v>1554.2399354546751</v>
      </c>
      <c r="S24" s="67"/>
    </row>
    <row r="25" spans="1:19" s="439" customFormat="1" ht="15" thickBot="1">
      <c r="A25" s="797" t="s">
        <v>802</v>
      </c>
      <c r="B25" s="974"/>
      <c r="C25" s="975">
        <f>IF(Onbekend_ele_kWh="---",0,Onbekend_ele_kWh)/1000+IF(REST_rest_ele_kWh="---",0,REST_rest_ele_kWh)/1000</f>
        <v>408.44225</v>
      </c>
      <c r="D25" s="975"/>
      <c r="E25" s="975">
        <f>IF(onbekend_gas_kWh="---",0,onbekend_gas_kWh)/1000+IF(REST_rest_gas_kWh="---",0,REST_rest_gas_kWh)/1000</f>
        <v>1022.6346</v>
      </c>
      <c r="F25" s="975"/>
      <c r="G25" s="975"/>
      <c r="H25" s="975"/>
      <c r="I25" s="975"/>
      <c r="J25" s="975"/>
      <c r="K25" s="975"/>
      <c r="L25" s="975"/>
      <c r="M25" s="975"/>
      <c r="N25" s="975"/>
      <c r="O25" s="975"/>
      <c r="P25" s="975"/>
      <c r="Q25" s="976"/>
      <c r="R25" s="666">
        <f>SUM(C25:Q25)</f>
        <v>1431.0768499999999</v>
      </c>
      <c r="S25" s="67"/>
    </row>
    <row r="26" spans="1:19" s="439" customFormat="1" ht="15.75" thickBot="1">
      <c r="A26" s="671" t="s">
        <v>803</v>
      </c>
      <c r="B26" s="783"/>
      <c r="C26" s="778">
        <f>SUM(C24:C25)</f>
        <v>696.62324999999998</v>
      </c>
      <c r="D26" s="778">
        <f t="shared" ref="D26:R26" si="2">SUM(D24:D25)</f>
        <v>0</v>
      </c>
      <c r="E26" s="778">
        <f t="shared" si="2"/>
        <v>1037.9253039999999</v>
      </c>
      <c r="F26" s="778">
        <f t="shared" si="2"/>
        <v>8.4705197963687393</v>
      </c>
      <c r="G26" s="778">
        <f t="shared" si="2"/>
        <v>1200.5464735161233</v>
      </c>
      <c r="H26" s="778">
        <f t="shared" si="2"/>
        <v>0</v>
      </c>
      <c r="I26" s="778">
        <f t="shared" si="2"/>
        <v>0</v>
      </c>
      <c r="J26" s="778">
        <f t="shared" si="2"/>
        <v>0</v>
      </c>
      <c r="K26" s="778">
        <f t="shared" si="2"/>
        <v>41.751238142182984</v>
      </c>
      <c r="L26" s="778">
        <f t="shared" si="2"/>
        <v>0</v>
      </c>
      <c r="M26" s="778">
        <f t="shared" si="2"/>
        <v>0</v>
      </c>
      <c r="N26" s="778">
        <f t="shared" si="2"/>
        <v>0</v>
      </c>
      <c r="O26" s="778">
        <f t="shared" si="2"/>
        <v>0</v>
      </c>
      <c r="P26" s="778">
        <f t="shared" si="2"/>
        <v>0</v>
      </c>
      <c r="Q26" s="778">
        <f t="shared" si="2"/>
        <v>0</v>
      </c>
      <c r="R26" s="778">
        <f t="shared" si="2"/>
        <v>2985.316785454675</v>
      </c>
      <c r="S26" s="67"/>
    </row>
    <row r="27" spans="1:19" s="439" customFormat="1" ht="17.25" thickTop="1" thickBot="1">
      <c r="A27" s="672" t="s">
        <v>109</v>
      </c>
      <c r="B27" s="771"/>
      <c r="C27" s="673">
        <f ca="1">C22+C16+C26</f>
        <v>51283.935679305796</v>
      </c>
      <c r="D27" s="673">
        <f t="shared" ref="D27:R27" ca="1" si="3">D22+D16+D26</f>
        <v>0</v>
      </c>
      <c r="E27" s="673">
        <f t="shared" ca="1" si="3"/>
        <v>61063.964757381065</v>
      </c>
      <c r="F27" s="673">
        <f t="shared" si="3"/>
        <v>3010.1631340141957</v>
      </c>
      <c r="G27" s="673">
        <f t="shared" ca="1" si="3"/>
        <v>44669.931727050367</v>
      </c>
      <c r="H27" s="673">
        <f t="shared" si="3"/>
        <v>38937.432378253143</v>
      </c>
      <c r="I27" s="673">
        <f t="shared" si="3"/>
        <v>9658.1790500397128</v>
      </c>
      <c r="J27" s="673">
        <f t="shared" si="3"/>
        <v>0</v>
      </c>
      <c r="K27" s="673">
        <f t="shared" si="3"/>
        <v>223.70198089118816</v>
      </c>
      <c r="L27" s="673">
        <f t="shared" si="3"/>
        <v>0</v>
      </c>
      <c r="M27" s="673">
        <f t="shared" ca="1" si="3"/>
        <v>0</v>
      </c>
      <c r="N27" s="673">
        <f t="shared" si="3"/>
        <v>2558.3744677864238</v>
      </c>
      <c r="O27" s="673">
        <f t="shared" ca="1" si="3"/>
        <v>8524.2923503967249</v>
      </c>
      <c r="P27" s="673">
        <f t="shared" si="3"/>
        <v>262.64</v>
      </c>
      <c r="Q27" s="673">
        <f t="shared" si="3"/>
        <v>552.93333333333339</v>
      </c>
      <c r="R27" s="673">
        <f t="shared" ca="1" si="3"/>
        <v>220745.54885845195</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3330.5757962768434</v>
      </c>
      <c r="D40" s="971">
        <f ca="1">tertiair!C20</f>
        <v>0</v>
      </c>
      <c r="E40" s="971">
        <f ca="1">tertiair!D20</f>
        <v>4592.7917973588646</v>
      </c>
      <c r="F40" s="971">
        <f>tertiair!E20</f>
        <v>103.40943922512</v>
      </c>
      <c r="G40" s="971">
        <f ca="1">tertiair!F20</f>
        <v>919.51417789345066</v>
      </c>
      <c r="H40" s="971">
        <f>tertiair!G20</f>
        <v>0</v>
      </c>
      <c r="I40" s="971">
        <f>tertiair!H20</f>
        <v>0</v>
      </c>
      <c r="J40" s="971">
        <f>tertiair!I20</f>
        <v>0</v>
      </c>
      <c r="K40" s="971">
        <f>tertiair!J20</f>
        <v>5.3381377182282553E-3</v>
      </c>
      <c r="L40" s="971">
        <f>tertiair!K20</f>
        <v>0</v>
      </c>
      <c r="M40" s="971">
        <f ca="1">tertiair!L20</f>
        <v>0</v>
      </c>
      <c r="N40" s="971">
        <f>tertiair!M20</f>
        <v>0</v>
      </c>
      <c r="O40" s="971">
        <f ca="1">tertiair!N20</f>
        <v>0</v>
      </c>
      <c r="P40" s="971">
        <f>tertiair!O20</f>
        <v>0</v>
      </c>
      <c r="Q40" s="740">
        <f>tertiair!P20</f>
        <v>0</v>
      </c>
      <c r="R40" s="816">
        <f t="shared" ca="1" si="4"/>
        <v>8946.2965488919981</v>
      </c>
    </row>
    <row r="41" spans="1:18">
      <c r="A41" s="788" t="s">
        <v>213</v>
      </c>
      <c r="B41" s="795"/>
      <c r="C41" s="971">
        <f ca="1">huishoudens!B12</f>
        <v>2994.8941444627308</v>
      </c>
      <c r="D41" s="971">
        <f ca="1">huishoudens!C12</f>
        <v>0</v>
      </c>
      <c r="E41" s="971">
        <f>huishoudens!D12</f>
        <v>5457.9460570760402</v>
      </c>
      <c r="F41" s="971">
        <f>huishoudens!E12</f>
        <v>316.12063650439711</v>
      </c>
      <c r="G41" s="971">
        <f>huishoudens!F12</f>
        <v>9420.3715267470543</v>
      </c>
      <c r="H41" s="971">
        <f>huishoudens!G12</f>
        <v>0</v>
      </c>
      <c r="I41" s="971">
        <f>huishoudens!H12</f>
        <v>0</v>
      </c>
      <c r="J41" s="971">
        <f>huishoudens!I12</f>
        <v>0</v>
      </c>
      <c r="K41" s="971">
        <f>huishoudens!J12</f>
        <v>60.100145692806613</v>
      </c>
      <c r="L41" s="971">
        <f>huishoudens!K12</f>
        <v>0</v>
      </c>
      <c r="M41" s="971">
        <f>huishoudens!L12</f>
        <v>0</v>
      </c>
      <c r="N41" s="971">
        <f>huishoudens!M12</f>
        <v>0</v>
      </c>
      <c r="O41" s="971">
        <f>huishoudens!N12</f>
        <v>0</v>
      </c>
      <c r="P41" s="971">
        <f>huishoudens!O12</f>
        <v>0</v>
      </c>
      <c r="Q41" s="740">
        <f>huishoudens!P12</f>
        <v>0</v>
      </c>
      <c r="R41" s="816">
        <f t="shared" ca="1" si="4"/>
        <v>18249.432510483028</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2129.2023443916382</v>
      </c>
      <c r="D43" s="971">
        <f ca="1">industrie!C22</f>
        <v>0</v>
      </c>
      <c r="E43" s="971">
        <f>industrie!D22</f>
        <v>2062.3013132924839</v>
      </c>
      <c r="F43" s="971">
        <f>industrie!E22</f>
        <v>238.28385450720674</v>
      </c>
      <c r="G43" s="971">
        <f>industrie!F22</f>
        <v>1266.4401580531373</v>
      </c>
      <c r="H43" s="971">
        <f>industrie!G22</f>
        <v>0</v>
      </c>
      <c r="I43" s="971">
        <f>industrie!H22</f>
        <v>0</v>
      </c>
      <c r="J43" s="971">
        <f>industrie!I22</f>
        <v>0</v>
      </c>
      <c r="K43" s="971">
        <f>industrie!J22</f>
        <v>4.305079102622984</v>
      </c>
      <c r="L43" s="971">
        <f>industrie!K22</f>
        <v>0</v>
      </c>
      <c r="M43" s="971">
        <f>industrie!L22</f>
        <v>0</v>
      </c>
      <c r="N43" s="971">
        <f>industrie!M22</f>
        <v>0</v>
      </c>
      <c r="O43" s="971">
        <f>industrie!N22</f>
        <v>0</v>
      </c>
      <c r="P43" s="971">
        <f>industrie!O22</f>
        <v>0</v>
      </c>
      <c r="Q43" s="740">
        <f>industrie!P22</f>
        <v>0</v>
      </c>
      <c r="R43" s="815">
        <f t="shared" ca="1" si="4"/>
        <v>5700.5327493470886</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8454.6722851312134</v>
      </c>
      <c r="D46" s="698">
        <f t="shared" ref="D46:Q46" ca="1" si="5">SUM(D39:D45)</f>
        <v>0</v>
      </c>
      <c r="E46" s="698">
        <f t="shared" ca="1" si="5"/>
        <v>12113.039167727389</v>
      </c>
      <c r="F46" s="698">
        <f t="shared" si="5"/>
        <v>657.81393023672376</v>
      </c>
      <c r="G46" s="698">
        <f t="shared" ca="1" si="5"/>
        <v>11606.325862693642</v>
      </c>
      <c r="H46" s="698">
        <f t="shared" si="5"/>
        <v>0</v>
      </c>
      <c r="I46" s="698">
        <f t="shared" si="5"/>
        <v>0</v>
      </c>
      <c r="J46" s="698">
        <f t="shared" si="5"/>
        <v>0</v>
      </c>
      <c r="K46" s="698">
        <f t="shared" si="5"/>
        <v>64.41056293314783</v>
      </c>
      <c r="L46" s="698">
        <f t="shared" si="5"/>
        <v>0</v>
      </c>
      <c r="M46" s="698">
        <f t="shared" ca="1" si="5"/>
        <v>0</v>
      </c>
      <c r="N46" s="698">
        <f t="shared" si="5"/>
        <v>0</v>
      </c>
      <c r="O46" s="698">
        <f t="shared" ca="1" si="5"/>
        <v>0</v>
      </c>
      <c r="P46" s="698">
        <f t="shared" si="5"/>
        <v>0</v>
      </c>
      <c r="Q46" s="698">
        <f t="shared" si="5"/>
        <v>0</v>
      </c>
      <c r="R46" s="698">
        <f ca="1">SUM(R39:R45)</f>
        <v>32896.261808722113</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1.9207424286358483</v>
      </c>
      <c r="D49" s="971">
        <f ca="1">transport!C58</f>
        <v>0</v>
      </c>
      <c r="E49" s="971">
        <f>transport!D58</f>
        <v>0</v>
      </c>
      <c r="F49" s="971">
        <f>transport!E58</f>
        <v>0</v>
      </c>
      <c r="G49" s="971">
        <f>transport!F58</f>
        <v>0</v>
      </c>
      <c r="H49" s="971">
        <f>transport!G58</f>
        <v>288.0087776238492</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289.92952005248503</v>
      </c>
    </row>
    <row r="50" spans="1:18">
      <c r="A50" s="791" t="s">
        <v>295</v>
      </c>
      <c r="B50" s="801"/>
      <c r="C50" s="669">
        <f ca="1">transport!B18</f>
        <v>5.2930260828227542</v>
      </c>
      <c r="D50" s="669">
        <f>transport!C18</f>
        <v>0</v>
      </c>
      <c r="E50" s="669">
        <f>transport!D18</f>
        <v>12.220801855587517</v>
      </c>
      <c r="F50" s="669">
        <f>transport!E18</f>
        <v>23.570293190722978</v>
      </c>
      <c r="G50" s="669">
        <f>transport!F18</f>
        <v>0</v>
      </c>
      <c r="H50" s="669">
        <f>transport!G18</f>
        <v>10108.285667369741</v>
      </c>
      <c r="I50" s="669">
        <f>transport!H18</f>
        <v>2404.8865834598887</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12554.256371958763</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7.2137685114586025</v>
      </c>
      <c r="D52" s="698">
        <f t="shared" ref="D52:Q52" ca="1" si="6">SUM(D48:D51)</f>
        <v>0</v>
      </c>
      <c r="E52" s="698">
        <f t="shared" si="6"/>
        <v>12.220801855587517</v>
      </c>
      <c r="F52" s="698">
        <f t="shared" si="6"/>
        <v>23.570293190722978</v>
      </c>
      <c r="G52" s="698">
        <f t="shared" si="6"/>
        <v>0</v>
      </c>
      <c r="H52" s="698">
        <f t="shared" si="6"/>
        <v>10396.294444993589</v>
      </c>
      <c r="I52" s="698">
        <f t="shared" si="6"/>
        <v>2404.8865834598887</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12844.185892011248</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48.20486931842057</v>
      </c>
      <c r="D54" s="669">
        <f ca="1">+landbouw!C12</f>
        <v>0</v>
      </c>
      <c r="E54" s="669">
        <f>+landbouw!D12</f>
        <v>3.0887222080000005</v>
      </c>
      <c r="F54" s="669">
        <f>+landbouw!E12</f>
        <v>1.9228079937757039</v>
      </c>
      <c r="G54" s="669">
        <f>+landbouw!F12</f>
        <v>320.54590842880498</v>
      </c>
      <c r="H54" s="669">
        <f>+landbouw!G12</f>
        <v>0</v>
      </c>
      <c r="I54" s="669">
        <f>+landbouw!H12</f>
        <v>0</v>
      </c>
      <c r="J54" s="669">
        <f>+landbouw!I12</f>
        <v>0</v>
      </c>
      <c r="K54" s="669">
        <f>+landbouw!J12</f>
        <v>14.779938302332775</v>
      </c>
      <c r="L54" s="669">
        <f>+landbouw!K12</f>
        <v>0</v>
      </c>
      <c r="M54" s="669">
        <f>+landbouw!L12</f>
        <v>0</v>
      </c>
      <c r="N54" s="669">
        <f>+landbouw!M12</f>
        <v>0</v>
      </c>
      <c r="O54" s="669">
        <f>+landbouw!N12</f>
        <v>0</v>
      </c>
      <c r="P54" s="669">
        <f>+landbouw!O12</f>
        <v>0</v>
      </c>
      <c r="Q54" s="670">
        <f>+landbouw!P12</f>
        <v>0</v>
      </c>
      <c r="R54" s="697">
        <f ca="1">SUM(C54:Q54)</f>
        <v>388.54224625133401</v>
      </c>
    </row>
    <row r="55" spans="1:18" ht="15" thickBot="1">
      <c r="A55" s="791" t="s">
        <v>802</v>
      </c>
      <c r="B55" s="801"/>
      <c r="C55" s="669">
        <f ca="1">C25*'EF ele_warmte'!B12</f>
        <v>68.321316413544494</v>
      </c>
      <c r="D55" s="669"/>
      <c r="E55" s="669">
        <f>E25*EF_CO2_aardgas</f>
        <v>206.5721892</v>
      </c>
      <c r="F55" s="669"/>
      <c r="G55" s="669"/>
      <c r="H55" s="669"/>
      <c r="I55" s="669"/>
      <c r="J55" s="669"/>
      <c r="K55" s="669"/>
      <c r="L55" s="669"/>
      <c r="M55" s="669"/>
      <c r="N55" s="669"/>
      <c r="O55" s="669"/>
      <c r="P55" s="669"/>
      <c r="Q55" s="670"/>
      <c r="R55" s="697">
        <f ca="1">SUM(C55:Q55)</f>
        <v>274.89350561354451</v>
      </c>
    </row>
    <row r="56" spans="1:18" ht="15.75" thickBot="1">
      <c r="A56" s="789" t="s">
        <v>803</v>
      </c>
      <c r="B56" s="802"/>
      <c r="C56" s="698">
        <f ca="1">SUM(C54:C55)</f>
        <v>116.52618573196506</v>
      </c>
      <c r="D56" s="698">
        <f t="shared" ref="D56:Q56" ca="1" si="7">SUM(D54:D55)</f>
        <v>0</v>
      </c>
      <c r="E56" s="698">
        <f t="shared" si="7"/>
        <v>209.660911408</v>
      </c>
      <c r="F56" s="698">
        <f t="shared" si="7"/>
        <v>1.9228079937757039</v>
      </c>
      <c r="G56" s="698">
        <f t="shared" si="7"/>
        <v>320.54590842880498</v>
      </c>
      <c r="H56" s="698">
        <f t="shared" si="7"/>
        <v>0</v>
      </c>
      <c r="I56" s="698">
        <f t="shared" si="7"/>
        <v>0</v>
      </c>
      <c r="J56" s="698">
        <f t="shared" si="7"/>
        <v>0</v>
      </c>
      <c r="K56" s="698">
        <f t="shared" si="7"/>
        <v>14.779938302332775</v>
      </c>
      <c r="L56" s="698">
        <f t="shared" si="7"/>
        <v>0</v>
      </c>
      <c r="M56" s="698">
        <f t="shared" si="7"/>
        <v>0</v>
      </c>
      <c r="N56" s="698">
        <f t="shared" si="7"/>
        <v>0</v>
      </c>
      <c r="O56" s="698">
        <f t="shared" si="7"/>
        <v>0</v>
      </c>
      <c r="P56" s="698">
        <f t="shared" si="7"/>
        <v>0</v>
      </c>
      <c r="Q56" s="699">
        <f t="shared" si="7"/>
        <v>0</v>
      </c>
      <c r="R56" s="700">
        <f ca="1">SUM(R54:R55)</f>
        <v>663.43575186487851</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8578.4122393746384</v>
      </c>
      <c r="D61" s="706">
        <f t="shared" ref="D61:Q61" ca="1" si="8">D46+D52+D56</f>
        <v>0</v>
      </c>
      <c r="E61" s="706">
        <f t="shared" ca="1" si="8"/>
        <v>12334.920880990976</v>
      </c>
      <c r="F61" s="706">
        <f t="shared" si="8"/>
        <v>683.3070314212224</v>
      </c>
      <c r="G61" s="706">
        <f t="shared" ca="1" si="8"/>
        <v>11926.871771122447</v>
      </c>
      <c r="H61" s="706">
        <f t="shared" si="8"/>
        <v>10396.294444993589</v>
      </c>
      <c r="I61" s="706">
        <f t="shared" si="8"/>
        <v>2404.8865834598887</v>
      </c>
      <c r="J61" s="706">
        <f t="shared" si="8"/>
        <v>0</v>
      </c>
      <c r="K61" s="706">
        <f t="shared" si="8"/>
        <v>79.19050123548061</v>
      </c>
      <c r="L61" s="706">
        <f t="shared" si="8"/>
        <v>0</v>
      </c>
      <c r="M61" s="706">
        <f t="shared" ca="1" si="8"/>
        <v>0</v>
      </c>
      <c r="N61" s="706">
        <f t="shared" si="8"/>
        <v>0</v>
      </c>
      <c r="O61" s="706">
        <f t="shared" ca="1" si="8"/>
        <v>0</v>
      </c>
      <c r="P61" s="706">
        <f t="shared" si="8"/>
        <v>0</v>
      </c>
      <c r="Q61" s="706">
        <f t="shared" si="8"/>
        <v>0</v>
      </c>
      <c r="R61" s="706">
        <f ca="1">R46+R52+R56</f>
        <v>46403.883452598238</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0.16727289210052218</v>
      </c>
      <c r="D63" s="747">
        <f t="shared" ca="1" si="9"/>
        <v>0</v>
      </c>
      <c r="E63" s="982">
        <f t="shared" ca="1" si="9"/>
        <v>0.20200000000000001</v>
      </c>
      <c r="F63" s="747">
        <f t="shared" si="9"/>
        <v>0.22699999999999998</v>
      </c>
      <c r="G63" s="747">
        <f t="shared" ca="1" si="9"/>
        <v>0.26699999999999996</v>
      </c>
      <c r="H63" s="747">
        <f t="shared" si="9"/>
        <v>0.26700000000000002</v>
      </c>
      <c r="I63" s="747">
        <f t="shared" si="9"/>
        <v>0.24900000000000003</v>
      </c>
      <c r="J63" s="747">
        <f t="shared" si="9"/>
        <v>0</v>
      </c>
      <c r="K63" s="747">
        <f t="shared" si="9"/>
        <v>0.35400000000000004</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12467.590704759932</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12467.590704759932</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17904.240829787039</v>
      </c>
      <c r="C4" s="443">
        <f>huishoudens!C8</f>
        <v>0</v>
      </c>
      <c r="D4" s="443">
        <f>huishoudens!D8</f>
        <v>27019.534936020002</v>
      </c>
      <c r="E4" s="443">
        <f>huishoudens!E8</f>
        <v>1392.6019229268595</v>
      </c>
      <c r="F4" s="443">
        <f>huishoudens!F8</f>
        <v>35282.290362348518</v>
      </c>
      <c r="G4" s="443">
        <f>huishoudens!G8</f>
        <v>0</v>
      </c>
      <c r="H4" s="443">
        <f>huishoudens!H8</f>
        <v>0</v>
      </c>
      <c r="I4" s="443">
        <f>huishoudens!I8</f>
        <v>0</v>
      </c>
      <c r="J4" s="443">
        <f>huishoudens!J8</f>
        <v>169.77442286103565</v>
      </c>
      <c r="K4" s="443">
        <f>huishoudens!K8</f>
        <v>0</v>
      </c>
      <c r="L4" s="443">
        <f>huishoudens!L8</f>
        <v>0</v>
      </c>
      <c r="M4" s="443">
        <f>huishoudens!M8</f>
        <v>0</v>
      </c>
      <c r="N4" s="443">
        <f>huishoudens!N8</f>
        <v>6254.656132428112</v>
      </c>
      <c r="O4" s="443">
        <f>huishoudens!O8</f>
        <v>257.95</v>
      </c>
      <c r="P4" s="444">
        <f>huishoudens!P8</f>
        <v>552.93333333333339</v>
      </c>
      <c r="Q4" s="445">
        <f>SUM(B4:P4)</f>
        <v>88833.981939704885</v>
      </c>
    </row>
    <row r="5" spans="1:17">
      <c r="A5" s="442" t="s">
        <v>149</v>
      </c>
      <c r="B5" s="443">
        <f ca="1">tertiair!B16</f>
        <v>19187.033336</v>
      </c>
      <c r="C5" s="443">
        <f ca="1">tertiair!C16</f>
        <v>0</v>
      </c>
      <c r="D5" s="443">
        <f ca="1">tertiair!D16</f>
        <v>22736.593056232003</v>
      </c>
      <c r="E5" s="443">
        <f>tertiair!E16</f>
        <v>455.54819041903079</v>
      </c>
      <c r="F5" s="443">
        <f ca="1">tertiair!F16</f>
        <v>3443.8733254436352</v>
      </c>
      <c r="G5" s="443">
        <f>tertiair!G16</f>
        <v>0</v>
      </c>
      <c r="H5" s="443">
        <f>tertiair!H16</f>
        <v>0</v>
      </c>
      <c r="I5" s="443">
        <f>tertiair!I16</f>
        <v>0</v>
      </c>
      <c r="J5" s="443">
        <f>tertiair!J16</f>
        <v>1.5079485079740836E-2</v>
      </c>
      <c r="K5" s="443">
        <f>tertiair!K16</f>
        <v>0</v>
      </c>
      <c r="L5" s="443">
        <f ca="1">tertiair!L16</f>
        <v>0</v>
      </c>
      <c r="M5" s="443">
        <f>tertiair!M16</f>
        <v>0</v>
      </c>
      <c r="N5" s="443">
        <f ca="1">tertiair!N16</f>
        <v>620.1254906856451</v>
      </c>
      <c r="O5" s="443">
        <f>tertiair!O16</f>
        <v>4.6900000000000004</v>
      </c>
      <c r="P5" s="444">
        <f>tertiair!P16</f>
        <v>0</v>
      </c>
      <c r="Q5" s="442">
        <f t="shared" ref="Q5:Q14" ca="1" si="0">SUM(B5:P5)</f>
        <v>46447.878478265404</v>
      </c>
    </row>
    <row r="6" spans="1:17">
      <c r="A6" s="442" t="s">
        <v>187</v>
      </c>
      <c r="B6" s="443">
        <f>'openbare verlichting'!B8</f>
        <v>723.99800000000005</v>
      </c>
      <c r="C6" s="443"/>
      <c r="D6" s="443"/>
      <c r="E6" s="443"/>
      <c r="F6" s="443"/>
      <c r="G6" s="443"/>
      <c r="H6" s="443"/>
      <c r="I6" s="443"/>
      <c r="J6" s="443"/>
      <c r="K6" s="443"/>
      <c r="L6" s="443"/>
      <c r="M6" s="443"/>
      <c r="N6" s="443"/>
      <c r="O6" s="443"/>
      <c r="P6" s="444"/>
      <c r="Q6" s="442">
        <f t="shared" si="0"/>
        <v>723.99800000000005</v>
      </c>
    </row>
    <row r="7" spans="1:17">
      <c r="A7" s="442" t="s">
        <v>105</v>
      </c>
      <c r="B7" s="443">
        <f>landbouw!B8</f>
        <v>288.18099999999998</v>
      </c>
      <c r="C7" s="443">
        <f>landbouw!C8</f>
        <v>0</v>
      </c>
      <c r="D7" s="443">
        <f>landbouw!D8</f>
        <v>15.290704000000002</v>
      </c>
      <c r="E7" s="443">
        <f>landbouw!E8</f>
        <v>8.4705197963687393</v>
      </c>
      <c r="F7" s="443">
        <f>landbouw!F8</f>
        <v>1200.5464735161233</v>
      </c>
      <c r="G7" s="443">
        <f>landbouw!G8</f>
        <v>0</v>
      </c>
      <c r="H7" s="443">
        <f>landbouw!H8</f>
        <v>0</v>
      </c>
      <c r="I7" s="443">
        <f>landbouw!I8</f>
        <v>0</v>
      </c>
      <c r="J7" s="443">
        <f>landbouw!J8</f>
        <v>41.751238142182984</v>
      </c>
      <c r="K7" s="443">
        <f>landbouw!K8</f>
        <v>0</v>
      </c>
      <c r="L7" s="443">
        <f>landbouw!L8</f>
        <v>0</v>
      </c>
      <c r="M7" s="443">
        <f>landbouw!M8</f>
        <v>0</v>
      </c>
      <c r="N7" s="443">
        <f>landbouw!N8</f>
        <v>0</v>
      </c>
      <c r="O7" s="443">
        <f>landbouw!O8</f>
        <v>0</v>
      </c>
      <c r="P7" s="444">
        <f>landbouw!P8</f>
        <v>0</v>
      </c>
      <c r="Q7" s="442">
        <f t="shared" si="0"/>
        <v>1554.2399354546751</v>
      </c>
    </row>
    <row r="8" spans="1:17">
      <c r="A8" s="442" t="s">
        <v>621</v>
      </c>
      <c r="B8" s="443">
        <f>industrie!B18</f>
        <v>12728.914516000001</v>
      </c>
      <c r="C8" s="443">
        <f>industrie!C18</f>
        <v>0</v>
      </c>
      <c r="D8" s="443">
        <f>industrie!D18</f>
        <v>10209.412442041999</v>
      </c>
      <c r="E8" s="443">
        <f>industrie!E18</f>
        <v>1049.7086101639063</v>
      </c>
      <c r="F8" s="443">
        <f>industrie!F18</f>
        <v>4743.2215657420875</v>
      </c>
      <c r="G8" s="443">
        <f>industrie!G18</f>
        <v>0</v>
      </c>
      <c r="H8" s="443">
        <f>industrie!H18</f>
        <v>0</v>
      </c>
      <c r="I8" s="443">
        <f>industrie!I18</f>
        <v>0</v>
      </c>
      <c r="J8" s="443">
        <f>industrie!J18</f>
        <v>12.161240402889787</v>
      </c>
      <c r="K8" s="443">
        <f>industrie!K18</f>
        <v>0</v>
      </c>
      <c r="L8" s="443">
        <f>industrie!L18</f>
        <v>0</v>
      </c>
      <c r="M8" s="443">
        <f>industrie!M18</f>
        <v>0</v>
      </c>
      <c r="N8" s="443">
        <f>industrie!N18</f>
        <v>1649.510727282968</v>
      </c>
      <c r="O8" s="443">
        <f>industrie!O18</f>
        <v>0</v>
      </c>
      <c r="P8" s="444">
        <f>industrie!P18</f>
        <v>0</v>
      </c>
      <c r="Q8" s="442">
        <f t="shared" si="0"/>
        <v>30392.929101633854</v>
      </c>
    </row>
    <row r="9" spans="1:17" s="448" customFormat="1">
      <c r="A9" s="446" t="s">
        <v>547</v>
      </c>
      <c r="B9" s="447">
        <f>transport!B14</f>
        <v>31.6430595319768</v>
      </c>
      <c r="C9" s="447">
        <f>transport!C14</f>
        <v>0</v>
      </c>
      <c r="D9" s="447">
        <f>transport!D14</f>
        <v>60.499019087066912</v>
      </c>
      <c r="E9" s="447">
        <f>transport!E14</f>
        <v>103.83389070803074</v>
      </c>
      <c r="F9" s="447">
        <f>transport!F14</f>
        <v>0</v>
      </c>
      <c r="G9" s="447">
        <f>transport!G14</f>
        <v>37858.747817864198</v>
      </c>
      <c r="H9" s="447">
        <f>transport!H14</f>
        <v>9658.1790500397128</v>
      </c>
      <c r="I9" s="447">
        <f>transport!I14</f>
        <v>0</v>
      </c>
      <c r="J9" s="447">
        <f>transport!J14</f>
        <v>0</v>
      </c>
      <c r="K9" s="447">
        <f>transport!K14</f>
        <v>0</v>
      </c>
      <c r="L9" s="447">
        <f>transport!L14</f>
        <v>0</v>
      </c>
      <c r="M9" s="447">
        <f>transport!M14</f>
        <v>2496.2562627213038</v>
      </c>
      <c r="N9" s="447">
        <f>transport!N14</f>
        <v>0</v>
      </c>
      <c r="O9" s="447">
        <f>transport!O14</f>
        <v>0</v>
      </c>
      <c r="P9" s="447">
        <f>transport!P14</f>
        <v>0</v>
      </c>
      <c r="Q9" s="446">
        <f>SUM(B9:P9)</f>
        <v>50209.159099952289</v>
      </c>
    </row>
    <row r="10" spans="1:17">
      <c r="A10" s="442" t="s">
        <v>537</v>
      </c>
      <c r="B10" s="443">
        <f>transport!B54</f>
        <v>11.48268798677543</v>
      </c>
      <c r="C10" s="443">
        <f>transport!C54</f>
        <v>0</v>
      </c>
      <c r="D10" s="443">
        <f>transport!D54</f>
        <v>0</v>
      </c>
      <c r="E10" s="443">
        <f>transport!E54</f>
        <v>0</v>
      </c>
      <c r="F10" s="443">
        <f>transport!F54</f>
        <v>0</v>
      </c>
      <c r="G10" s="443">
        <f>transport!G54</f>
        <v>1078.6845603889483</v>
      </c>
      <c r="H10" s="443">
        <f>transport!H54</f>
        <v>0</v>
      </c>
      <c r="I10" s="443">
        <f>transport!I54</f>
        <v>0</v>
      </c>
      <c r="J10" s="443">
        <f>transport!J54</f>
        <v>0</v>
      </c>
      <c r="K10" s="443">
        <f>transport!K54</f>
        <v>0</v>
      </c>
      <c r="L10" s="443">
        <f>transport!L54</f>
        <v>0</v>
      </c>
      <c r="M10" s="443">
        <f>transport!M54</f>
        <v>62.118205065119987</v>
      </c>
      <c r="N10" s="443">
        <f>transport!N54</f>
        <v>0</v>
      </c>
      <c r="O10" s="443">
        <f>transport!O54</f>
        <v>0</v>
      </c>
      <c r="P10" s="444">
        <f>transport!P54</f>
        <v>0</v>
      </c>
      <c r="Q10" s="442">
        <f t="shared" si="0"/>
        <v>1152.2854534408436</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408.44225</v>
      </c>
      <c r="C14" s="450"/>
      <c r="D14" s="450">
        <f>'SEAP template'!E25</f>
        <v>1022.6346</v>
      </c>
      <c r="E14" s="450"/>
      <c r="F14" s="450"/>
      <c r="G14" s="450"/>
      <c r="H14" s="450"/>
      <c r="I14" s="450"/>
      <c r="J14" s="450"/>
      <c r="K14" s="450"/>
      <c r="L14" s="450"/>
      <c r="M14" s="450"/>
      <c r="N14" s="450"/>
      <c r="O14" s="450"/>
      <c r="P14" s="451"/>
      <c r="Q14" s="442">
        <f t="shared" si="0"/>
        <v>1431.0768499999999</v>
      </c>
    </row>
    <row r="15" spans="1:17" s="452" customFormat="1">
      <c r="A15" s="997" t="s">
        <v>541</v>
      </c>
      <c r="B15" s="945">
        <f ca="1">SUM(B4:B14)</f>
        <v>51283.935679305781</v>
      </c>
      <c r="C15" s="945">
        <f t="shared" ref="C15:Q15" ca="1" si="1">SUM(C4:C14)</f>
        <v>0</v>
      </c>
      <c r="D15" s="945">
        <f t="shared" ca="1" si="1"/>
        <v>61063.964757381065</v>
      </c>
      <c r="E15" s="945">
        <f t="shared" si="1"/>
        <v>3010.1631340141957</v>
      </c>
      <c r="F15" s="945">
        <f t="shared" ca="1" si="1"/>
        <v>44669.931727050367</v>
      </c>
      <c r="G15" s="945">
        <f t="shared" si="1"/>
        <v>38937.432378253143</v>
      </c>
      <c r="H15" s="945">
        <f t="shared" si="1"/>
        <v>9658.1790500397128</v>
      </c>
      <c r="I15" s="945">
        <f t="shared" si="1"/>
        <v>0</v>
      </c>
      <c r="J15" s="945">
        <f t="shared" si="1"/>
        <v>223.70198089118816</v>
      </c>
      <c r="K15" s="945">
        <f t="shared" si="1"/>
        <v>0</v>
      </c>
      <c r="L15" s="945">
        <f t="shared" ca="1" si="1"/>
        <v>0</v>
      </c>
      <c r="M15" s="945">
        <f t="shared" si="1"/>
        <v>2558.3744677864238</v>
      </c>
      <c r="N15" s="945">
        <f t="shared" ca="1" si="1"/>
        <v>8524.2923503967249</v>
      </c>
      <c r="O15" s="945">
        <f t="shared" si="1"/>
        <v>262.64</v>
      </c>
      <c r="P15" s="945">
        <f t="shared" si="1"/>
        <v>552.93333333333339</v>
      </c>
      <c r="Q15" s="945">
        <f t="shared" ca="1" si="1"/>
        <v>220745.54885845198</v>
      </c>
    </row>
    <row r="17" spans="1:17">
      <c r="A17" s="453" t="s">
        <v>542</v>
      </c>
      <c r="B17" s="752">
        <f ca="1">huishoudens!B10</f>
        <v>0.16727289210052215</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2994.8941444627308</v>
      </c>
      <c r="C22" s="443">
        <f t="shared" ref="C22:C32" ca="1" si="3">C4*$C$17</f>
        <v>0</v>
      </c>
      <c r="D22" s="443">
        <f t="shared" ref="D22:D32" si="4">D4*$D$17</f>
        <v>5457.9460570760402</v>
      </c>
      <c r="E22" s="443">
        <f t="shared" ref="E22:E32" si="5">E4*$E$17</f>
        <v>316.12063650439711</v>
      </c>
      <c r="F22" s="443">
        <f t="shared" ref="F22:F32" si="6">F4*$F$17</f>
        <v>9420.3715267470543</v>
      </c>
      <c r="G22" s="443">
        <f t="shared" ref="G22:G32" si="7">G4*$G$17</f>
        <v>0</v>
      </c>
      <c r="H22" s="443">
        <f t="shared" ref="H22:H32" si="8">H4*$H$17</f>
        <v>0</v>
      </c>
      <c r="I22" s="443">
        <f t="shared" ref="I22:I32" si="9">I4*$I$17</f>
        <v>0</v>
      </c>
      <c r="J22" s="443">
        <f t="shared" ref="J22:J32" si="10">J4*$J$17</f>
        <v>60.100145692806613</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18249.432510483028</v>
      </c>
    </row>
    <row r="23" spans="1:17">
      <c r="A23" s="442" t="s">
        <v>149</v>
      </c>
      <c r="B23" s="443">
        <f t="shared" ca="1" si="2"/>
        <v>3209.4705569418497</v>
      </c>
      <c r="C23" s="443">
        <f t="shared" ca="1" si="3"/>
        <v>0</v>
      </c>
      <c r="D23" s="443">
        <f t="shared" ca="1" si="4"/>
        <v>4592.7917973588646</v>
      </c>
      <c r="E23" s="443">
        <f t="shared" si="5"/>
        <v>103.40943922512</v>
      </c>
      <c r="F23" s="443">
        <f t="shared" ca="1" si="6"/>
        <v>919.51417789345066</v>
      </c>
      <c r="G23" s="443">
        <f t="shared" si="7"/>
        <v>0</v>
      </c>
      <c r="H23" s="443">
        <f t="shared" si="8"/>
        <v>0</v>
      </c>
      <c r="I23" s="443">
        <f t="shared" si="9"/>
        <v>0</v>
      </c>
      <c r="J23" s="443">
        <f t="shared" si="10"/>
        <v>5.3381377182282553E-3</v>
      </c>
      <c r="K23" s="443">
        <f t="shared" si="11"/>
        <v>0</v>
      </c>
      <c r="L23" s="443">
        <f t="shared" ca="1" si="12"/>
        <v>0</v>
      </c>
      <c r="M23" s="443">
        <f t="shared" si="13"/>
        <v>0</v>
      </c>
      <c r="N23" s="443">
        <f t="shared" ca="1" si="14"/>
        <v>0</v>
      </c>
      <c r="O23" s="443">
        <f t="shared" si="15"/>
        <v>0</v>
      </c>
      <c r="P23" s="444">
        <f t="shared" si="16"/>
        <v>0</v>
      </c>
      <c r="Q23" s="442">
        <f t="shared" ref="Q23:Q32" ca="1" si="17">SUM(B23:P23)</f>
        <v>8825.1913095570035</v>
      </c>
    </row>
    <row r="24" spans="1:17">
      <c r="A24" s="442" t="s">
        <v>187</v>
      </c>
      <c r="B24" s="443">
        <f t="shared" ca="1" si="2"/>
        <v>121.10523933499384</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121.10523933499384</v>
      </c>
    </row>
    <row r="25" spans="1:17">
      <c r="A25" s="442" t="s">
        <v>105</v>
      </c>
      <c r="B25" s="443">
        <f t="shared" ca="1" si="2"/>
        <v>48.20486931842057</v>
      </c>
      <c r="C25" s="443">
        <f t="shared" ca="1" si="3"/>
        <v>0</v>
      </c>
      <c r="D25" s="443">
        <f t="shared" si="4"/>
        <v>3.0887222080000005</v>
      </c>
      <c r="E25" s="443">
        <f t="shared" si="5"/>
        <v>1.9228079937757039</v>
      </c>
      <c r="F25" s="443">
        <f t="shared" si="6"/>
        <v>320.54590842880498</v>
      </c>
      <c r="G25" s="443">
        <f t="shared" si="7"/>
        <v>0</v>
      </c>
      <c r="H25" s="443">
        <f t="shared" si="8"/>
        <v>0</v>
      </c>
      <c r="I25" s="443">
        <f t="shared" si="9"/>
        <v>0</v>
      </c>
      <c r="J25" s="443">
        <f t="shared" si="10"/>
        <v>14.779938302332775</v>
      </c>
      <c r="K25" s="443">
        <f t="shared" si="11"/>
        <v>0</v>
      </c>
      <c r="L25" s="443">
        <f t="shared" si="12"/>
        <v>0</v>
      </c>
      <c r="M25" s="443">
        <f t="shared" si="13"/>
        <v>0</v>
      </c>
      <c r="N25" s="443">
        <f t="shared" si="14"/>
        <v>0</v>
      </c>
      <c r="O25" s="443">
        <f t="shared" si="15"/>
        <v>0</v>
      </c>
      <c r="P25" s="444">
        <f t="shared" si="16"/>
        <v>0</v>
      </c>
      <c r="Q25" s="442">
        <f t="shared" ca="1" si="17"/>
        <v>388.54224625133401</v>
      </c>
    </row>
    <row r="26" spans="1:17">
      <c r="A26" s="442" t="s">
        <v>621</v>
      </c>
      <c r="B26" s="443">
        <f t="shared" ca="1" si="2"/>
        <v>2129.2023443916382</v>
      </c>
      <c r="C26" s="443">
        <f t="shared" ca="1" si="3"/>
        <v>0</v>
      </c>
      <c r="D26" s="443">
        <f t="shared" si="4"/>
        <v>2062.3013132924839</v>
      </c>
      <c r="E26" s="443">
        <f t="shared" si="5"/>
        <v>238.28385450720674</v>
      </c>
      <c r="F26" s="443">
        <f t="shared" si="6"/>
        <v>1266.4401580531373</v>
      </c>
      <c r="G26" s="443">
        <f t="shared" si="7"/>
        <v>0</v>
      </c>
      <c r="H26" s="443">
        <f t="shared" si="8"/>
        <v>0</v>
      </c>
      <c r="I26" s="443">
        <f t="shared" si="9"/>
        <v>0</v>
      </c>
      <c r="J26" s="443">
        <f t="shared" si="10"/>
        <v>4.305079102622984</v>
      </c>
      <c r="K26" s="443">
        <f t="shared" si="11"/>
        <v>0</v>
      </c>
      <c r="L26" s="443">
        <f t="shared" si="12"/>
        <v>0</v>
      </c>
      <c r="M26" s="443">
        <f t="shared" si="13"/>
        <v>0</v>
      </c>
      <c r="N26" s="443">
        <f t="shared" si="14"/>
        <v>0</v>
      </c>
      <c r="O26" s="443">
        <f t="shared" si="15"/>
        <v>0</v>
      </c>
      <c r="P26" s="444">
        <f t="shared" si="16"/>
        <v>0</v>
      </c>
      <c r="Q26" s="442">
        <f t="shared" ca="1" si="17"/>
        <v>5700.5327493470886</v>
      </c>
    </row>
    <row r="27" spans="1:17" s="448" customFormat="1">
      <c r="A27" s="446" t="s">
        <v>547</v>
      </c>
      <c r="B27" s="746">
        <f t="shared" ca="1" si="2"/>
        <v>5.2930260828227542</v>
      </c>
      <c r="C27" s="447">
        <f t="shared" ca="1" si="3"/>
        <v>0</v>
      </c>
      <c r="D27" s="447">
        <f t="shared" si="4"/>
        <v>12.220801855587517</v>
      </c>
      <c r="E27" s="447">
        <f t="shared" si="5"/>
        <v>23.570293190722978</v>
      </c>
      <c r="F27" s="447">
        <f t="shared" si="6"/>
        <v>0</v>
      </c>
      <c r="G27" s="447">
        <f t="shared" si="7"/>
        <v>10108.285667369741</v>
      </c>
      <c r="H27" s="447">
        <f t="shared" si="8"/>
        <v>2404.8865834598887</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12554.256371958763</v>
      </c>
    </row>
    <row r="28" spans="1:17">
      <c r="A28" s="442" t="s">
        <v>537</v>
      </c>
      <c r="B28" s="443">
        <f t="shared" ca="1" si="2"/>
        <v>1.9207424286358483</v>
      </c>
      <c r="C28" s="443">
        <f t="shared" ca="1" si="3"/>
        <v>0</v>
      </c>
      <c r="D28" s="443">
        <f t="shared" si="4"/>
        <v>0</v>
      </c>
      <c r="E28" s="443">
        <f t="shared" si="5"/>
        <v>0</v>
      </c>
      <c r="F28" s="443">
        <f t="shared" si="6"/>
        <v>0</v>
      </c>
      <c r="G28" s="443">
        <f t="shared" si="7"/>
        <v>288.0087776238492</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289.92952005248503</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68.321316413544494</v>
      </c>
      <c r="C32" s="443">
        <f t="shared" ca="1" si="3"/>
        <v>0</v>
      </c>
      <c r="D32" s="443">
        <f t="shared" si="4"/>
        <v>206.5721892</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274.89350561354451</v>
      </c>
    </row>
    <row r="33" spans="1:17" s="452" customFormat="1">
      <c r="A33" s="997" t="s">
        <v>541</v>
      </c>
      <c r="B33" s="945">
        <f ca="1">SUM(B22:B32)</f>
        <v>8578.4122393746366</v>
      </c>
      <c r="C33" s="945">
        <f t="shared" ref="C33:Q33" ca="1" si="18">SUM(C22:C32)</f>
        <v>0</v>
      </c>
      <c r="D33" s="945">
        <f t="shared" ca="1" si="18"/>
        <v>12334.920880990976</v>
      </c>
      <c r="E33" s="945">
        <f t="shared" si="18"/>
        <v>683.3070314212224</v>
      </c>
      <c r="F33" s="945">
        <f t="shared" ca="1" si="18"/>
        <v>11926.871771122447</v>
      </c>
      <c r="G33" s="945">
        <f t="shared" si="18"/>
        <v>10396.294444993589</v>
      </c>
      <c r="H33" s="945">
        <f t="shared" si="18"/>
        <v>2404.8865834598887</v>
      </c>
      <c r="I33" s="945">
        <f t="shared" si="18"/>
        <v>0</v>
      </c>
      <c r="J33" s="945">
        <f t="shared" si="18"/>
        <v>79.190501235480596</v>
      </c>
      <c r="K33" s="945">
        <f t="shared" si="18"/>
        <v>0</v>
      </c>
      <c r="L33" s="945">
        <f t="shared" ca="1" si="18"/>
        <v>0</v>
      </c>
      <c r="M33" s="945">
        <f t="shared" si="18"/>
        <v>0</v>
      </c>
      <c r="N33" s="945">
        <f t="shared" ca="1" si="18"/>
        <v>0</v>
      </c>
      <c r="O33" s="945">
        <f t="shared" si="18"/>
        <v>0</v>
      </c>
      <c r="P33" s="945">
        <f t="shared" si="18"/>
        <v>0</v>
      </c>
      <c r="Q33" s="945">
        <f t="shared" ca="1" si="18"/>
        <v>46403.883452598246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12467.590704759932</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12467.590704759932</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0.16727289210052215</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0.16727289210052215</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0.16727289210052215</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0.16727289210052215</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4003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514.63</v>
      </c>
      <c r="C14" s="324"/>
      <c r="D14" s="324"/>
      <c r="E14" s="324"/>
      <c r="F14" s="324"/>
    </row>
    <row r="15" spans="1:6">
      <c r="A15" s="1289" t="s">
        <v>177</v>
      </c>
      <c r="B15" s="1290">
        <v>3</v>
      </c>
      <c r="C15" s="324"/>
      <c r="D15" s="324"/>
      <c r="E15" s="324"/>
      <c r="F15" s="324"/>
    </row>
    <row r="16" spans="1:6">
      <c r="A16" s="1289" t="s">
        <v>6</v>
      </c>
      <c r="B16" s="1290">
        <v>238</v>
      </c>
      <c r="C16" s="324"/>
      <c r="D16" s="324"/>
      <c r="E16" s="324"/>
      <c r="F16" s="324"/>
    </row>
    <row r="17" spans="1:6">
      <c r="A17" s="1289" t="s">
        <v>7</v>
      </c>
      <c r="B17" s="1290">
        <v>12</v>
      </c>
      <c r="C17" s="324"/>
      <c r="D17" s="324"/>
      <c r="E17" s="324"/>
      <c r="F17" s="324"/>
    </row>
    <row r="18" spans="1:6">
      <c r="A18" s="1289" t="s">
        <v>8</v>
      </c>
      <c r="B18" s="1290">
        <v>105</v>
      </c>
      <c r="C18" s="324"/>
      <c r="D18" s="324"/>
      <c r="E18" s="324"/>
      <c r="F18" s="324"/>
    </row>
    <row r="19" spans="1:6">
      <c r="A19" s="1289" t="s">
        <v>9</v>
      </c>
      <c r="B19" s="1290">
        <v>114</v>
      </c>
      <c r="C19" s="324"/>
      <c r="D19" s="324"/>
      <c r="E19" s="324"/>
      <c r="F19" s="324"/>
    </row>
    <row r="20" spans="1:6">
      <c r="A20" s="1289" t="s">
        <v>10</v>
      </c>
      <c r="B20" s="1290">
        <v>97</v>
      </c>
      <c r="C20" s="324"/>
      <c r="D20" s="324"/>
      <c r="E20" s="324"/>
      <c r="F20" s="324"/>
    </row>
    <row r="21" spans="1:6">
      <c r="A21" s="1289" t="s">
        <v>11</v>
      </c>
      <c r="B21" s="1290">
        <v>203</v>
      </c>
      <c r="C21" s="324"/>
      <c r="D21" s="324"/>
      <c r="E21" s="324"/>
      <c r="F21" s="324"/>
    </row>
    <row r="22" spans="1:6">
      <c r="A22" s="1289" t="s">
        <v>12</v>
      </c>
      <c r="B22" s="1290">
        <v>518</v>
      </c>
      <c r="C22" s="324"/>
      <c r="D22" s="324"/>
      <c r="E22" s="324"/>
      <c r="F22" s="324"/>
    </row>
    <row r="23" spans="1:6">
      <c r="A23" s="1289" t="s">
        <v>13</v>
      </c>
      <c r="B23" s="1290">
        <v>12</v>
      </c>
      <c r="C23" s="324"/>
      <c r="D23" s="324"/>
      <c r="E23" s="324"/>
      <c r="F23" s="324"/>
    </row>
    <row r="24" spans="1:6">
      <c r="A24" s="1289" t="s">
        <v>14</v>
      </c>
      <c r="B24" s="1290">
        <v>1</v>
      </c>
      <c r="C24" s="324"/>
      <c r="D24" s="324"/>
      <c r="E24" s="324"/>
      <c r="F24" s="324"/>
    </row>
    <row r="25" spans="1:6">
      <c r="A25" s="1289" t="s">
        <v>15</v>
      </c>
      <c r="B25" s="1290">
        <v>68</v>
      </c>
      <c r="C25" s="324"/>
      <c r="D25" s="324"/>
      <c r="E25" s="324"/>
      <c r="F25" s="324"/>
    </row>
    <row r="26" spans="1:6">
      <c r="A26" s="1289" t="s">
        <v>16</v>
      </c>
      <c r="B26" s="1290">
        <v>0</v>
      </c>
      <c r="C26" s="324"/>
      <c r="D26" s="324"/>
      <c r="E26" s="324"/>
      <c r="F26" s="324"/>
    </row>
    <row r="27" spans="1:6">
      <c r="A27" s="1289" t="s">
        <v>17</v>
      </c>
      <c r="B27" s="1290">
        <v>0</v>
      </c>
      <c r="C27" s="324"/>
      <c r="D27" s="324"/>
      <c r="E27" s="324"/>
      <c r="F27" s="324"/>
    </row>
    <row r="28" spans="1:6">
      <c r="A28" s="1289" t="s">
        <v>18</v>
      </c>
      <c r="B28" s="1291">
        <v>24568</v>
      </c>
      <c r="C28" s="324"/>
      <c r="D28" s="324"/>
      <c r="E28" s="324"/>
      <c r="F28" s="324"/>
    </row>
    <row r="29" spans="1:6">
      <c r="A29" s="1289" t="s">
        <v>716</v>
      </c>
      <c r="B29" s="1291">
        <v>112</v>
      </c>
      <c r="C29" s="324"/>
      <c r="D29" s="324"/>
      <c r="E29" s="324"/>
      <c r="F29" s="324"/>
    </row>
    <row r="30" spans="1:6">
      <c r="A30" s="1284" t="s">
        <v>717</v>
      </c>
      <c r="B30" s="1292">
        <v>23</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1</v>
      </c>
      <c r="D38" s="1290">
        <v>10079</v>
      </c>
      <c r="E38" s="1290">
        <v>3</v>
      </c>
      <c r="F38" s="1290">
        <v>2798</v>
      </c>
    </row>
    <row r="39" spans="1:6">
      <c r="A39" s="1289" t="s">
        <v>29</v>
      </c>
      <c r="B39" s="1289" t="s">
        <v>30</v>
      </c>
      <c r="C39" s="1290">
        <v>1663</v>
      </c>
      <c r="D39" s="1290">
        <v>29955138.510000002</v>
      </c>
      <c r="E39" s="1290">
        <v>3941</v>
      </c>
      <c r="F39" s="1290">
        <v>13366976.199999999</v>
      </c>
    </row>
    <row r="40" spans="1:6">
      <c r="A40" s="1289" t="s">
        <v>29</v>
      </c>
      <c r="B40" s="1289" t="s">
        <v>28</v>
      </c>
      <c r="C40" s="1290">
        <v>0</v>
      </c>
      <c r="D40" s="1290">
        <v>0</v>
      </c>
      <c r="E40" s="1290">
        <v>0</v>
      </c>
      <c r="F40" s="1290">
        <v>0</v>
      </c>
    </row>
    <row r="41" spans="1:6">
      <c r="A41" s="1289" t="s">
        <v>31</v>
      </c>
      <c r="B41" s="1289" t="s">
        <v>32</v>
      </c>
      <c r="C41" s="1290">
        <v>55</v>
      </c>
      <c r="D41" s="1290">
        <v>2585256</v>
      </c>
      <c r="E41" s="1290">
        <v>99</v>
      </c>
      <c r="F41" s="1290">
        <v>2778392.1869999999</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29</v>
      </c>
      <c r="D44" s="1290">
        <v>3659403</v>
      </c>
      <c r="E44" s="1290">
        <v>45</v>
      </c>
      <c r="F44" s="1290">
        <v>2935013.182</v>
      </c>
    </row>
    <row r="45" spans="1:6">
      <c r="A45" s="1289" t="s">
        <v>31</v>
      </c>
      <c r="B45" s="1289" t="s">
        <v>36</v>
      </c>
      <c r="C45" s="1290">
        <v>3</v>
      </c>
      <c r="D45" s="1290">
        <v>4091478.071</v>
      </c>
      <c r="E45" s="1290">
        <v>4</v>
      </c>
      <c r="F45" s="1290">
        <v>6057817.3260000004</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2</v>
      </c>
      <c r="D48" s="1290">
        <v>295325</v>
      </c>
      <c r="E48" s="1290">
        <v>3</v>
      </c>
      <c r="F48" s="1290">
        <v>616322</v>
      </c>
    </row>
    <row r="49" spans="1:6">
      <c r="A49" s="1289" t="s">
        <v>31</v>
      </c>
      <c r="B49" s="1289" t="s">
        <v>39</v>
      </c>
      <c r="C49" s="1290">
        <v>3</v>
      </c>
      <c r="D49" s="1290">
        <v>687177</v>
      </c>
      <c r="E49" s="1290">
        <v>3</v>
      </c>
      <c r="F49" s="1290">
        <v>236096.821</v>
      </c>
    </row>
    <row r="50" spans="1:6">
      <c r="A50" s="1289" t="s">
        <v>31</v>
      </c>
      <c r="B50" s="1289" t="s">
        <v>40</v>
      </c>
      <c r="C50" s="1290">
        <v>0</v>
      </c>
      <c r="D50" s="1290">
        <v>0</v>
      </c>
      <c r="E50" s="1290">
        <v>3</v>
      </c>
      <c r="F50" s="1290">
        <v>105273</v>
      </c>
    </row>
    <row r="51" spans="1:6">
      <c r="A51" s="1289" t="s">
        <v>41</v>
      </c>
      <c r="B51" s="1289" t="s">
        <v>42</v>
      </c>
      <c r="C51" s="1290">
        <v>0</v>
      </c>
      <c r="D51" s="1290">
        <v>0</v>
      </c>
      <c r="E51" s="1290">
        <v>19</v>
      </c>
      <c r="F51" s="1290">
        <v>288181</v>
      </c>
    </row>
    <row r="52" spans="1:6">
      <c r="A52" s="1289" t="s">
        <v>41</v>
      </c>
      <c r="B52" s="1289" t="s">
        <v>28</v>
      </c>
      <c r="C52" s="1290">
        <v>2</v>
      </c>
      <c r="D52" s="1290">
        <v>16952</v>
      </c>
      <c r="E52" s="1290">
        <v>0</v>
      </c>
      <c r="F52" s="1290">
        <v>0</v>
      </c>
    </row>
    <row r="53" spans="1:6">
      <c r="A53" s="1289" t="s">
        <v>43</v>
      </c>
      <c r="B53" s="1289" t="s">
        <v>44</v>
      </c>
      <c r="C53" s="1290">
        <v>27</v>
      </c>
      <c r="D53" s="1290">
        <v>1022634.6</v>
      </c>
      <c r="E53" s="1290">
        <v>64</v>
      </c>
      <c r="F53" s="1290">
        <v>408442.25</v>
      </c>
    </row>
    <row r="54" spans="1:6">
      <c r="A54" s="1289" t="s">
        <v>45</v>
      </c>
      <c r="B54" s="1289" t="s">
        <v>46</v>
      </c>
      <c r="C54" s="1290">
        <v>0</v>
      </c>
      <c r="D54" s="1290">
        <v>0</v>
      </c>
      <c r="E54" s="1290">
        <v>3</v>
      </c>
      <c r="F54" s="1290">
        <v>723998</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17</v>
      </c>
      <c r="D57" s="1290">
        <v>1762578</v>
      </c>
      <c r="E57" s="1290">
        <v>50</v>
      </c>
      <c r="F57" s="1290">
        <v>691434.75800000003</v>
      </c>
    </row>
    <row r="58" spans="1:6">
      <c r="A58" s="1289" t="s">
        <v>48</v>
      </c>
      <c r="B58" s="1289" t="s">
        <v>50</v>
      </c>
      <c r="C58" s="1290">
        <v>12</v>
      </c>
      <c r="D58" s="1290">
        <v>1176773.821</v>
      </c>
      <c r="E58" s="1290">
        <v>21</v>
      </c>
      <c r="F58" s="1290">
        <v>555629</v>
      </c>
    </row>
    <row r="59" spans="1:6">
      <c r="A59" s="1289" t="s">
        <v>48</v>
      </c>
      <c r="B59" s="1289" t="s">
        <v>51</v>
      </c>
      <c r="C59" s="1290">
        <v>75</v>
      </c>
      <c r="D59" s="1290">
        <v>16352914.179</v>
      </c>
      <c r="E59" s="1290">
        <v>154</v>
      </c>
      <c r="F59" s="1290">
        <v>12071250.353</v>
      </c>
    </row>
    <row r="60" spans="1:6">
      <c r="A60" s="1289" t="s">
        <v>48</v>
      </c>
      <c r="B60" s="1289" t="s">
        <v>52</v>
      </c>
      <c r="C60" s="1290">
        <v>21</v>
      </c>
      <c r="D60" s="1290">
        <v>853249</v>
      </c>
      <c r="E60" s="1290">
        <v>31</v>
      </c>
      <c r="F60" s="1290">
        <v>1150309</v>
      </c>
    </row>
    <row r="61" spans="1:6">
      <c r="A61" s="1289" t="s">
        <v>48</v>
      </c>
      <c r="B61" s="1289" t="s">
        <v>53</v>
      </c>
      <c r="C61" s="1290">
        <v>54</v>
      </c>
      <c r="D61" s="1290">
        <v>4960878.9160000002</v>
      </c>
      <c r="E61" s="1290">
        <v>106</v>
      </c>
      <c r="F61" s="1290">
        <v>4689029.2249999996</v>
      </c>
    </row>
    <row r="62" spans="1:6">
      <c r="A62" s="1289" t="s">
        <v>48</v>
      </c>
      <c r="B62" s="1289" t="s">
        <v>54</v>
      </c>
      <c r="C62" s="1290">
        <v>0</v>
      </c>
      <c r="D62" s="1290">
        <v>0</v>
      </c>
      <c r="E62" s="1290">
        <v>0</v>
      </c>
      <c r="F62" s="1290">
        <v>0</v>
      </c>
    </row>
    <row r="63" spans="1:6">
      <c r="A63" s="1289" t="s">
        <v>48</v>
      </c>
      <c r="B63" s="1289" t="s">
        <v>28</v>
      </c>
      <c r="C63" s="1290">
        <v>1</v>
      </c>
      <c r="D63" s="1290">
        <v>100472</v>
      </c>
      <c r="E63" s="1290">
        <v>1</v>
      </c>
      <c r="F63" s="1290">
        <v>29381</v>
      </c>
    </row>
    <row r="64" spans="1:6">
      <c r="A64" s="1289" t="s">
        <v>55</v>
      </c>
      <c r="B64" s="1289" t="s">
        <v>56</v>
      </c>
      <c r="C64" s="1290">
        <v>0</v>
      </c>
      <c r="D64" s="1290">
        <v>0</v>
      </c>
      <c r="E64" s="1290">
        <v>0</v>
      </c>
      <c r="F64" s="1290">
        <v>0</v>
      </c>
    </row>
    <row r="65" spans="1:6">
      <c r="A65" s="1289" t="s">
        <v>55</v>
      </c>
      <c r="B65" s="1289" t="s">
        <v>28</v>
      </c>
      <c r="C65" s="1290">
        <v>0</v>
      </c>
      <c r="D65" s="1290">
        <v>0</v>
      </c>
      <c r="E65" s="1290">
        <v>2</v>
      </c>
      <c r="F65" s="1290">
        <v>75989</v>
      </c>
    </row>
    <row r="66" spans="1:6">
      <c r="A66" s="1289" t="s">
        <v>55</v>
      </c>
      <c r="B66" s="1289" t="s">
        <v>57</v>
      </c>
      <c r="C66" s="1290">
        <v>0</v>
      </c>
      <c r="D66" s="1290">
        <v>0</v>
      </c>
      <c r="E66" s="1290">
        <v>0</v>
      </c>
      <c r="F66" s="1290">
        <v>0</v>
      </c>
    </row>
    <row r="67" spans="1:6">
      <c r="A67" s="1289" t="s">
        <v>55</v>
      </c>
      <c r="B67" s="1289" t="s">
        <v>58</v>
      </c>
      <c r="C67" s="1290">
        <v>0</v>
      </c>
      <c r="D67" s="1290">
        <v>0</v>
      </c>
      <c r="E67" s="1290">
        <v>0</v>
      </c>
      <c r="F67" s="1290">
        <v>0</v>
      </c>
    </row>
    <row r="68" spans="1:6">
      <c r="A68" s="1284" t="s">
        <v>55</v>
      </c>
      <c r="B68" s="1284" t="s">
        <v>59</v>
      </c>
      <c r="C68" s="1292">
        <v>3</v>
      </c>
      <c r="D68" s="1292">
        <v>898883</v>
      </c>
      <c r="E68" s="1292">
        <v>7</v>
      </c>
      <c r="F68" s="1292">
        <v>666741</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31082138</v>
      </c>
      <c r="E73" s="441"/>
      <c r="F73" s="324"/>
    </row>
    <row r="74" spans="1:6">
      <c r="A74" s="1289" t="s">
        <v>63</v>
      </c>
      <c r="B74" s="1289" t="s">
        <v>642</v>
      </c>
      <c r="C74" s="1302" t="s">
        <v>644</v>
      </c>
      <c r="D74" s="1290">
        <v>2420685</v>
      </c>
      <c r="E74" s="441"/>
      <c r="F74" s="324"/>
    </row>
    <row r="75" spans="1:6">
      <c r="A75" s="1289" t="s">
        <v>64</v>
      </c>
      <c r="B75" s="1289" t="s">
        <v>641</v>
      </c>
      <c r="C75" s="1302" t="s">
        <v>645</v>
      </c>
      <c r="D75" s="1290">
        <v>25226880</v>
      </c>
      <c r="E75" s="441"/>
      <c r="F75" s="324"/>
    </row>
    <row r="76" spans="1:6">
      <c r="A76" s="1289" t="s">
        <v>64</v>
      </c>
      <c r="B76" s="1289" t="s">
        <v>642</v>
      </c>
      <c r="C76" s="1302" t="s">
        <v>646</v>
      </c>
      <c r="D76" s="1290">
        <v>585845</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313406</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4537.2646297870397</v>
      </c>
      <c r="C91" s="324"/>
      <c r="D91" s="324"/>
      <c r="E91" s="324"/>
      <c r="F91" s="324"/>
    </row>
    <row r="92" spans="1:6">
      <c r="A92" s="1284" t="s">
        <v>68</v>
      </c>
      <c r="B92" s="1285">
        <v>7930.3260749728915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217</v>
      </c>
      <c r="C97" s="324"/>
      <c r="D97" s="324"/>
      <c r="E97" s="324"/>
      <c r="F97" s="324"/>
    </row>
    <row r="98" spans="1:6">
      <c r="A98" s="1289" t="s">
        <v>71</v>
      </c>
      <c r="B98" s="1290">
        <v>5</v>
      </c>
      <c r="C98" s="324"/>
      <c r="D98" s="324"/>
      <c r="E98" s="324"/>
      <c r="F98" s="324"/>
    </row>
    <row r="99" spans="1:6">
      <c r="A99" s="1289" t="s">
        <v>72</v>
      </c>
      <c r="B99" s="1290">
        <v>11</v>
      </c>
      <c r="C99" s="324"/>
      <c r="D99" s="324"/>
      <c r="E99" s="324"/>
      <c r="F99" s="324"/>
    </row>
    <row r="100" spans="1:6">
      <c r="A100" s="1289" t="s">
        <v>73</v>
      </c>
      <c r="B100" s="1290">
        <v>176</v>
      </c>
      <c r="C100" s="324"/>
      <c r="D100" s="324"/>
      <c r="E100" s="324"/>
      <c r="F100" s="324"/>
    </row>
    <row r="101" spans="1:6">
      <c r="A101" s="1289" t="s">
        <v>74</v>
      </c>
      <c r="B101" s="1290">
        <v>42</v>
      </c>
      <c r="C101" s="324"/>
      <c r="D101" s="324"/>
      <c r="E101" s="324"/>
      <c r="F101" s="324"/>
    </row>
    <row r="102" spans="1:6">
      <c r="A102" s="1289" t="s">
        <v>75</v>
      </c>
      <c r="B102" s="1290">
        <v>26</v>
      </c>
      <c r="C102" s="324"/>
      <c r="D102" s="324"/>
      <c r="E102" s="324"/>
      <c r="F102" s="324"/>
    </row>
    <row r="103" spans="1:6">
      <c r="A103" s="1289" t="s">
        <v>76</v>
      </c>
      <c r="B103" s="1290">
        <v>39</v>
      </c>
      <c r="C103" s="324"/>
      <c r="D103" s="324"/>
      <c r="E103" s="324"/>
      <c r="F103" s="324"/>
    </row>
    <row r="104" spans="1:6">
      <c r="A104" s="1289" t="s">
        <v>77</v>
      </c>
      <c r="B104" s="1290">
        <v>2697</v>
      </c>
      <c r="C104" s="324"/>
      <c r="D104" s="324"/>
      <c r="E104" s="324"/>
      <c r="F104" s="324"/>
    </row>
    <row r="105" spans="1:6">
      <c r="A105" s="1284" t="s">
        <v>78</v>
      </c>
      <c r="B105" s="1292">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13</v>
      </c>
      <c r="C123" s="1290">
        <v>15</v>
      </c>
      <c r="D123" s="324"/>
      <c r="E123" s="324"/>
      <c r="F123" s="324"/>
    </row>
    <row r="124" spans="1:6">
      <c r="A124" s="1289" t="s">
        <v>88</v>
      </c>
      <c r="B124" s="1290">
        <v>0</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149</v>
      </c>
      <c r="C129" s="324"/>
      <c r="D129" s="324"/>
      <c r="E129" s="324"/>
      <c r="F129" s="324"/>
    </row>
    <row r="130" spans="1:6">
      <c r="A130" s="1289" t="s">
        <v>283</v>
      </c>
      <c r="B130" s="1290">
        <v>3</v>
      </c>
      <c r="C130" s="324"/>
      <c r="D130" s="324"/>
      <c r="E130" s="324"/>
      <c r="F130" s="324"/>
    </row>
    <row r="131" spans="1:6">
      <c r="A131" s="1289" t="s">
        <v>284</v>
      </c>
      <c r="B131" s="1290">
        <v>0</v>
      </c>
      <c r="C131" s="324"/>
      <c r="D131" s="324"/>
      <c r="E131" s="324"/>
      <c r="F131" s="324"/>
    </row>
    <row r="132" spans="1:6">
      <c r="A132" s="1284" t="s">
        <v>285</v>
      </c>
      <c r="B132" s="1285">
        <v>16</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51283.935679305796</v>
      </c>
      <c r="C3" s="43" t="s">
        <v>163</v>
      </c>
      <c r="D3" s="43"/>
      <c r="E3" s="154"/>
      <c r="F3" s="43"/>
      <c r="G3" s="43"/>
      <c r="H3" s="43"/>
      <c r="I3" s="43"/>
      <c r="J3" s="43"/>
      <c r="K3" s="96"/>
    </row>
    <row r="4" spans="1:11">
      <c r="A4" s="350" t="s">
        <v>164</v>
      </c>
      <c r="B4" s="49">
        <f>IF(ISERROR('SEAP template'!B78+'SEAP template'!C78),0,'SEAP template'!B78+'SEAP template'!C78)</f>
        <v>12467.590704759932</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0.16727289210052215</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723.99800000000005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723.99800000000005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0.16727289210052215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121.10523933499384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13366.976199999999</v>
      </c>
      <c r="C5" s="17">
        <f>IF(ISERROR('Eigen informatie GS &amp; warmtenet'!B57),0,'Eigen informatie GS &amp; warmtenet'!B57)</f>
        <v>0</v>
      </c>
      <c r="D5" s="30">
        <f>(SUM(HH_hh_gas_kWh,HH_rest_gas_kWh)/1000)*0.902</f>
        <v>27019.534936020002</v>
      </c>
      <c r="E5" s="17">
        <f>B32*B41</f>
        <v>1392.6019229268595</v>
      </c>
      <c r="F5" s="17">
        <f>B36*B45</f>
        <v>35282.290362348518</v>
      </c>
      <c r="G5" s="18"/>
      <c r="H5" s="17"/>
      <c r="I5" s="17"/>
      <c r="J5" s="17">
        <f>B35*B44+C35*C44</f>
        <v>169.77442286103565</v>
      </c>
      <c r="K5" s="17"/>
      <c r="L5" s="17"/>
      <c r="M5" s="17"/>
      <c r="N5" s="17">
        <f>B34*B43+C34*C43</f>
        <v>6254.656132428112</v>
      </c>
      <c r="O5" s="17">
        <f>B52*B53*B54</f>
        <v>257.95</v>
      </c>
      <c r="P5" s="17">
        <f>B60*B61*B62/1000-B60*B61*B62/1000/B63</f>
        <v>552.93333333333339</v>
      </c>
    </row>
    <row r="6" spans="1:16">
      <c r="A6" s="16" t="s">
        <v>607</v>
      </c>
      <c r="B6" s="754">
        <f>kWh_PV_kleiner_dan_10kW</f>
        <v>4537.2646297870397</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17904.240829787039</v>
      </c>
      <c r="C8" s="21">
        <f>C5</f>
        <v>0</v>
      </c>
      <c r="D8" s="21">
        <f>D5</f>
        <v>27019.534936020002</v>
      </c>
      <c r="E8" s="21">
        <f>E5</f>
        <v>1392.6019229268595</v>
      </c>
      <c r="F8" s="21">
        <f>F5</f>
        <v>35282.290362348518</v>
      </c>
      <c r="G8" s="21"/>
      <c r="H8" s="21"/>
      <c r="I8" s="21"/>
      <c r="J8" s="21">
        <f>J5</f>
        <v>169.77442286103565</v>
      </c>
      <c r="K8" s="21"/>
      <c r="L8" s="21">
        <f>L5</f>
        <v>0</v>
      </c>
      <c r="M8" s="21">
        <f>M5</f>
        <v>0</v>
      </c>
      <c r="N8" s="21">
        <f>N5</f>
        <v>6254.656132428112</v>
      </c>
      <c r="O8" s="21">
        <f>O5</f>
        <v>257.95</v>
      </c>
      <c r="P8" s="21">
        <f>P5</f>
        <v>552.93333333333339</v>
      </c>
    </row>
    <row r="9" spans="1:16">
      <c r="B9" s="19"/>
      <c r="C9" s="19"/>
      <c r="D9" s="254"/>
      <c r="E9" s="19"/>
      <c r="F9" s="19"/>
      <c r="G9" s="19"/>
      <c r="H9" s="19"/>
      <c r="I9" s="19"/>
      <c r="J9" s="19"/>
      <c r="K9" s="19"/>
      <c r="L9" s="19"/>
      <c r="M9" s="19"/>
      <c r="N9" s="19"/>
      <c r="O9" s="19"/>
      <c r="P9" s="19"/>
    </row>
    <row r="10" spans="1:16">
      <c r="A10" s="24" t="s">
        <v>207</v>
      </c>
      <c r="B10" s="25">
        <f ca="1">'EF ele_warmte'!B12</f>
        <v>0.16727289210052215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2994.8941444627308</v>
      </c>
      <c r="C12" s="23">
        <f ca="1">C10*C8</f>
        <v>0</v>
      </c>
      <c r="D12" s="23">
        <f>D8*D10</f>
        <v>5457.9460570760402</v>
      </c>
      <c r="E12" s="23">
        <f>E10*E8</f>
        <v>316.12063650439711</v>
      </c>
      <c r="F12" s="23">
        <f>F10*F8</f>
        <v>9420.3715267470543</v>
      </c>
      <c r="G12" s="23"/>
      <c r="H12" s="23"/>
      <c r="I12" s="23"/>
      <c r="J12" s="23">
        <f>J10*J8</f>
        <v>60.100145692806613</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4003</v>
      </c>
      <c r="C26" s="36"/>
      <c r="D26" s="225"/>
    </row>
    <row r="27" spans="1:5" s="15" customFormat="1">
      <c r="A27" s="227" t="s">
        <v>762</v>
      </c>
      <c r="B27" s="37">
        <f>SUM(HH_hh_gas_aantal,HH_rest_gas_aantal)</f>
        <v>1663</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1579.85</v>
      </c>
      <c r="C31" s="34" t="s">
        <v>104</v>
      </c>
      <c r="D31" s="171"/>
    </row>
    <row r="32" spans="1:5">
      <c r="A32" s="168" t="s">
        <v>72</v>
      </c>
      <c r="B32" s="33">
        <f>IF((B21*($B$26-($B$27-0.05*$B$27)-$B$60))&lt;0,0,B21*($B$26-($B$27-0.05*$B$27)-$B$60))</f>
        <v>26.336833426880585</v>
      </c>
      <c r="C32" s="34" t="s">
        <v>104</v>
      </c>
      <c r="D32" s="171"/>
    </row>
    <row r="33" spans="1:6">
      <c r="A33" s="168" t="s">
        <v>73</v>
      </c>
      <c r="B33" s="33">
        <f>IF((B22*($B$26-($B$27-0.05*$B$27)-$B$60))&lt;0,0,B22*($B$26-($B$27-0.05*$B$27)-$B$60))</f>
        <v>547.5648838085815</v>
      </c>
      <c r="C33" s="34" t="s">
        <v>104</v>
      </c>
      <c r="D33" s="171"/>
    </row>
    <row r="34" spans="1:6">
      <c r="A34" s="168" t="s">
        <v>74</v>
      </c>
      <c r="B34" s="33">
        <f>IF((B24*($B$26-($B$27-0.05*$B$27)-$B$60))&lt;0,0,B24*($B$26-($B$27-0.05*$B$27)-$B$60))</f>
        <v>108.89118981562162</v>
      </c>
      <c r="C34" s="33">
        <f>B26*C24</f>
        <v>819.39629518221295</v>
      </c>
      <c r="D34" s="230"/>
    </row>
    <row r="35" spans="1:6">
      <c r="A35" s="168" t="s">
        <v>76</v>
      </c>
      <c r="B35" s="33">
        <f>IF((B19*($B$26-($B$27-0.05*$B$27)-$B$60))&lt;0,0,B19*($B$26-($B$27-0.05*$B$27)-$B$60))</f>
        <v>19.934142985557358</v>
      </c>
      <c r="C35" s="33">
        <f>B35/2</f>
        <v>9.967071492778679</v>
      </c>
      <c r="D35" s="230"/>
    </row>
    <row r="36" spans="1:6">
      <c r="A36" s="168" t="s">
        <v>77</v>
      </c>
      <c r="B36" s="33">
        <f>IF((B18*($B$26-($B$27-0.05*$B$27)-$B$60))&lt;0,0,B18*($B$26-($B$27-0.05*$B$27)-$B$60))</f>
        <v>1691.4229499633591</v>
      </c>
      <c r="C36" s="34" t="s">
        <v>104</v>
      </c>
      <c r="D36" s="171"/>
    </row>
    <row r="37" spans="1:6">
      <c r="A37" s="168" t="s">
        <v>78</v>
      </c>
      <c r="B37" s="33">
        <f>B60</f>
        <v>29</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165</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29</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19187.033336</v>
      </c>
      <c r="C5" s="17">
        <f>IF(ISERROR('Eigen informatie GS &amp; warmtenet'!B58),0,'Eigen informatie GS &amp; warmtenet'!B58)</f>
        <v>0</v>
      </c>
      <c r="D5" s="30">
        <f>SUM(D6:D12)</f>
        <v>22736.593056232003</v>
      </c>
      <c r="E5" s="17">
        <f>SUM(E6:E12)</f>
        <v>455.54819041903079</v>
      </c>
      <c r="F5" s="17">
        <f>SUM(F6:F12)</f>
        <v>3443.8733254436352</v>
      </c>
      <c r="G5" s="18"/>
      <c r="H5" s="17"/>
      <c r="I5" s="17"/>
      <c r="J5" s="17">
        <f>SUM(J6:J12)</f>
        <v>1.5079485079740836E-2</v>
      </c>
      <c r="K5" s="17"/>
      <c r="L5" s="17"/>
      <c r="M5" s="17"/>
      <c r="N5" s="17">
        <f>SUM(N6:N12)</f>
        <v>620.1254906856451</v>
      </c>
      <c r="O5" s="17">
        <f>B38*B39*B40</f>
        <v>4.6900000000000004</v>
      </c>
      <c r="P5" s="17">
        <f>B46*B47*B48/1000-B46*B47*B48/1000/B49</f>
        <v>0</v>
      </c>
      <c r="R5" s="32"/>
    </row>
    <row r="6" spans="1:18">
      <c r="A6" s="32" t="s">
        <v>53</v>
      </c>
      <c r="B6" s="37">
        <f>B26</f>
        <v>4689.0292249999993</v>
      </c>
      <c r="C6" s="33"/>
      <c r="D6" s="37">
        <f>IF(ISERROR(TER_kantoor_gas_kWh/1000),0,TER_kantoor_gas_kWh/1000)*0.902</f>
        <v>4474.7127822320008</v>
      </c>
      <c r="E6" s="33">
        <f>$C$26*'E Balans VL '!I12/100/3.6*1000000</f>
        <v>2.9389275635612264E-2</v>
      </c>
      <c r="F6" s="33">
        <f>$C$26*('E Balans VL '!L12+'E Balans VL '!N12)/100/3.6*1000000</f>
        <v>704.63006854470427</v>
      </c>
      <c r="G6" s="34"/>
      <c r="H6" s="33"/>
      <c r="I6" s="33"/>
      <c r="J6" s="33">
        <f>$C$26*('E Balans VL '!D12+'E Balans VL '!E12)/100/3.6*1000000</f>
        <v>0</v>
      </c>
      <c r="K6" s="33"/>
      <c r="L6" s="33"/>
      <c r="M6" s="33"/>
      <c r="N6" s="33">
        <f>$C$26*'E Balans VL '!Y12/100/3.6*1000000</f>
        <v>4.4843612288330199</v>
      </c>
      <c r="O6" s="33"/>
      <c r="P6" s="33"/>
      <c r="R6" s="32"/>
    </row>
    <row r="7" spans="1:18">
      <c r="A7" s="32" t="s">
        <v>52</v>
      </c>
      <c r="B7" s="37">
        <f t="shared" ref="B7:B12" si="0">B27</f>
        <v>1150.309</v>
      </c>
      <c r="C7" s="33"/>
      <c r="D7" s="37">
        <f>IF(ISERROR(TER_horeca_gas_kWh/1000),0,TER_horeca_gas_kWh/1000)*0.902</f>
        <v>769.63059800000008</v>
      </c>
      <c r="E7" s="33">
        <f>$C$27*'E Balans VL '!I9/100/3.6*1000000</f>
        <v>16.472233275097615</v>
      </c>
      <c r="F7" s="33">
        <f>$C$27*('E Balans VL '!L9+'E Balans VL '!N9)/100/3.6*1000000</f>
        <v>145.66705805243936</v>
      </c>
      <c r="G7" s="34"/>
      <c r="H7" s="33"/>
      <c r="I7" s="33"/>
      <c r="J7" s="33">
        <f>$C$27*('E Balans VL '!D9+'E Balans VL '!E9)/100/3.6*1000000</f>
        <v>0</v>
      </c>
      <c r="K7" s="33"/>
      <c r="L7" s="33"/>
      <c r="M7" s="33"/>
      <c r="N7" s="33">
        <f>$C$27*'E Balans VL '!Y9/100/3.6*1000000</f>
        <v>0.33068847536362733</v>
      </c>
      <c r="O7" s="33"/>
      <c r="P7" s="33"/>
      <c r="R7" s="32"/>
    </row>
    <row r="8" spans="1:18">
      <c r="A8" s="6" t="s">
        <v>51</v>
      </c>
      <c r="B8" s="37">
        <f t="shared" si="0"/>
        <v>12071.250352999999</v>
      </c>
      <c r="C8" s="33"/>
      <c r="D8" s="37">
        <f>IF(ISERROR(TER_handel_gas_kWh/1000),0,TER_handel_gas_kWh/1000)*0.902</f>
        <v>14750.328589458</v>
      </c>
      <c r="E8" s="33">
        <f>$C$28*'E Balans VL '!I13/100/3.6*1000000</f>
        <v>437.82276174340626</v>
      </c>
      <c r="F8" s="33">
        <f>$C$28*('E Balans VL '!L13+'E Balans VL '!N13)/100/3.6*1000000</f>
        <v>2325.0450471687127</v>
      </c>
      <c r="G8" s="34"/>
      <c r="H8" s="33"/>
      <c r="I8" s="33"/>
      <c r="J8" s="33">
        <f>$C$28*('E Balans VL '!D13+'E Balans VL '!E13)/100/3.6*1000000</f>
        <v>0</v>
      </c>
      <c r="K8" s="33"/>
      <c r="L8" s="33"/>
      <c r="M8" s="33"/>
      <c r="N8" s="33">
        <f>$C$28*'E Balans VL '!Y13/100/3.6*1000000</f>
        <v>16.721459209739738</v>
      </c>
      <c r="O8" s="33"/>
      <c r="P8" s="33"/>
      <c r="R8" s="32"/>
    </row>
    <row r="9" spans="1:18">
      <c r="A9" s="32" t="s">
        <v>50</v>
      </c>
      <c r="B9" s="37">
        <f t="shared" si="0"/>
        <v>555.62900000000002</v>
      </c>
      <c r="C9" s="33"/>
      <c r="D9" s="37">
        <f>IF(ISERROR(TER_gezond_gas_kWh/1000),0,TER_gezond_gas_kWh/1000)*0.902</f>
        <v>1061.449986542</v>
      </c>
      <c r="E9" s="33">
        <f>$C$29*'E Balans VL '!I10/100/3.6*1000000</f>
        <v>3.4787861245299742E-2</v>
      </c>
      <c r="F9" s="33">
        <f>$C$29*('E Balans VL '!L10+'E Balans VL '!N10)/100/3.6*1000000</f>
        <v>82.540379679193236</v>
      </c>
      <c r="G9" s="34"/>
      <c r="H9" s="33"/>
      <c r="I9" s="33"/>
      <c r="J9" s="33">
        <f>$C$29*('E Balans VL '!D10+'E Balans VL '!E10)/100/3.6*1000000</f>
        <v>0</v>
      </c>
      <c r="K9" s="33"/>
      <c r="L9" s="33"/>
      <c r="M9" s="33"/>
      <c r="N9" s="33">
        <f>$C$29*'E Balans VL '!Y10/100/3.6*1000000</f>
        <v>8.5945229856155976</v>
      </c>
      <c r="O9" s="33"/>
      <c r="P9" s="33"/>
      <c r="R9" s="32"/>
    </row>
    <row r="10" spans="1:18">
      <c r="A10" s="32" t="s">
        <v>49</v>
      </c>
      <c r="B10" s="37">
        <f t="shared" si="0"/>
        <v>691.43475799999999</v>
      </c>
      <c r="C10" s="33"/>
      <c r="D10" s="37">
        <f>IF(ISERROR(TER_ander_gas_kWh/1000),0,TER_ander_gas_kWh/1000)*0.902</f>
        <v>1589.845356</v>
      </c>
      <c r="E10" s="33">
        <f>$C$30*'E Balans VL '!I14/100/3.6*1000000</f>
        <v>0.82416552383261721</v>
      </c>
      <c r="F10" s="33">
        <f>$C$30*('E Balans VL '!L14+'E Balans VL '!N14)/100/3.6*1000000</f>
        <v>180.91007146782067</v>
      </c>
      <c r="G10" s="34"/>
      <c r="H10" s="33"/>
      <c r="I10" s="33"/>
      <c r="J10" s="33">
        <f>$C$30*('E Balans VL '!D14+'E Balans VL '!E14)/100/3.6*1000000</f>
        <v>1.5008338246766697E-2</v>
      </c>
      <c r="K10" s="33"/>
      <c r="L10" s="33"/>
      <c r="M10" s="33"/>
      <c r="N10" s="33">
        <f>$C$30*'E Balans VL '!Y14/100/3.6*1000000</f>
        <v>587.14947732322605</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248</v>
      </c>
      <c r="B12" s="37">
        <f t="shared" si="0"/>
        <v>29.381</v>
      </c>
      <c r="C12" s="33"/>
      <c r="D12" s="37">
        <f>IF(ISERROR(TER_rest_gas_kWh/1000),0,TER_rest_gas_kWh/1000)*0.902</f>
        <v>90.625743999999997</v>
      </c>
      <c r="E12" s="33">
        <f>$C$32*'E Balans VL '!I8/100/3.6*1000000</f>
        <v>0.36485273981341254</v>
      </c>
      <c r="F12" s="33">
        <f>$C$32*('E Balans VL '!L8+'E Balans VL '!N8)/100/3.6*1000000</f>
        <v>5.0807005307648536</v>
      </c>
      <c r="G12" s="34"/>
      <c r="H12" s="33"/>
      <c r="I12" s="33"/>
      <c r="J12" s="33">
        <f>$C$32*('E Balans VL '!D8+'E Balans VL '!E8)/100/3.6*1000000</f>
        <v>7.1146832974139262E-5</v>
      </c>
      <c r="K12" s="33"/>
      <c r="L12" s="33"/>
      <c r="M12" s="33"/>
      <c r="N12" s="33">
        <f>$C$32*'E Balans VL '!Y8/100/3.6*1000000</f>
        <v>2.8449814628670231</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19187.033336</v>
      </c>
      <c r="C16" s="21">
        <f t="shared" ca="1" si="1"/>
        <v>0</v>
      </c>
      <c r="D16" s="21">
        <f t="shared" ca="1" si="1"/>
        <v>22736.593056232003</v>
      </c>
      <c r="E16" s="21">
        <f t="shared" si="1"/>
        <v>455.54819041903079</v>
      </c>
      <c r="F16" s="21">
        <f t="shared" ca="1" si="1"/>
        <v>3443.8733254436352</v>
      </c>
      <c r="G16" s="21">
        <f t="shared" si="1"/>
        <v>0</v>
      </c>
      <c r="H16" s="21">
        <f t="shared" si="1"/>
        <v>0</v>
      </c>
      <c r="I16" s="21">
        <f t="shared" si="1"/>
        <v>0</v>
      </c>
      <c r="J16" s="21">
        <f t="shared" si="1"/>
        <v>1.5079485079740836E-2</v>
      </c>
      <c r="K16" s="21">
        <f t="shared" si="1"/>
        <v>0</v>
      </c>
      <c r="L16" s="21">
        <f t="shared" ca="1" si="1"/>
        <v>0</v>
      </c>
      <c r="M16" s="21">
        <f t="shared" si="1"/>
        <v>0</v>
      </c>
      <c r="N16" s="21">
        <f t="shared" ca="1" si="1"/>
        <v>620.1254906856451</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0.16727289210052215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3209.4705569418497</v>
      </c>
      <c r="C20" s="23">
        <f t="shared" ref="C20:P20" ca="1" si="2">C16*C18</f>
        <v>0</v>
      </c>
      <c r="D20" s="23">
        <f t="shared" ca="1" si="2"/>
        <v>4592.7917973588646</v>
      </c>
      <c r="E20" s="23">
        <f t="shared" si="2"/>
        <v>103.40943922512</v>
      </c>
      <c r="F20" s="23">
        <f t="shared" ca="1" si="2"/>
        <v>919.51417789345066</v>
      </c>
      <c r="G20" s="23">
        <f t="shared" si="2"/>
        <v>0</v>
      </c>
      <c r="H20" s="23">
        <f t="shared" si="2"/>
        <v>0</v>
      </c>
      <c r="I20" s="23">
        <f t="shared" si="2"/>
        <v>0</v>
      </c>
      <c r="J20" s="23">
        <f t="shared" si="2"/>
        <v>5.3381377182282553E-3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4689.0292249999993</v>
      </c>
      <c r="C26" s="39">
        <f>IF(ISERROR(B26*3.6/1000000/'E Balans VL '!Z12*100),0,B26*3.6/1000000/'E Balans VL '!Z12*100)</f>
        <v>9.9118649794208577E-2</v>
      </c>
      <c r="D26" s="233" t="s">
        <v>726</v>
      </c>
      <c r="F26" s="6"/>
    </row>
    <row r="27" spans="1:18">
      <c r="A27" s="228" t="s">
        <v>52</v>
      </c>
      <c r="B27" s="33">
        <f>IF(ISERROR(TER_horeca_ele_kWh/1000),0,TER_horeca_ele_kWh/1000)</f>
        <v>1150.309</v>
      </c>
      <c r="C27" s="39">
        <f>IF(ISERROR(B27*3.6/1000000/'E Balans VL '!Z9*100),0,B27*3.6/1000000/'E Balans VL '!Z9*100)</f>
        <v>9.0678429727947624E-2</v>
      </c>
      <c r="D27" s="233" t="s">
        <v>726</v>
      </c>
      <c r="F27" s="6"/>
    </row>
    <row r="28" spans="1:18">
      <c r="A28" s="168" t="s">
        <v>51</v>
      </c>
      <c r="B28" s="33">
        <f>IF(ISERROR(TER_handel_ele_kWh/1000),0,TER_handel_ele_kWh/1000)</f>
        <v>12071.250352999999</v>
      </c>
      <c r="C28" s="39">
        <f>IF(ISERROR(B28*3.6/1000000/'E Balans VL '!Z13*100),0,B28*3.6/1000000/'E Balans VL '!Z13*100)</f>
        <v>0.35035645856083397</v>
      </c>
      <c r="D28" s="233" t="s">
        <v>726</v>
      </c>
      <c r="F28" s="6"/>
    </row>
    <row r="29" spans="1:18">
      <c r="A29" s="228" t="s">
        <v>50</v>
      </c>
      <c r="B29" s="33">
        <f>IF(ISERROR(TER_gezond_ele_kWh/1000),0,TER_gezond_ele_kWh/1000)</f>
        <v>555.62900000000002</v>
      </c>
      <c r="C29" s="39">
        <f>IF(ISERROR(B29*3.6/1000000/'E Balans VL '!Z10*100),0,B29*3.6/1000000/'E Balans VL '!Z10*100)</f>
        <v>5.8516857369009592E-2</v>
      </c>
      <c r="D29" s="233" t="s">
        <v>726</v>
      </c>
      <c r="F29" s="6"/>
    </row>
    <row r="30" spans="1:18">
      <c r="A30" s="228" t="s">
        <v>49</v>
      </c>
      <c r="B30" s="33">
        <f>IF(ISERROR(TER_ander_ele_kWh/1000),0,TER_ander_ele_kWh/1000)</f>
        <v>691.43475799999999</v>
      </c>
      <c r="C30" s="39">
        <f>IF(ISERROR(B30*3.6/1000000/'E Balans VL '!Z14*100),0,B30*3.6/1000000/'E Balans VL '!Z14*100)</f>
        <v>5.1000377928962393E-2</v>
      </c>
      <c r="D30" s="233" t="s">
        <v>726</v>
      </c>
      <c r="F30" s="6"/>
    </row>
    <row r="31" spans="1:18">
      <c r="A31" s="228" t="s">
        <v>54</v>
      </c>
      <c r="B31" s="33">
        <f>IF(ISERROR(TER_onderwijs_ele_kWh/1000),0,TER_onderwijs_ele_kWh/1000)</f>
        <v>0</v>
      </c>
      <c r="C31" s="39">
        <f>IF(ISERROR(B31*3.6/1000000/'E Balans VL '!Z11*100),0,B31*3.6/1000000/'E Balans VL '!Z11*100)</f>
        <v>0</v>
      </c>
      <c r="D31" s="233" t="s">
        <v>726</v>
      </c>
    </row>
    <row r="32" spans="1:18">
      <c r="A32" s="228" t="s">
        <v>248</v>
      </c>
      <c r="B32" s="33">
        <f>IF(ISERROR(TER_rest_ele_kWh/1000),0,TER_rest_ele_kWh/1000)</f>
        <v>29.381</v>
      </c>
      <c r="C32" s="39">
        <f>IF(ISERROR(B32*3.6/1000000/'E Balans VL '!Z8*100),0,B32*3.6/1000000/'E Balans VL '!Z8*100)</f>
        <v>2.4176663068688306E-4</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3</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0</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12728.914516000001</v>
      </c>
      <c r="C5" s="17">
        <f>IF(ISERROR('Eigen informatie GS &amp; warmtenet'!B59),0,'Eigen informatie GS &amp; warmtenet'!B59)</f>
        <v>0</v>
      </c>
      <c r="D5" s="30">
        <f>SUM(D6:D15)</f>
        <v>10209.412442041999</v>
      </c>
      <c r="E5" s="17">
        <f>SUM(E6:E15)</f>
        <v>1049.7086101639063</v>
      </c>
      <c r="F5" s="17">
        <f>SUM(F6:F15)</f>
        <v>4743.2215657420875</v>
      </c>
      <c r="G5" s="18"/>
      <c r="H5" s="17"/>
      <c r="I5" s="17"/>
      <c r="J5" s="17">
        <f>SUM(J6:J15)</f>
        <v>12.161240402889787</v>
      </c>
      <c r="K5" s="17"/>
      <c r="L5" s="17"/>
      <c r="M5" s="17"/>
      <c r="N5" s="17">
        <f>SUM(N6:N15)</f>
        <v>1649.510727282968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2935.0131820000001</v>
      </c>
      <c r="C8" s="33"/>
      <c r="D8" s="37">
        <f>IF( ISERROR(IND_metaal_Gas_kWH/1000),0,IND_metaal_Gas_kWH/1000)*0.902</f>
        <v>3300.7815059999998</v>
      </c>
      <c r="E8" s="33">
        <f>C30*'E Balans VL '!I18/100/3.6*1000000</f>
        <v>26.984611545801105</v>
      </c>
      <c r="F8" s="33">
        <f>C30*'E Balans VL '!L18/100/3.6*1000000+C30*'E Balans VL '!N18/100/3.6*1000000</f>
        <v>275.20651999146116</v>
      </c>
      <c r="G8" s="34"/>
      <c r="H8" s="33"/>
      <c r="I8" s="33"/>
      <c r="J8" s="40">
        <f>C30*'E Balans VL '!D18/100/3.6*1000000+C30*'E Balans VL '!E18/100/3.6*1000000</f>
        <v>0</v>
      </c>
      <c r="K8" s="33"/>
      <c r="L8" s="33"/>
      <c r="M8" s="33"/>
      <c r="N8" s="33">
        <f>C30*'E Balans VL '!Y18/100/3.6*1000000</f>
        <v>41.87281335476505</v>
      </c>
      <c r="O8" s="33"/>
      <c r="P8" s="33"/>
      <c r="R8" s="32"/>
    </row>
    <row r="9" spans="1:18">
      <c r="A9" s="6" t="s">
        <v>32</v>
      </c>
      <c r="B9" s="37">
        <f t="shared" si="0"/>
        <v>2778.3921869999999</v>
      </c>
      <c r="C9" s="33"/>
      <c r="D9" s="37">
        <f>IF( ISERROR(IND_andere_gas_kWh/1000),0,IND_andere_gas_kWh/1000)*0.902</f>
        <v>2331.9009120000001</v>
      </c>
      <c r="E9" s="33">
        <f>C31*'E Balans VL '!I19/100/3.6*1000000</f>
        <v>812.1781251762302</v>
      </c>
      <c r="F9" s="33">
        <f>C31*'E Balans VL '!L19/100/3.6*1000000+C31*'E Balans VL '!N19/100/3.6*1000000</f>
        <v>2232.6484272189905</v>
      </c>
      <c r="G9" s="34"/>
      <c r="H9" s="33"/>
      <c r="I9" s="33"/>
      <c r="J9" s="40">
        <f>C31*'E Balans VL '!D19/100/3.6*1000000+C31*'E Balans VL '!E19/100/3.6*1000000</f>
        <v>0</v>
      </c>
      <c r="K9" s="33"/>
      <c r="L9" s="33"/>
      <c r="M9" s="33"/>
      <c r="N9" s="33">
        <f>C31*'E Balans VL '!Y19/100/3.6*1000000</f>
        <v>217.93330962250258</v>
      </c>
      <c r="O9" s="33"/>
      <c r="P9" s="33"/>
      <c r="R9" s="32"/>
    </row>
    <row r="10" spans="1:18">
      <c r="A10" s="6" t="s">
        <v>40</v>
      </c>
      <c r="B10" s="37">
        <f t="shared" si="0"/>
        <v>105.273</v>
      </c>
      <c r="C10" s="33"/>
      <c r="D10" s="37">
        <f>IF( ISERROR(IND_voed_gas_kWh/1000),0,IND_voed_gas_kWh/1000)*0.902</f>
        <v>0</v>
      </c>
      <c r="E10" s="33">
        <f>C32*'E Balans VL '!I20/100/3.6*1000000</f>
        <v>0.2227066637771975</v>
      </c>
      <c r="F10" s="33">
        <f>C32*'E Balans VL '!L20/100/3.6*1000000+C32*'E Balans VL '!N20/100/3.6*1000000</f>
        <v>6.6933648732161366</v>
      </c>
      <c r="G10" s="34"/>
      <c r="H10" s="33"/>
      <c r="I10" s="33"/>
      <c r="J10" s="40">
        <f>C32*'E Balans VL '!D20/100/3.6*1000000+C32*'E Balans VL '!E20/100/3.6*1000000</f>
        <v>0</v>
      </c>
      <c r="K10" s="33"/>
      <c r="L10" s="33"/>
      <c r="M10" s="33"/>
      <c r="N10" s="33">
        <f>C32*'E Balans VL '!Y20/100/3.6*1000000</f>
        <v>7.264875859348094</v>
      </c>
      <c r="O10" s="33"/>
      <c r="P10" s="33"/>
      <c r="R10" s="32"/>
    </row>
    <row r="11" spans="1:18">
      <c r="A11" s="6" t="s">
        <v>39</v>
      </c>
      <c r="B11" s="37">
        <f t="shared" si="0"/>
        <v>236.09682100000001</v>
      </c>
      <c r="C11" s="33"/>
      <c r="D11" s="37">
        <f>IF( ISERROR(IND_textiel_gas_kWh/1000),0,IND_textiel_gas_kWh/1000)*0.902</f>
        <v>619.83365400000002</v>
      </c>
      <c r="E11" s="33">
        <f>C33*'E Balans VL '!I21/100/3.6*1000000</f>
        <v>0.70118720291084402</v>
      </c>
      <c r="F11" s="33">
        <f>C33*'E Balans VL '!L21/100/3.6*1000000+C33*'E Balans VL '!N21/100/3.6*1000000</f>
        <v>23.852260750655674</v>
      </c>
      <c r="G11" s="34"/>
      <c r="H11" s="33"/>
      <c r="I11" s="33"/>
      <c r="J11" s="40">
        <f>C33*'E Balans VL '!D21/100/3.6*1000000+C33*'E Balans VL '!E21/100/3.6*1000000</f>
        <v>0</v>
      </c>
      <c r="K11" s="33"/>
      <c r="L11" s="33"/>
      <c r="M11" s="33"/>
      <c r="N11" s="33">
        <f>C33*'E Balans VL '!Y21/100/3.6*1000000</f>
        <v>13.021493146743412</v>
      </c>
      <c r="O11" s="33"/>
      <c r="P11" s="33"/>
      <c r="R11" s="32"/>
    </row>
    <row r="12" spans="1:18">
      <c r="A12" s="6" t="s">
        <v>36</v>
      </c>
      <c r="B12" s="37">
        <f t="shared" si="0"/>
        <v>6057.8173260000003</v>
      </c>
      <c r="C12" s="33"/>
      <c r="D12" s="37">
        <f>IF( ISERROR(IND_min_gas_kWh/1000),0,IND_min_gas_kWh/1000)*0.902</f>
        <v>3690.5132200420003</v>
      </c>
      <c r="E12" s="33">
        <f>C34*'E Balans VL '!I22/100/3.6*1000000</f>
        <v>175.59118022362446</v>
      </c>
      <c r="F12" s="33">
        <f>C34*'E Balans VL '!L22/100/3.6*1000000+C34*'E Balans VL '!N22/100/3.6*1000000</f>
        <v>2082.7460515402445</v>
      </c>
      <c r="G12" s="34"/>
      <c r="H12" s="33"/>
      <c r="I12" s="33"/>
      <c r="J12" s="40">
        <f>C34*'E Balans VL '!D22/100/3.6*1000000+C34*'E Balans VL '!E22/100/3.6*1000000</f>
        <v>9.9548193626395225</v>
      </c>
      <c r="K12" s="33"/>
      <c r="L12" s="33"/>
      <c r="M12" s="33"/>
      <c r="N12" s="33">
        <f>C34*'E Balans VL '!Y22/100/3.6*1000000</f>
        <v>1326.1557625380674</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616.322</v>
      </c>
      <c r="C15" s="33"/>
      <c r="D15" s="37">
        <f>IF( ISERROR(IND_rest_gas_kWh/1000),0,IND_rest_gas_kWh/1000)*0.902</f>
        <v>266.38315</v>
      </c>
      <c r="E15" s="33">
        <f>C37*'E Balans VL '!I15/100/3.6*1000000</f>
        <v>34.030799351562266</v>
      </c>
      <c r="F15" s="33">
        <f>C37*'E Balans VL '!L15/100/3.6*1000000+C37*'E Balans VL '!N15/100/3.6*1000000</f>
        <v>122.07494136752004</v>
      </c>
      <c r="G15" s="34"/>
      <c r="H15" s="33"/>
      <c r="I15" s="33"/>
      <c r="J15" s="40">
        <f>C37*'E Balans VL '!D15/100/3.6*1000000+C37*'E Balans VL '!E15/100/3.6*1000000</f>
        <v>2.2064210402502642</v>
      </c>
      <c r="K15" s="33"/>
      <c r="L15" s="33"/>
      <c r="M15" s="33"/>
      <c r="N15" s="33">
        <f>C37*'E Balans VL '!Y15/100/3.6*1000000</f>
        <v>43.26247276154141</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12728.914516000001</v>
      </c>
      <c r="C18" s="21">
        <f>C5+C16</f>
        <v>0</v>
      </c>
      <c r="D18" s="21">
        <f>MAX((D5+D16),0)</f>
        <v>10209.412442041999</v>
      </c>
      <c r="E18" s="21">
        <f>MAX((E5+E16),0)</f>
        <v>1049.7086101639063</v>
      </c>
      <c r="F18" s="21">
        <f>MAX((F5+F16),0)</f>
        <v>4743.2215657420875</v>
      </c>
      <c r="G18" s="21"/>
      <c r="H18" s="21"/>
      <c r="I18" s="21"/>
      <c r="J18" s="21">
        <f>MAX((J5+J16),0)</f>
        <v>12.161240402889787</v>
      </c>
      <c r="K18" s="21"/>
      <c r="L18" s="21">
        <f>MAX((L5+L16),0)</f>
        <v>0</v>
      </c>
      <c r="M18" s="21"/>
      <c r="N18" s="21">
        <f>MAX((N5+N16),0)</f>
        <v>1649.510727282968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0.16727289210052215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2129.2023443916382</v>
      </c>
      <c r="C22" s="23">
        <f ca="1">C18*C20</f>
        <v>0</v>
      </c>
      <c r="D22" s="23">
        <f>D18*D20</f>
        <v>2062.3013132924839</v>
      </c>
      <c r="E22" s="23">
        <f>E18*E20</f>
        <v>238.28385450720674</v>
      </c>
      <c r="F22" s="23">
        <f>F18*F20</f>
        <v>1266.4401580531373</v>
      </c>
      <c r="G22" s="23"/>
      <c r="H22" s="23"/>
      <c r="I22" s="23"/>
      <c r="J22" s="23">
        <f>J18*J20</f>
        <v>4.305079102622984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2935.0131820000001</v>
      </c>
      <c r="C30" s="39">
        <f>IF(ISERROR(B30*3.6/1000000/'E Balans VL '!Z18*100),0,B30*3.6/1000000/'E Balans VL '!Z18*100)</f>
        <v>0.16633472288996673</v>
      </c>
      <c r="D30" s="233" t="s">
        <v>726</v>
      </c>
    </row>
    <row r="31" spans="1:18">
      <c r="A31" s="6" t="s">
        <v>32</v>
      </c>
      <c r="B31" s="37">
        <f>IF( ISERROR(IND_ander_ele_kWh/1000),0,IND_ander_ele_kWh/1000)</f>
        <v>2778.3921869999999</v>
      </c>
      <c r="C31" s="39">
        <f>IF(ISERROR(B31*3.6/1000000/'E Balans VL '!Z19*100),0,B31*3.6/1000000/'E Balans VL '!Z19*100)</f>
        <v>0.12601630057860866</v>
      </c>
      <c r="D31" s="233" t="s">
        <v>726</v>
      </c>
    </row>
    <row r="32" spans="1:18">
      <c r="A32" s="168" t="s">
        <v>40</v>
      </c>
      <c r="B32" s="37">
        <f>IF( ISERROR(IND_voed_ele_kWh/1000),0,IND_voed_ele_kWh/1000)</f>
        <v>105.273</v>
      </c>
      <c r="C32" s="39">
        <f>IF(ISERROR(B32*3.6/1000000/'E Balans VL '!Z20*100),0,B32*3.6/1000000/'E Balans VL '!Z20*100)</f>
        <v>3.2565717890683564E-3</v>
      </c>
      <c r="D32" s="233" t="s">
        <v>726</v>
      </c>
    </row>
    <row r="33" spans="1:5">
      <c r="A33" s="168" t="s">
        <v>39</v>
      </c>
      <c r="B33" s="37">
        <f>IF( ISERROR(IND_textiel_ele_kWh/1000),0,IND_textiel_ele_kWh/1000)</f>
        <v>236.09682100000001</v>
      </c>
      <c r="C33" s="39">
        <f>IF(ISERROR(B33*3.6/1000000/'E Balans VL '!Z21*100),0,B33*3.6/1000000/'E Balans VL '!Z21*100)</f>
        <v>3.0784401108602335E-2</v>
      </c>
      <c r="D33" s="233" t="s">
        <v>726</v>
      </c>
    </row>
    <row r="34" spans="1:5">
      <c r="A34" s="168" t="s">
        <v>36</v>
      </c>
      <c r="B34" s="37">
        <f>IF( ISERROR(IND_min_ele_kWh/1000),0,IND_min_ele_kWh/1000)</f>
        <v>6057.8173260000003</v>
      </c>
      <c r="C34" s="39">
        <f>IF(ISERROR(B34*3.6/1000000/'E Balans VL '!Z22*100),0,B34*3.6/1000000/'E Balans VL '!Z22*100)</f>
        <v>1.0896123352235461</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616.322</v>
      </c>
      <c r="C37" s="39">
        <f>IF(ISERROR(B37*3.6/1000000/'E Balans VL '!Z15*100),0,B37*3.6/1000000/'E Balans VL '!Z15*100)</f>
        <v>4.885108765402298E-3</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288.18099999999998</v>
      </c>
      <c r="C5" s="17">
        <f>'Eigen informatie GS &amp; warmtenet'!B60</f>
        <v>0</v>
      </c>
      <c r="D5" s="30">
        <f>IF(ISERROR(SUM(LB_lb_gas_kWh,LB_rest_gas_kWh)/1000),0,SUM(LB_lb_gas_kWh,LB_rest_gas_kWh)/1000)*0.902</f>
        <v>15.290704000000002</v>
      </c>
      <c r="E5" s="17">
        <f>B17*'E Balans VL '!I25/3.6*1000000/100</f>
        <v>8.4705197963687393</v>
      </c>
      <c r="F5" s="17">
        <f>B17*('E Balans VL '!L25/3.6*1000000+'E Balans VL '!N25/3.6*1000000)/100</f>
        <v>1200.5464735161233</v>
      </c>
      <c r="G5" s="18"/>
      <c r="H5" s="17"/>
      <c r="I5" s="17"/>
      <c r="J5" s="17">
        <f>('E Balans VL '!D25+'E Balans VL '!E25)/3.6*1000000*landbouw!B17/100</f>
        <v>41.751238142182984</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288.18099999999998</v>
      </c>
      <c r="C8" s="21">
        <f>C5+C6</f>
        <v>0</v>
      </c>
      <c r="D8" s="21">
        <f>MAX((D5+D6),0)</f>
        <v>15.290704000000002</v>
      </c>
      <c r="E8" s="21">
        <f>MAX((E5+E6),0)</f>
        <v>8.4705197963687393</v>
      </c>
      <c r="F8" s="21">
        <f>MAX((F5+F6),0)</f>
        <v>1200.5464735161233</v>
      </c>
      <c r="G8" s="21"/>
      <c r="H8" s="21"/>
      <c r="I8" s="21"/>
      <c r="J8" s="21">
        <f>MAX((J5+J6),0)</f>
        <v>41.751238142182984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0.16727289210052215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48.20486931842057</v>
      </c>
      <c r="C12" s="23">
        <f ca="1">C8*C10</f>
        <v>0</v>
      </c>
      <c r="D12" s="23">
        <f>D8*D10</f>
        <v>3.0887222080000005</v>
      </c>
      <c r="E12" s="23">
        <f>E8*E10</f>
        <v>1.9228079937757039</v>
      </c>
      <c r="F12" s="23">
        <f>F8*F10</f>
        <v>320.54590842880498</v>
      </c>
      <c r="G12" s="23"/>
      <c r="H12" s="23"/>
      <c r="I12" s="23"/>
      <c r="J12" s="23">
        <f>J8*J10</f>
        <v>14.779938302332775</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4.089378804031403E-2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47.737287545727064</v>
      </c>
      <c r="C26" s="243">
        <f>B26*'GWP N2O_CH4'!B5</f>
        <v>1002.4830384602683</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13.189989626141852</v>
      </c>
      <c r="C27" s="243">
        <f>B27*'GWP N2O_CH4'!B5</f>
        <v>276.98978214897886</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0.57625786059177142</v>
      </c>
      <c r="C28" s="243">
        <f>B28*'GWP N2O_CH4'!B4</f>
        <v>178.63993678344914</v>
      </c>
      <c r="D28" s="50"/>
    </row>
    <row r="29" spans="1:4">
      <c r="A29" s="41" t="s">
        <v>265</v>
      </c>
      <c r="B29" s="243">
        <f>B34*'ha_N2O bodem landbouw'!B4</f>
        <v>3.3483064893424572</v>
      </c>
      <c r="C29" s="243">
        <f>B29*'GWP N2O_CH4'!B4</f>
        <v>1037.9750116961618</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7.6407200209045994E-4</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1.1391501431511648E-4</v>
      </c>
      <c r="C5" s="429" t="s">
        <v>204</v>
      </c>
      <c r="D5" s="414">
        <f>SUM(D6:D11)</f>
        <v>2.1779646871344086E-4</v>
      </c>
      <c r="E5" s="414">
        <f>SUM(E6:E11)</f>
        <v>3.7380200654891062E-4</v>
      </c>
      <c r="F5" s="427" t="s">
        <v>204</v>
      </c>
      <c r="G5" s="414">
        <f>SUM(G6:G11)</f>
        <v>0.1362914921443111</v>
      </c>
      <c r="H5" s="414">
        <f>SUM(H6:H11)</f>
        <v>3.4769444580142965E-2</v>
      </c>
      <c r="I5" s="429" t="s">
        <v>204</v>
      </c>
      <c r="J5" s="429" t="s">
        <v>204</v>
      </c>
      <c r="K5" s="429" t="s">
        <v>204</v>
      </c>
      <c r="L5" s="429" t="s">
        <v>204</v>
      </c>
      <c r="M5" s="414">
        <f>SUM(M6:M11)</f>
        <v>8.9865225457966946E-3</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5.4519503997518454E-5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9.1656873436758973E-5</v>
      </c>
      <c r="E6" s="857">
        <f>vkm_GW_PW*SUMIFS(TableVerdeelsleutelVkm[LPG],TableVerdeelsleutelVkm[Voertuigtype],"Lichte voertuigen")*SUMIFS(TableECFTransport[EnergieConsumptieFactor (PJ per km)],TableECFTransport[Index],CONCATENATE($A6,"_LPG_LPG"))</f>
        <v>1.6127105401804481E-4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4.7848654791157755E-2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1.4808414701555181E-2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3.2315506685389813E-3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7.080150858207147E-7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2.274174093364837E-2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3.7104484635656166E-7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1.328698582592225E-3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5.8516144106805407E-5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1.2613959527668189E-4</v>
      </c>
      <c r="E8" s="417">
        <f>vkm_NGW_PW*SUMIFS(TableVerdeelsleutelVkm[LPG],TableVerdeelsleutelVkm[Voertuigtype],"Lichte voertuigen")*SUMIFS(TableECFTransport[EnergieConsumptieFactor (PJ per km)],TableECFTransport[Index],CONCATENATE($A8,"_LPG_LPG"))</f>
        <v>2.1253095253086579E-4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5.8639266996528355E-2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1.9960550444220005E-2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4.0136822709541569E-3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1.7135112497191359E-7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7.0618294229766116E-3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1.0838952141769749E-7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4.1259102371133061E-4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31.6430595319768</v>
      </c>
      <c r="C14" s="21"/>
      <c r="D14" s="21">
        <f t="shared" ref="D14:M14" si="0">((D5)*10^9/3600)+D12</f>
        <v>60.499019087066912</v>
      </c>
      <c r="E14" s="21">
        <f t="shared" si="0"/>
        <v>103.83389070803074</v>
      </c>
      <c r="F14" s="21"/>
      <c r="G14" s="21">
        <f t="shared" si="0"/>
        <v>37858.747817864198</v>
      </c>
      <c r="H14" s="21">
        <f t="shared" si="0"/>
        <v>9658.1790500397128</v>
      </c>
      <c r="I14" s="21"/>
      <c r="J14" s="21"/>
      <c r="K14" s="21"/>
      <c r="L14" s="21"/>
      <c r="M14" s="21">
        <f t="shared" si="0"/>
        <v>2496.2562627213038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0.16727289210052215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5.2930260828227542</v>
      </c>
      <c r="C18" s="23"/>
      <c r="D18" s="23">
        <f t="shared" ref="D18:M18" si="1">D14*D16</f>
        <v>12.220801855587517</v>
      </c>
      <c r="E18" s="23">
        <f t="shared" si="1"/>
        <v>23.570293190722978</v>
      </c>
      <c r="F18" s="23"/>
      <c r="G18" s="23">
        <f t="shared" si="1"/>
        <v>10108.285667369741</v>
      </c>
      <c r="H18" s="23">
        <f t="shared" si="1"/>
        <v>2404.8865834598887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4.1337676752391547E-5</v>
      </c>
      <c r="C50" s="313">
        <f t="shared" ref="C50:P50" si="2">SUM(C51:C52)</f>
        <v>0</v>
      </c>
      <c r="D50" s="313">
        <f t="shared" si="2"/>
        <v>0</v>
      </c>
      <c r="E50" s="313">
        <f t="shared" si="2"/>
        <v>0</v>
      </c>
      <c r="F50" s="313">
        <f t="shared" si="2"/>
        <v>0</v>
      </c>
      <c r="G50" s="313">
        <f t="shared" si="2"/>
        <v>3.8832644174002133E-3</v>
      </c>
      <c r="H50" s="313">
        <f t="shared" si="2"/>
        <v>0</v>
      </c>
      <c r="I50" s="313">
        <f t="shared" si="2"/>
        <v>0</v>
      </c>
      <c r="J50" s="313">
        <f t="shared" si="2"/>
        <v>0</v>
      </c>
      <c r="K50" s="313">
        <f t="shared" si="2"/>
        <v>0</v>
      </c>
      <c r="L50" s="313">
        <f t="shared" si="2"/>
        <v>0</v>
      </c>
      <c r="M50" s="313">
        <f t="shared" si="2"/>
        <v>2.2362553823443196E-4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4.1337676752391547E-5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3.8832644174002133E-3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2.2362553823443196E-4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11.48268798677543</v>
      </c>
      <c r="C54" s="21">
        <f t="shared" ref="C54:P54" si="3">(C50)*10^9/3600</f>
        <v>0</v>
      </c>
      <c r="D54" s="21">
        <f t="shared" si="3"/>
        <v>0</v>
      </c>
      <c r="E54" s="21">
        <f t="shared" si="3"/>
        <v>0</v>
      </c>
      <c r="F54" s="21">
        <f t="shared" si="3"/>
        <v>0</v>
      </c>
      <c r="G54" s="21">
        <f t="shared" si="3"/>
        <v>1078.6845603889483</v>
      </c>
      <c r="H54" s="21">
        <f t="shared" si="3"/>
        <v>0</v>
      </c>
      <c r="I54" s="21">
        <f t="shared" si="3"/>
        <v>0</v>
      </c>
      <c r="J54" s="21">
        <f t="shared" si="3"/>
        <v>0</v>
      </c>
      <c r="K54" s="21">
        <f t="shared" si="3"/>
        <v>0</v>
      </c>
      <c r="L54" s="21">
        <f t="shared" si="3"/>
        <v>0</v>
      </c>
      <c r="M54" s="21">
        <f t="shared" si="3"/>
        <v>62.118205065119987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0.16727289210052215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1.9207424286358483</v>
      </c>
      <c r="C58" s="23">
        <f t="shared" ref="C58:P58" ca="1" si="4">C54*C56</f>
        <v>0</v>
      </c>
      <c r="D58" s="23">
        <f t="shared" si="4"/>
        <v>0</v>
      </c>
      <c r="E58" s="23">
        <f t="shared" si="4"/>
        <v>0</v>
      </c>
      <c r="F58" s="23">
        <f t="shared" si="4"/>
        <v>0</v>
      </c>
      <c r="G58" s="23">
        <f t="shared" si="4"/>
        <v>288.0087776238492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12467.590704759932</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12467.590704759932</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2021-11-11T12:52:51Z</dcterms:modified>
</cp:coreProperties>
</file>