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8FC888EE-85EF-4EBA-B699-C385A3E748A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D6" i="22" l="1"/>
  <c r="A3" i="23"/>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<sst xmlns="http://schemas.openxmlformats.org/spreadsheetml/2006/main" count="2464" uniqueCount="896">
  <si>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</si>
  <si>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</si>
  <si>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</si>
  <si>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</si>
  <si>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</si>
  <si>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</si>
  <si>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</si>
  <si>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</si>
  <si>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</si>
  <si>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</si>
  <si>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</si>
  <si>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</si>
  <si>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</si>
  <si>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</si>
  <si>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</si>
  <si>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</si>
  <si>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</si>
  <si>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</si>
  <si>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</si>
  <si>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</si>
  <si>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</si>
  <si>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</si>
  <si>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</si>
  <si>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</si>
  <si>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</si>
  <si>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</si>
  <si>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</si>
  <si>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</si>
  <si>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</si>
  <si>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</si>
  <si>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</si>
  <si>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</si>
  <si>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</si>
  <si>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</si>
  <si>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</si>
  <si>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</si>
  <si>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</si>
  <si>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</si>
  <si>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</si>
  <si>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</si>
  <si>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</si>
  <si>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</si>
  <si>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</si>
  <si>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</si>
  <si>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</si>
  <si>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</si>
  <si>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</si>
  <si>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</si>
  <si>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</si>
  <si>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</si>
  <si>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</si>
  <si>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</si>
  <si>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</si>
  <si>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</si>
  <si>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</si>
  <si>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</si>
  <si>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</si>
  <si>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</si>
  <si>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</si>
  <si>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</si>
  <si>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</si>
  <si>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</si>
  <si>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</si>
  <si>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</si>
  <si>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</si>
  <si>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</si>
  <si>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</si>
  <si>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</si>
  <si>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</si>
  <si>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</si>
  <si>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</si>
  <si>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</si>
  <si>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</si>
  <si>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</si>
  <si>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</si>
  <si>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</si>
  <si>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</si>
  <si>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</si>
  <si>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</si>
  <si>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</si>
  <si>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</si>
  <si>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</si>
  <si>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</si>
  <si>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</si>
  <si>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</si>
  <si>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</si>
  <si>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</si>
  <si>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</si>
  <si>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</si>
  <si>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</si>
  <si>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</si>
  <si>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</si>
  <si>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</si>
  <si>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</si>
  <si>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</si>
  <si>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</si>
  <si>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</si>
  <si>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</si>
  <si>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</si>
  <si>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</si>
  <si>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</si>
  <si>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</si>
  <si>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</si>
  <si>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</si>
  <si>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</si>
  <si>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</si>
  <si>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</si>
  <si>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</si>
  <si>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</si>
  <si>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</si>
  <si>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</si>
  <si>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</si>
  <si>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</si>
  <si>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</si>
  <si>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</si>
  <si>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</si>
  <si>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</si>
  <si>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</si>
  <si>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</si>
  <si>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</si>
  <si>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</si>
  <si>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</si>
  <si>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</si>
  <si>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</si>
  <si>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</si>
  <si>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</si>
  <si>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</si>
  <si>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</si>
  <si>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</si>
  <si>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</si>
  <si>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</si>
  <si>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</si>
  <si>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</si>
  <si>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</si>
  <si>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</si>
  <si>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</si>
  <si>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</si>
  <si>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</si>
  <si>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</si>
  <si>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</si>
  <si>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</si>
  <si>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</si>
  <si>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</si>
  <si>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</si>
  <si>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</si>
  <si>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</si>
  <si>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</si>
  <si>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</si>
  <si>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</si>
  <si>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</si>
  <si>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</si>
  <si>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</si>
  <si>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</si>
  <si>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</si>
  <si>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</si>
  <si>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</si>
  <si>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</si>
  <si>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</si>
  <si>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</si>
  <si>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</si>
  <si>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</si>
  <si>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</si>
  <si>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</si>
  <si>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</si>
  <si>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</si>
  <si>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</si>
  <si>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</si>
  <si>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</si>
  <si>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</si>
  <si>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</si>
  <si>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</si>
  <si>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</si>
  <si>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</si>
  <si>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</si>
  <si>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</si>
  <si>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</si>
  <si>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</si>
  <si>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</si>
  <si>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</si>
  <si>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</si>
  <si>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</si>
  <si>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</si>
  <si>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</si>
  <si>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</si>
  <si>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</si>
  <si>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</si>
  <si>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</si>
  <si>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</si>
  <si>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</si>
  <si>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</si>
  <si>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</si>
  <si>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</si>
  <si>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</si>
  <si>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</si>
  <si>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</si>
  <si>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</si>
  <si>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</si>
  <si>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</si>
  <si>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</si>
  <si>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</si>
  <si>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</si>
  <si>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</si>
  <si>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</si>
  <si>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</si>
  <si>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</si>
  <si>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</si>
  <si>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</si>
  <si>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</si>
  <si>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</si>
  <si>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</si>
  <si>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</si>
  <si>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</si>
  <si>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</si>
  <si>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</si>
  <si>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</si>
  <si>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</si>
  <si>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</si>
  <si>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</si>
  <si>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</si>
  <si>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</si>
  <si>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</si>
  <si>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</si>
  <si>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</si>
  <si>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</si>
  <si>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</si>
  <si>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</si>
  <si>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</si>
  <si>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</si>
  <si>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</si>
  <si>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</si>
  <si>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</si>
  <si>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</si>
  <si>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</si>
  <si>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</si>
  <si>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</si>
  <si>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</si>
  <si>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</si>
  <si>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</si>
  <si>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</si>
  <si>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</si>
  <si>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</si>
  <si>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</si>
  <si>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</si>
  <si>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</si>
  <si>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</si>
  <si>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</si>
  <si>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</si>
  <si>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</si>
  <si>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</si>
  <si>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</si>
  <si>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</si>
  <si>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</si>
  <si>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</si>
  <si>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</si>
  <si>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</si>
  <si>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</si>
  <si>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</si>
  <si>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</si>
  <si>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</si>
  <si>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</si>
  <si>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</si>
  <si>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</si>
  <si>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</si>
  <si>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</si>
  <si>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</si>
  <si>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</si>
  <si>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</si>
  <si>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</si>
  <si>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</si>
  <si>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</si>
  <si>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</si>
  <si>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</si>
  <si>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</si>
  <si>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</si>
  <si>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</si>
  <si>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</si>
  <si>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</si>
  <si>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</si>
  <si>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</si>
  <si>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</si>
  <si>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</si>
  <si>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</si>
  <si>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</si>
  <si>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</si>
  <si>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</si>
  <si>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</si>
  <si>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</si>
  <si>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</si>
  <si>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</si>
  <si>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</si>
  <si>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</si>
  <si>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</si>
  <si>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</si>
  <si>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</si>
  <si>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</si>
  <si>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</si>
  <si>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</si>
  <si>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</si>
  <si>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</si>
  <si>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</si>
  <si>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</si>
  <si>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</si>
  <si>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</si>
  <si>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</si>
  <si>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</si>
  <si>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</si>
  <si>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</si>
  <si>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</si>
  <si>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</si>
  <si>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</si>
  <si>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</si>
  <si>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</si>
  <si>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</si>
  <si>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</si>
  <si>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</si>
  <si>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</si>
  <si>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</si>
  <si>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</si>
  <si>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</si>
  <si>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</si>
  <si>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</si>
  <si>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</si>
  <si>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</si>
  <si>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</si>
  <si>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</si>
  <si>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</si>
  <si>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</si>
  <si>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</si>
  <si>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</si>
  <si>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</si>
  <si>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</si>
  <si>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</si>
  <si>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</si>
  <si>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</si>
  <si>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</si>
  <si>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</si>
  <si>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</si>
  <si>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</si>
  <si>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</si>
  <si>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</si>
  <si>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</si>
  <si>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</si>
  <si>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</si>
  <si>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</si>
  <si>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</si>
  <si>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</si>
  <si>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</si>
  <si>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</si>
  <si>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</si>
  <si>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</si>
  <si>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</si>
  <si>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</si>
  <si>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</si>
  <si>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</si>
  <si>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</si>
  <si>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</si>
  <si>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</si>
  <si>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</si>
  <si>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</si>
  <si>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</si>
  <si>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</si>
  <si>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</si>
  <si>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</si>
  <si>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</si>
  <si>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</si>
  <si>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</si>
  <si>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</si>
  <si>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</si>
  <si>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</si>
  <si>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</si>
  <si>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</si>
  <si>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</si>
  <si>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</si>
  <si>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</si>
  <si>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</si>
  <si>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</si>
  <si>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</si>
  <si>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</si>
  <si>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</si>
  <si>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</si>
  <si>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</si>
  <si>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</si>
  <si>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</si>
  <si>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</si>
  <si>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</si>
  <si>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</si>
  <si>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</si>
  <si>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</si>
  <si>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</si>
  <si>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</si>
  <si>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</si>
  <si>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</si>
  <si>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</si>
  <si>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</si>
  <si>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</si>
  <si>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</si>
  <si>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</si>
  <si>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</si>
  <si>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</si>
  <si>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</si>
  <si>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</si>
  <si>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</si>
  <si>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</si>
  <si>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</si>
  <si>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</si>
  <si>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</si>
  <si>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</si>
  <si>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</si>
  <si>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</si>
  <si>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</si>
  <si>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</si>
  <si>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</si>
  <si>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</si>
  <si>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</si>
  <si>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</si>
  <si>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</si>
  <si>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</si>
  <si>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</si>
  <si>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</si>
  <si>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</si>
  <si>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</si>
  <si>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</si>
  <si>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</si>
  <si>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</si>
  <si>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</si>
  <si>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</si>
  <si>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</si>
  <si>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</si>
  <si>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</si>
  <si>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</si>
  <si>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</si>
  <si>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</si>
  <si>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</si>
  <si>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</si>
  <si>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</si>
  <si>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</si>
  <si>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</si>
  <si>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</si>
  <si>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</si>
  <si>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</si>
  <si>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</si>
  <si>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</si>
  <si>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</si>
  <si>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</si>
  <si>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</si>
  <si>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</si>
  <si>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</si>
  <si>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</si>
  <si>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</si>
  <si>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</si>
  <si>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</si>
  <si>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</si>
  <si>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</si>
  <si>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</si>
  <si>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</si>
  <si>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</si>
  <si>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</si>
  <si>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</si>
  <si>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</si>
  <si>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</si>
  <si>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</si>
  <si>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</si>
  <si>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</si>
  <si>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</si>
  <si>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</si>
  <si>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</si>
  <si>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</si>
  <si>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</si>
  <si>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</si>
  <si>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</si>
  <si>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</si>
  <si>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</si>
  <si>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</si>
  <si>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</si>
  <si>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</si>
  <si>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</si>
  <si>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</si>
  <si>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</si>
  <si>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</si>
  <si>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</si>
  <si>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</si>
  <si>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</si>
  <si>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</si>
  <si>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</si>
  <si>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</si>
  <si>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</si>
  <si>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</si>
  <si>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</si>
  <si>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</si>
  <si>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</si>
  <si>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</si>
  <si>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</si>
  <si>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</si>
  <si>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</si>
  <si>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</si>
  <si>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</si>
  <si>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</si>
  <si>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</si>
  <si>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</si>
  <si>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</si>
  <si>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</si>
  <si>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</si>
  <si>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</si>
  <si>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</si>
  <si>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</si>
  <si>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</si>
  <si>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</si>
  <si>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</si>
  <si>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</si>
  <si>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</si>
  <si>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</si>
  <si>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</si>
  <si>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</si>
  <si>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</si>
  <si>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</si>
  <si>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</si>
  <si>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</si>
  <si>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</si>
  <si>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</si>
  <si>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</si>
  <si>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</si>
  <si>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</si>
  <si>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</si>
  <si>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</si>
  <si>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</si>
  <si>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</si>
  <si>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</si>
  <si>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</si>
  <si>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</si>
  <si>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</si>
  <si>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</si>
  <si>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</si>
  <si>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</si>
  <si>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</si>
  <si>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</si>
  <si>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</si>
  <si>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</si>
  <si>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</si>
  <si>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</si>
  <si>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</si>
  <si>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</si>
  <si>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</si>
  <si>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</si>
  <si>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</si>
  <si>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</si>
  <si>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</si>
  <si>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</si>
  <si>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</si>
  <si>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</si>
  <si>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</si>
  <si>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</si>
  <si>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</si>
  <si>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</si>
  <si>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</si>
  <si>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</si>
  <si>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</si>
  <si>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</si>
  <si>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</si>
  <si>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</si>
  <si>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</si>
  <si>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</si>
  <si>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</si>
  <si>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</si>
  <si>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</si>
  <si>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</si>
  <si>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</si>
  <si>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</si>
  <si>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</si>
  <si>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</si>
  <si>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</si>
  <si>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</si>
  <si>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</si>
  <si>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</si>
  <si>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</si>
  <si>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</si>
  <si>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</si>
  <si>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</si>
  <si>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</si>
  <si>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</si>
  <si>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</si>
  <si>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</si>
  <si>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</si>
  <si>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</si>
  <si>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</si>
  <si>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</si>
  <si>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</si>
  <si>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</si>
  <si>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</si>
  <si>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</si>
  <si>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</si>
  <si>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</si>
  <si>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</si>
  <si>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</si>
  <si>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</si>
  <si>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</si>
  <si>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</si>
  <si>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</si>
  <si>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</si>
  <si>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</si>
  <si>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</si>
  <si>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</si>
  <si>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</si>
  <si>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</si>
  <si>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</si>
  <si>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</si>
  <si>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</si>
  <si>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</si>
  <si>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</si>
  <si>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</si>
  <si>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</si>
  <si>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</si>
  <si>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</si>
  <si>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</si>
  <si>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</si>
  <si>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</si>
  <si>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</si>
  <si>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</si>
  <si>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</si>
  <si>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</si>
  <si>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</si>
  <si>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</si>
  <si>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</si>
  <si>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</si>
  <si>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</si>
  <si>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</si>
  <si>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</si>
  <si>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</si>
  <si>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</si>
  <si>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</si>
  <si>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</si>
  <si>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</si>
  <si>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</si>
  <si>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</si>
  <si>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</si>
  <si>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</si>
  <si>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</si>
  <si>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</si>
  <si>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</si>
  <si>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</si>
  <si>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</si>
  <si>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</si>
  <si>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</si>
  <si>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</si>
  <si>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</si>
  <si>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</si>
  <si>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</si>
  <si>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</si>
  <si>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</si>
  <si>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</si>
  <si>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</si>
  <si>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</si>
  <si>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</si>
  <si>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</si>
  <si>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</si>
  <si>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</si>
  <si>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</si>
  <si>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</si>
  <si>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</si>
  <si>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</si>
  <si>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</si>
  <si>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</si>
  <si>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</si>
  <si>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</si>
  <si>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</si>
  <si>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</si>
  <si>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</si>
  <si>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</si>
  <si>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</si>
  <si>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</si>
  <si>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</si>
  <si>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</si>
  <si>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</si>
  <si>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</si>
  <si>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</si>
  <si>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</si>
  <si>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</si>
  <si>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</si>
  <si>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</si>
  <si>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</si>
  <si>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</si>
  <si>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</si>
  <si>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</si>
  <si>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</si>
  <si>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</si>
  <si>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</si>
  <si>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</si>
  <si>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</si>
  <si>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</si>
  <si>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</si>
  <si>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</si>
  <si>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</si>
  <si>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</si>
  <si>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</si>
  <si>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</si>
  <si>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</si>
  <si>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</si>
  <si>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</si>
  <si>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</si>
  <si>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</si>
  <si>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</si>
  <si>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</si>
  <si>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</si>
  <si>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</si>
  <si>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</si>
  <si>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</si>
  <si>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</si>
  <si>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</si>
  <si>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</si>
  <si>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</si>
  <si>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</si>
  <si>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</si>
  <si>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</si>
  <si>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</si>
  <si>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</si>
  <si>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</si>
  <si>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</si>
  <si>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</si>
  <si>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</si>
  <si>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</si>
  <si>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</si>
  <si>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</si>
  <si>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</si>
  <si>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</si>
  <si>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</si>
  <si>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</si>
  <si>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</si>
  <si>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</si>
  <si>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</si>
  <si>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</si>
  <si>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</si>
  <si>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</si>
  <si>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</si>
  <si>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</si>
  <si>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</si>
  <si>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</si>
  <si>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</si>
  <si>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</si>
  <si>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</si>
  <si>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</si>
  <si>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</si>
  <si>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</si>
  <si>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</si>
  <si>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</si>
  <si>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</si>
  <si>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</si>
  <si>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</si>
  <si>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</si>
  <si>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</si>
  <si>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</si>
  <si>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</si>
  <si>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</si>
  <si>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</si>
  <si>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</si>
  <si>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</si>
  <si>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</si>
  <si>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</si>
  <si>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</si>
  <si>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</si>
  <si>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</si>
  <si>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</si>
  <si>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</si>
  <si>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</si>
  <si>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</si>
  <si>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</si>
  <si>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</si>
  <si>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</si>
  <si>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</si>
  <si>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</si>
  <si>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</si>
  <si>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</si>
  <si>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</si>
  <si>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</si>
  <si>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</si>
  <si>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</si>
  <si>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</si>
  <si>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</si>
  <si>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</si>
  <si>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</si>
  <si>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</si>
  <si>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</si>
  <si>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</si>
  <si>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</si>
  <si>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</si>
  <si>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</si>
  <si>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</si>
  <si>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</si>
  <si>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</si>
  <si>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</si>
  <si>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</si>
  <si>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</si>
  <si>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</si>
  <si>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</si>
  <si>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</si>
  <si>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</si>
  <si>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</si>
  <si>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</si>
  <si>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</si>
  <si>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</si>
  <si>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</si>
  <si>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</si>
  <si>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</si>
  <si>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</si>
  <si>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</si>
  <si>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</si>
  <si>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</si>
  <si>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</si>
  <si>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</si>
  <si>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</si>
  <si>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</si>
  <si>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</si>
  <si>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</si>
  <si>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</si>
  <si>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</si>
  <si>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</si>
  <si>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</si>
  <si>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</si>
  <si>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</si>
  <si>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</si>
  <si>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</si>
  <si>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</si>
  <si>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</si>
  <si>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</si>
  <si>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</si>
  <si>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</si>
  <si>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</si>
  <si>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</si>
  <si>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</si>
  <si>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</si>
  <si>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</si>
  <si>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</si>
  <si>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</si>
  <si>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</si>
  <si>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</si>
  <si>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</si>
  <si>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</si>
  <si>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</si>
  <si>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</si>
  <si>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</si>
  <si>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</si>
  <si>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</si>
  <si>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</si>
  <si>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</si>
  <si>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</si>
  <si>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</si>
  <si>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</si>
  <si>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</si>
  <si>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</si>
  <si>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</si>
  <si>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</si>
  <si>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</si>
  <si>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</si>
  <si>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</si>
  <si>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</si>
  <si>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</si>
  <si>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</si>
  <si>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</si>
  <si>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</si>
  <si>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</si>
  <si>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</si>
  <si>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</si>
  <si>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</si>
  <si>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</si>
  <si>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</si>
  <si>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</si>
  <si>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</si>
  <si>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</si>
  <si>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</si>
  <si>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</si>
  <si>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</si>
  <si>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</si>
  <si>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</si>
  <si>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</si>
  <si>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</si>
  <si>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</si>
  <si>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</si>
  <si>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</si>
  <si>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</si>
  <si>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</si>
  <si>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</si>
  <si>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</si>
  <si>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</si>
  <si>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</si>
  <si>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</si>
  <si>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</si>
  <si>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</si>
  <si>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</si>
  <si>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</si>
  <si>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</si>
  <si>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</si>
  <si>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</si>
  <si>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</si>
  <si>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</si>
  <si>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44013</t>
  </si>
  <si>
    <t>DESTELBERGEN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</si>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</sst>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79C005BB-A2B3-4B44-ADA7-1ACBF40277A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165384.05984179815</c:v>
                </c:pt>
                <c:pt idx="1">
                  <c:v>40049.746504873758</c:v>
                </c:pt>
                <c:pt idx="2">
                  <c:v>1288.204</c:v>
                </c:pt>
                <c:pt idx="3">
                  <c:v>19901.968522049294</c:v>
                </c:pt>
                <c:pt idx="4">
                  <c:v>35203.470128001078</c:v>
                </c:pt>
                <c:pt idx="5">
                  <c:v>308901.28200230963</c:v>
                </c:pt>
                <c:pt idx="6">
                  <c:v>1329.503857495974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165384.05984179815</c:v>
                </c:pt>
                <c:pt idx="1">
                  <c:v>40049.746504873758</c:v>
                </c:pt>
                <c:pt idx="2">
                  <c:v>1288.204</c:v>
                </c:pt>
                <c:pt idx="3">
                  <c:v>19901.968522049294</c:v>
                </c:pt>
                <c:pt idx="4">
                  <c:v>35203.470128001078</c:v>
                </c:pt>
                <c:pt idx="5">
                  <c:v>308901.28200230963</c:v>
                </c:pt>
                <c:pt idx="6">
                  <c:v>1329.503857495974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34181.133285019183</c:v>
                </c:pt>
                <c:pt idx="2">
                  <c:v>7735.0902339192962</c:v>
                </c:pt>
                <c:pt idx="3">
                  <c:v>272.48041406479337</c:v>
                </c:pt>
                <c:pt idx="4">
                  <c:v>4579.7276249248589</c:v>
                </c:pt>
                <c:pt idx="5">
                  <c:v>7201.5900575818432</c:v>
                </c:pt>
                <c:pt idx="6">
                  <c:v>77457.916929828716</c:v>
                </c:pt>
                <c:pt idx="7">
                  <c:v>335.10611188328949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34181.133285019183</c:v>
                </c:pt>
                <c:pt idx="2">
                  <c:v>7735.0902339192962</c:v>
                </c:pt>
                <c:pt idx="3">
                  <c:v>272.48041406479337</c:v>
                </c:pt>
                <c:pt idx="4">
                  <c:v>4579.7276249248589</c:v>
                </c:pt>
                <c:pt idx="5">
                  <c:v>7201.5900575818432</c:v>
                </c:pt>
                <c:pt idx="6">
                  <c:v>77457.916929828716</c:v>
                </c:pt>
                <c:pt idx="7">
                  <c:v>335.10611188328949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44013</v>
      </c>
      <c r="B6" s="382"/>
      <c r="C6" s="383"/>
    </row>
    <row r="7" spans="1:7" s="380" customFormat="1" ht="15.75" customHeight="1">
      <c r="A7" s="384" t="str">
        <f>txtMunicipality</f>
        <v>DESTELBERGEN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17094.757063129891</v>
      </c>
      <c r="D10" s="971">
        <f ca="1">tertiair!C16</f>
        <v>0</v>
      </c>
      <c r="E10" s="971">
        <f ca="1">tertiair!D16</f>
        <v>17596.534779214322</v>
      </c>
      <c r="F10" s="971">
        <f>tertiair!E16</f>
        <v>197.56948950625497</v>
      </c>
      <c r="G10" s="971">
        <f ca="1">tertiair!F16</f>
        <v>2967.4725566913748</v>
      </c>
      <c r="H10" s="971">
        <f>tertiair!G16</f>
        <v>0</v>
      </c>
      <c r="I10" s="971">
        <f>tertiair!H16</f>
        <v>0</v>
      </c>
      <c r="J10" s="971">
        <f>tertiair!I16</f>
        <v>0</v>
      </c>
      <c r="K10" s="971">
        <f>tertiair!J16</f>
        <v>8.6847651108717394E-2</v>
      </c>
      <c r="L10" s="971">
        <f>tertiair!K16</f>
        <v>0</v>
      </c>
      <c r="M10" s="971">
        <f ca="1">tertiair!L16</f>
        <v>0</v>
      </c>
      <c r="N10" s="971">
        <f>tertiair!M16</f>
        <v>0</v>
      </c>
      <c r="O10" s="971">
        <f ca="1">tertiair!N16</f>
        <v>3422.7664353474747</v>
      </c>
      <c r="P10" s="971">
        <f>tertiair!O16</f>
        <v>1.5633333333333335</v>
      </c>
      <c r="Q10" s="972">
        <f>tertiair!P16</f>
        <v>57.2</v>
      </c>
      <c r="R10" s="666">
        <f ca="1">SUM(C10:Q10)</f>
        <v>41337.950504873763</v>
      </c>
      <c r="S10" s="67"/>
    </row>
    <row r="11" spans="1:19" s="439" customFormat="1">
      <c r="A11" s="775" t="s">
        <v>213</v>
      </c>
      <c r="B11" s="780"/>
      <c r="C11" s="971">
        <f>huishoudens!B8</f>
        <v>35547.418472480269</v>
      </c>
      <c r="D11" s="971">
        <f>huishoudens!C8</f>
        <v>0</v>
      </c>
      <c r="E11" s="971">
        <f>huishoudens!D8</f>
        <v>71590.971505352747</v>
      </c>
      <c r="F11" s="971">
        <f>huishoudens!E8</f>
        <v>1734.3613197130574</v>
      </c>
      <c r="G11" s="971">
        <f>huishoudens!F8</f>
        <v>43940.941533911646</v>
      </c>
      <c r="H11" s="971">
        <f>huishoudens!G8</f>
        <v>0</v>
      </c>
      <c r="I11" s="971">
        <f>huishoudens!H8</f>
        <v>0</v>
      </c>
      <c r="J11" s="971">
        <f>huishoudens!I8</f>
        <v>0</v>
      </c>
      <c r="K11" s="971">
        <f>huishoudens!J8</f>
        <v>211.43888087410977</v>
      </c>
      <c r="L11" s="971">
        <f>huishoudens!K8</f>
        <v>0</v>
      </c>
      <c r="M11" s="971">
        <f>huishoudens!L8</f>
        <v>0</v>
      </c>
      <c r="N11" s="971">
        <f>huishoudens!M8</f>
        <v>0</v>
      </c>
      <c r="O11" s="971">
        <f>huishoudens!N8</f>
        <v>11015.711462799645</v>
      </c>
      <c r="P11" s="971">
        <f>huishoudens!O8</f>
        <v>351.75</v>
      </c>
      <c r="Q11" s="972">
        <f>huishoudens!P8</f>
        <v>991.4666666666667</v>
      </c>
      <c r="R11" s="666">
        <f>SUM(C11:Q11)</f>
        <v>165384.05984179815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19623.992483652921</v>
      </c>
      <c r="D13" s="971">
        <f>industrie!C18</f>
        <v>0</v>
      </c>
      <c r="E13" s="971">
        <f>industrie!D18</f>
        <v>11169.118824559841</v>
      </c>
      <c r="F13" s="971">
        <f>industrie!E18</f>
        <v>534.78214848988546</v>
      </c>
      <c r="G13" s="971">
        <f>industrie!F18</f>
        <v>2504.4633313772579</v>
      </c>
      <c r="H13" s="971">
        <f>industrie!G18</f>
        <v>0</v>
      </c>
      <c r="I13" s="971">
        <f>industrie!H18</f>
        <v>0</v>
      </c>
      <c r="J13" s="971">
        <f>industrie!I18</f>
        <v>0</v>
      </c>
      <c r="K13" s="971">
        <f>industrie!J18</f>
        <v>12.659502242654172</v>
      </c>
      <c r="L13" s="971">
        <f>industrie!K18</f>
        <v>0</v>
      </c>
      <c r="M13" s="971">
        <f>industrie!L18</f>
        <v>0</v>
      </c>
      <c r="N13" s="971">
        <f>industrie!M18</f>
        <v>0</v>
      </c>
      <c r="O13" s="971">
        <f>industrie!N18</f>
        <v>1358.4538376785126</v>
      </c>
      <c r="P13" s="971">
        <f>industrie!O18</f>
        <v>0</v>
      </c>
      <c r="Q13" s="972">
        <f>industrie!P18</f>
        <v>0</v>
      </c>
      <c r="R13" s="666">
        <f>SUM(C13:Q13)</f>
        <v>35203.470128001078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72266.168019263088</v>
      </c>
      <c r="D16" s="698">
        <f t="shared" ref="D16:R16" ca="1" si="0">SUM(D9:D15)</f>
        <v>0</v>
      </c>
      <c r="E16" s="698">
        <f t="shared" ca="1" si="0"/>
        <v>100356.62510912691</v>
      </c>
      <c r="F16" s="698">
        <f t="shared" si="0"/>
        <v>2466.7129577091978</v>
      </c>
      <c r="G16" s="698">
        <f t="shared" ca="1" si="0"/>
        <v>49412.87742198028</v>
      </c>
      <c r="H16" s="698">
        <f t="shared" si="0"/>
        <v>0</v>
      </c>
      <c r="I16" s="698">
        <f t="shared" si="0"/>
        <v>0</v>
      </c>
      <c r="J16" s="698">
        <f t="shared" si="0"/>
        <v>0</v>
      </c>
      <c r="K16" s="698">
        <f t="shared" si="0"/>
        <v>224.18523076787267</v>
      </c>
      <c r="L16" s="698">
        <f t="shared" si="0"/>
        <v>0</v>
      </c>
      <c r="M16" s="698">
        <f t="shared" ca="1" si="0"/>
        <v>0</v>
      </c>
      <c r="N16" s="698">
        <f t="shared" si="0"/>
        <v>0</v>
      </c>
      <c r="O16" s="698">
        <f t="shared" ca="1" si="0"/>
        <v>15796.931735825634</v>
      </c>
      <c r="P16" s="698">
        <f t="shared" si="0"/>
        <v>353.31333333333333</v>
      </c>
      <c r="Q16" s="698">
        <f t="shared" si="0"/>
        <v>1048.6666666666667</v>
      </c>
      <c r="R16" s="698">
        <f t="shared" ca="1" si="0"/>
        <v>241925.48047467298</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13.24869452031519</v>
      </c>
      <c r="D19" s="971">
        <f>transport!C54</f>
        <v>0</v>
      </c>
      <c r="E19" s="971">
        <f>transport!D54</f>
        <v>0</v>
      </c>
      <c r="F19" s="971">
        <f>transport!E54</f>
        <v>0</v>
      </c>
      <c r="G19" s="971">
        <f>transport!F54</f>
        <v>0</v>
      </c>
      <c r="H19" s="971">
        <f>transport!G54</f>
        <v>1244.5833450175378</v>
      </c>
      <c r="I19" s="971">
        <f>transport!H54</f>
        <v>0</v>
      </c>
      <c r="J19" s="971">
        <f>transport!I54</f>
        <v>0</v>
      </c>
      <c r="K19" s="971">
        <f>transport!J54</f>
        <v>0</v>
      </c>
      <c r="L19" s="971">
        <f>transport!K54</f>
        <v>0</v>
      </c>
      <c r="M19" s="971">
        <f>transport!L54</f>
        <v>0</v>
      </c>
      <c r="N19" s="971">
        <f>transport!M54</f>
        <v>71.671817958120911</v>
      </c>
      <c r="O19" s="971">
        <f>transport!N54</f>
        <v>0</v>
      </c>
      <c r="P19" s="971">
        <f>transport!O54</f>
        <v>0</v>
      </c>
      <c r="Q19" s="972">
        <f>transport!P54</f>
        <v>0</v>
      </c>
      <c r="R19" s="666">
        <f>SUM(C19:Q19)</f>
        <v>1329.503857495974</v>
      </c>
      <c r="S19" s="67"/>
    </row>
    <row r="20" spans="1:19" s="439" customFormat="1">
      <c r="A20" s="775" t="s">
        <v>295</v>
      </c>
      <c r="B20" s="780"/>
      <c r="C20" s="971">
        <f>transport!B14</f>
        <v>170.39681963696779</v>
      </c>
      <c r="D20" s="971">
        <f>transport!C14</f>
        <v>0</v>
      </c>
      <c r="E20" s="971">
        <f>transport!D14</f>
        <v>244.04923089655057</v>
      </c>
      <c r="F20" s="971">
        <f>transport!E14</f>
        <v>498.03817056441738</v>
      </c>
      <c r="G20" s="971">
        <f>transport!F14</f>
        <v>0</v>
      </c>
      <c r="H20" s="971">
        <f>transport!G14</f>
        <v>251475.57042219772</v>
      </c>
      <c r="I20" s="971">
        <f>transport!H14</f>
        <v>40624.677703065696</v>
      </c>
      <c r="J20" s="971">
        <f>transport!I14</f>
        <v>0</v>
      </c>
      <c r="K20" s="971">
        <f>transport!J14</f>
        <v>0</v>
      </c>
      <c r="L20" s="971">
        <f>transport!K14</f>
        <v>0</v>
      </c>
      <c r="M20" s="971">
        <f>transport!L14</f>
        <v>0</v>
      </c>
      <c r="N20" s="971">
        <f>transport!M14</f>
        <v>15888.549655948305</v>
      </c>
      <c r="O20" s="971">
        <f>transport!N14</f>
        <v>0</v>
      </c>
      <c r="P20" s="971">
        <f>transport!O14</f>
        <v>0</v>
      </c>
      <c r="Q20" s="972">
        <f>transport!P14</f>
        <v>0</v>
      </c>
      <c r="R20" s="666">
        <f>SUM(C20:Q20)</f>
        <v>308901.28200230963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183.64551415728297</v>
      </c>
      <c r="D22" s="778">
        <f t="shared" ref="D22:R22" si="1">SUM(D18:D21)</f>
        <v>0</v>
      </c>
      <c r="E22" s="778">
        <f t="shared" si="1"/>
        <v>244.04923089655057</v>
      </c>
      <c r="F22" s="778">
        <f t="shared" si="1"/>
        <v>498.03817056441738</v>
      </c>
      <c r="G22" s="778">
        <f t="shared" si="1"/>
        <v>0</v>
      </c>
      <c r="H22" s="778">
        <f t="shared" si="1"/>
        <v>252720.15376721526</v>
      </c>
      <c r="I22" s="778">
        <f t="shared" si="1"/>
        <v>40624.677703065696</v>
      </c>
      <c r="J22" s="778">
        <f t="shared" si="1"/>
        <v>0</v>
      </c>
      <c r="K22" s="778">
        <f t="shared" si="1"/>
        <v>0</v>
      </c>
      <c r="L22" s="778">
        <f t="shared" si="1"/>
        <v>0</v>
      </c>
      <c r="M22" s="778">
        <f t="shared" si="1"/>
        <v>0</v>
      </c>
      <c r="N22" s="778">
        <f t="shared" si="1"/>
        <v>15960.221473906426</v>
      </c>
      <c r="O22" s="778">
        <f t="shared" si="1"/>
        <v>0</v>
      </c>
      <c r="P22" s="778">
        <f t="shared" si="1"/>
        <v>0</v>
      </c>
      <c r="Q22" s="778">
        <f t="shared" si="1"/>
        <v>0</v>
      </c>
      <c r="R22" s="778">
        <f t="shared" si="1"/>
        <v>310230.78585980559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1846.2529963757559</v>
      </c>
      <c r="D24" s="971">
        <f>+landbouw!C8</f>
        <v>0</v>
      </c>
      <c r="E24" s="971">
        <f>+landbouw!D8</f>
        <v>10042.575883938658</v>
      </c>
      <c r="F24" s="971">
        <f>+landbouw!E8</f>
        <v>54.267014671008639</v>
      </c>
      <c r="G24" s="971">
        <f>+landbouw!F8</f>
        <v>7691.3902166259741</v>
      </c>
      <c r="H24" s="971">
        <f>+landbouw!G8</f>
        <v>0</v>
      </c>
      <c r="I24" s="971">
        <f>+landbouw!H8</f>
        <v>0</v>
      </c>
      <c r="J24" s="971">
        <f>+landbouw!I8</f>
        <v>0</v>
      </c>
      <c r="K24" s="971">
        <f>+landbouw!J8</f>
        <v>267.48241043789523</v>
      </c>
      <c r="L24" s="971">
        <f>+landbouw!K8</f>
        <v>0</v>
      </c>
      <c r="M24" s="971">
        <f>+landbouw!L8</f>
        <v>0</v>
      </c>
      <c r="N24" s="971">
        <f>+landbouw!M8</f>
        <v>0</v>
      </c>
      <c r="O24" s="971">
        <f>+landbouw!N8</f>
        <v>0</v>
      </c>
      <c r="P24" s="971">
        <f>+landbouw!O8</f>
        <v>0</v>
      </c>
      <c r="Q24" s="972">
        <f>+landbouw!P8</f>
        <v>0</v>
      </c>
      <c r="R24" s="666">
        <f>SUM(C24:Q24)</f>
        <v>19901.968522049294</v>
      </c>
      <c r="S24" s="67"/>
    </row>
    <row r="25" spans="1:19" s="439" customFormat="1" ht="15" thickBot="1">
      <c r="A25" s="797" t="s">
        <v>802</v>
      </c>
      <c r="B25" s="974"/>
      <c r="C25" s="975">
        <f>IF(Onbekend_ele_kWh="---",0,Onbekend_ele_kWh)/1000+IF(REST_rest_ele_kWh="---",0,REST_rest_ele_kWh)/1000</f>
        <v>2671.9068696384302</v>
      </c>
      <c r="D25" s="975"/>
      <c r="E25" s="975">
        <f>IF(onbekend_gas_kWh="---",0,onbekend_gas_kWh)/1000+IF(REST_rest_gas_kWh="---",0,REST_rest_gas_kWh)/1000</f>
        <v>4847.6020632008203</v>
      </c>
      <c r="F25" s="975"/>
      <c r="G25" s="975"/>
      <c r="H25" s="975"/>
      <c r="I25" s="975"/>
      <c r="J25" s="975"/>
      <c r="K25" s="975"/>
      <c r="L25" s="975"/>
      <c r="M25" s="975"/>
      <c r="N25" s="975"/>
      <c r="O25" s="975"/>
      <c r="P25" s="975"/>
      <c r="Q25" s="976"/>
      <c r="R25" s="666">
        <f>SUM(C25:Q25)</f>
        <v>7519.5089328392505</v>
      </c>
      <c r="S25" s="67"/>
    </row>
    <row r="26" spans="1:19" s="439" customFormat="1" ht="15.75" thickBot="1">
      <c r="A26" s="671" t="s">
        <v>803</v>
      </c>
      <c r="B26" s="783"/>
      <c r="C26" s="778">
        <f>SUM(C24:C25)</f>
        <v>4518.1598660141863</v>
      </c>
      <c r="D26" s="778">
        <f t="shared" ref="D26:R26" si="2">SUM(D24:D25)</f>
        <v>0</v>
      </c>
      <c r="E26" s="778">
        <f t="shared" si="2"/>
        <v>14890.177947139478</v>
      </c>
      <c r="F26" s="778">
        <f t="shared" si="2"/>
        <v>54.267014671008639</v>
      </c>
      <c r="G26" s="778">
        <f t="shared" si="2"/>
        <v>7691.3902166259741</v>
      </c>
      <c r="H26" s="778">
        <f t="shared" si="2"/>
        <v>0</v>
      </c>
      <c r="I26" s="778">
        <f t="shared" si="2"/>
        <v>0</v>
      </c>
      <c r="J26" s="778">
        <f t="shared" si="2"/>
        <v>0</v>
      </c>
      <c r="K26" s="778">
        <f t="shared" si="2"/>
        <v>267.48241043789523</v>
      </c>
      <c r="L26" s="778">
        <f t="shared" si="2"/>
        <v>0</v>
      </c>
      <c r="M26" s="778">
        <f t="shared" si="2"/>
        <v>0</v>
      </c>
      <c r="N26" s="778">
        <f t="shared" si="2"/>
        <v>0</v>
      </c>
      <c r="O26" s="778">
        <f t="shared" si="2"/>
        <v>0</v>
      </c>
      <c r="P26" s="778">
        <f t="shared" si="2"/>
        <v>0</v>
      </c>
      <c r="Q26" s="778">
        <f t="shared" si="2"/>
        <v>0</v>
      </c>
      <c r="R26" s="778">
        <f t="shared" si="2"/>
        <v>27421.477454888543</v>
      </c>
      <c r="S26" s="67"/>
    </row>
    <row r="27" spans="1:19" s="439" customFormat="1" ht="17.25" thickTop="1" thickBot="1">
      <c r="A27" s="672" t="s">
        <v>109</v>
      </c>
      <c r="B27" s="771"/>
      <c r="C27" s="673">
        <f ca="1">C22+C16+C26</f>
        <v>76967.973399434559</v>
      </c>
      <c r="D27" s="673">
        <f t="shared" ref="D27:R27" ca="1" si="3">D22+D16+D26</f>
        <v>0</v>
      </c>
      <c r="E27" s="673">
        <f t="shared" ca="1" si="3"/>
        <v>115490.85228716294</v>
      </c>
      <c r="F27" s="673">
        <f t="shared" si="3"/>
        <v>3019.0181429446238</v>
      </c>
      <c r="G27" s="673">
        <f t="shared" ca="1" si="3"/>
        <v>57104.267638606252</v>
      </c>
      <c r="H27" s="673">
        <f t="shared" si="3"/>
        <v>252720.15376721526</v>
      </c>
      <c r="I27" s="673">
        <f t="shared" si="3"/>
        <v>40624.677703065696</v>
      </c>
      <c r="J27" s="673">
        <f t="shared" si="3"/>
        <v>0</v>
      </c>
      <c r="K27" s="673">
        <f t="shared" si="3"/>
        <v>491.66764120576789</v>
      </c>
      <c r="L27" s="673">
        <f t="shared" si="3"/>
        <v>0</v>
      </c>
      <c r="M27" s="673">
        <f t="shared" ca="1" si="3"/>
        <v>0</v>
      </c>
      <c r="N27" s="673">
        <f t="shared" si="3"/>
        <v>15960.221473906426</v>
      </c>
      <c r="O27" s="673">
        <f t="shared" ca="1" si="3"/>
        <v>15796.931735825634</v>
      </c>
      <c r="P27" s="673">
        <f t="shared" si="3"/>
        <v>353.31333333333333</v>
      </c>
      <c r="Q27" s="673">
        <f t="shared" si="3"/>
        <v>1048.6666666666667</v>
      </c>
      <c r="R27" s="673">
        <f t="shared" ca="1" si="3"/>
        <v>579577.74378936703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3615.8764317597866</v>
      </c>
      <c r="D40" s="971">
        <f ca="1">tertiair!C20</f>
        <v>0</v>
      </c>
      <c r="E40" s="971">
        <f ca="1">tertiair!D20</f>
        <v>3554.5000254012934</v>
      </c>
      <c r="F40" s="971">
        <f>tertiair!E20</f>
        <v>44.848274117919878</v>
      </c>
      <c r="G40" s="971">
        <f ca="1">tertiair!F20</f>
        <v>792.31517263659714</v>
      </c>
      <c r="H40" s="971">
        <f>tertiair!G20</f>
        <v>0</v>
      </c>
      <c r="I40" s="971">
        <f>tertiair!H20</f>
        <v>0</v>
      </c>
      <c r="J40" s="971">
        <f>tertiair!I20</f>
        <v>0</v>
      </c>
      <c r="K40" s="971">
        <f>tertiair!J20</f>
        <v>3.0744068492485954E-2</v>
      </c>
      <c r="L40" s="971">
        <f>tertiair!K20</f>
        <v>0</v>
      </c>
      <c r="M40" s="971">
        <f ca="1">tertiair!L20</f>
        <v>0</v>
      </c>
      <c r="N40" s="971">
        <f>tertiair!M20</f>
        <v>0</v>
      </c>
      <c r="O40" s="971">
        <f ca="1">tertiair!N20</f>
        <v>0</v>
      </c>
      <c r="P40" s="971">
        <f>tertiair!O20</f>
        <v>0</v>
      </c>
      <c r="Q40" s="740">
        <f>tertiair!P20</f>
        <v>0</v>
      </c>
      <c r="R40" s="816">
        <f t="shared" ca="1" si="4"/>
        <v>8007.5706479840892</v>
      </c>
    </row>
    <row r="41" spans="1:18">
      <c r="A41" s="788" t="s">
        <v>213</v>
      </c>
      <c r="B41" s="795"/>
      <c r="C41" s="971">
        <f ca="1">huishoudens!B12</f>
        <v>7518.9762679792248</v>
      </c>
      <c r="D41" s="971">
        <f ca="1">huishoudens!C12</f>
        <v>0</v>
      </c>
      <c r="E41" s="971">
        <f>huishoudens!D12</f>
        <v>14461.376244081255</v>
      </c>
      <c r="F41" s="971">
        <f>huishoudens!E12</f>
        <v>393.70001957486403</v>
      </c>
      <c r="G41" s="971">
        <f>huishoudens!F12</f>
        <v>11732.23138955441</v>
      </c>
      <c r="H41" s="971">
        <f>huishoudens!G12</f>
        <v>0</v>
      </c>
      <c r="I41" s="971">
        <f>huishoudens!H12</f>
        <v>0</v>
      </c>
      <c r="J41" s="971">
        <f>huishoudens!I12</f>
        <v>0</v>
      </c>
      <c r="K41" s="971">
        <f>huishoudens!J12</f>
        <v>74.84936382943485</v>
      </c>
      <c r="L41" s="971">
        <f>huishoudens!K12</f>
        <v>0</v>
      </c>
      <c r="M41" s="971">
        <f>huishoudens!L12</f>
        <v>0</v>
      </c>
      <c r="N41" s="971">
        <f>huishoudens!M12</f>
        <v>0</v>
      </c>
      <c r="O41" s="971">
        <f>huishoudens!N12</f>
        <v>0</v>
      </c>
      <c r="P41" s="971">
        <f>huishoudens!O12</f>
        <v>0</v>
      </c>
      <c r="Q41" s="740">
        <f>huishoudens!P12</f>
        <v>0</v>
      </c>
      <c r="R41" s="816">
        <f t="shared" ca="1" si="4"/>
        <v>34181.133285019183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4150.8593340419229</v>
      </c>
      <c r="D43" s="971">
        <f ca="1">industrie!C22</f>
        <v>0</v>
      </c>
      <c r="E43" s="971">
        <f>industrie!D22</f>
        <v>2256.1620025610878</v>
      </c>
      <c r="F43" s="971">
        <f>industrie!E22</f>
        <v>121.395547707204</v>
      </c>
      <c r="G43" s="971">
        <f>industrie!F22</f>
        <v>668.69170947772784</v>
      </c>
      <c r="H43" s="971">
        <f>industrie!G22</f>
        <v>0</v>
      </c>
      <c r="I43" s="971">
        <f>industrie!H22</f>
        <v>0</v>
      </c>
      <c r="J43" s="971">
        <f>industrie!I22</f>
        <v>0</v>
      </c>
      <c r="K43" s="971">
        <f>industrie!J22</f>
        <v>4.4814637938995769</v>
      </c>
      <c r="L43" s="971">
        <f>industrie!K22</f>
        <v>0</v>
      </c>
      <c r="M43" s="971">
        <f>industrie!L22</f>
        <v>0</v>
      </c>
      <c r="N43" s="971">
        <f>industrie!M22</f>
        <v>0</v>
      </c>
      <c r="O43" s="971">
        <f>industrie!N22</f>
        <v>0</v>
      </c>
      <c r="P43" s="971">
        <f>industrie!O22</f>
        <v>0</v>
      </c>
      <c r="Q43" s="740">
        <f>industrie!P22</f>
        <v>0</v>
      </c>
      <c r="R43" s="815">
        <f t="shared" ca="1" si="4"/>
        <v>7201.5900575818432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15285.712033780934</v>
      </c>
      <c r="D46" s="698">
        <f t="shared" ref="D46:Q46" ca="1" si="5">SUM(D39:D45)</f>
        <v>0</v>
      </c>
      <c r="E46" s="698">
        <f t="shared" ca="1" si="5"/>
        <v>20272.038272043636</v>
      </c>
      <c r="F46" s="698">
        <f t="shared" si="5"/>
        <v>559.94384139998783</v>
      </c>
      <c r="G46" s="698">
        <f t="shared" ca="1" si="5"/>
        <v>13193.238271668735</v>
      </c>
      <c r="H46" s="698">
        <f t="shared" si="5"/>
        <v>0</v>
      </c>
      <c r="I46" s="698">
        <f t="shared" si="5"/>
        <v>0</v>
      </c>
      <c r="J46" s="698">
        <f t="shared" si="5"/>
        <v>0</v>
      </c>
      <c r="K46" s="698">
        <f t="shared" si="5"/>
        <v>79.36157169182691</v>
      </c>
      <c r="L46" s="698">
        <f t="shared" si="5"/>
        <v>0</v>
      </c>
      <c r="M46" s="698">
        <f t="shared" ca="1" si="5"/>
        <v>0</v>
      </c>
      <c r="N46" s="698">
        <f t="shared" si="5"/>
        <v>0</v>
      </c>
      <c r="O46" s="698">
        <f t="shared" ca="1" si="5"/>
        <v>0</v>
      </c>
      <c r="P46" s="698">
        <f t="shared" si="5"/>
        <v>0</v>
      </c>
      <c r="Q46" s="698">
        <f t="shared" si="5"/>
        <v>0</v>
      </c>
      <c r="R46" s="698">
        <f ca="1">SUM(R39:R45)</f>
        <v>49390.293990585116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2.8023587636068839</v>
      </c>
      <c r="D49" s="971">
        <f ca="1">transport!C58</f>
        <v>0</v>
      </c>
      <c r="E49" s="971">
        <f>transport!D58</f>
        <v>0</v>
      </c>
      <c r="F49" s="971">
        <f>transport!E58</f>
        <v>0</v>
      </c>
      <c r="G49" s="971">
        <f>transport!F58</f>
        <v>0</v>
      </c>
      <c r="H49" s="971">
        <f>transport!G58</f>
        <v>332.3037531196826</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335.10611188328949</v>
      </c>
    </row>
    <row r="50" spans="1:18">
      <c r="A50" s="791" t="s">
        <v>295</v>
      </c>
      <c r="B50" s="801"/>
      <c r="C50" s="669">
        <f ca="1">transport!B18</f>
        <v>36.042269679340308</v>
      </c>
      <c r="D50" s="669">
        <f>transport!C18</f>
        <v>0</v>
      </c>
      <c r="E50" s="669">
        <f>transport!D18</f>
        <v>49.297944641103221</v>
      </c>
      <c r="F50" s="669">
        <f>transport!E18</f>
        <v>113.05466471812275</v>
      </c>
      <c r="G50" s="669">
        <f>transport!F18</f>
        <v>0</v>
      </c>
      <c r="H50" s="669">
        <f>transport!G18</f>
        <v>67143.977302726795</v>
      </c>
      <c r="I50" s="669">
        <f>transport!H18</f>
        <v>10115.544748063357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77457.916929828716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38.84462844294719</v>
      </c>
      <c r="D52" s="698">
        <f t="shared" ref="D52:Q52" ca="1" si="6">SUM(D48:D51)</f>
        <v>0</v>
      </c>
      <c r="E52" s="698">
        <f t="shared" si="6"/>
        <v>49.297944641103221</v>
      </c>
      <c r="F52" s="698">
        <f t="shared" si="6"/>
        <v>113.05466471812275</v>
      </c>
      <c r="G52" s="698">
        <f t="shared" si="6"/>
        <v>0</v>
      </c>
      <c r="H52" s="698">
        <f t="shared" si="6"/>
        <v>67476.281055846484</v>
      </c>
      <c r="I52" s="698">
        <f t="shared" si="6"/>
        <v>10115.544748063357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77793.023041712004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390.51872290478173</v>
      </c>
      <c r="D54" s="669">
        <f ca="1">+landbouw!C12</f>
        <v>0</v>
      </c>
      <c r="E54" s="669">
        <f>+landbouw!D12</f>
        <v>2028.6003285556092</v>
      </c>
      <c r="F54" s="669">
        <f>+landbouw!E12</f>
        <v>12.318612330318961</v>
      </c>
      <c r="G54" s="669">
        <f>+landbouw!F12</f>
        <v>2053.601187839135</v>
      </c>
      <c r="H54" s="669">
        <f>+landbouw!G12</f>
        <v>0</v>
      </c>
      <c r="I54" s="669">
        <f>+landbouw!H12</f>
        <v>0</v>
      </c>
      <c r="J54" s="669">
        <f>+landbouw!I12</f>
        <v>0</v>
      </c>
      <c r="K54" s="669">
        <f>+landbouw!J12</f>
        <v>94.688773295014911</v>
      </c>
      <c r="L54" s="669">
        <f>+landbouw!K12</f>
        <v>0</v>
      </c>
      <c r="M54" s="669">
        <f>+landbouw!L12</f>
        <v>0</v>
      </c>
      <c r="N54" s="669">
        <f>+landbouw!M12</f>
        <v>0</v>
      </c>
      <c r="O54" s="669">
        <f>+landbouw!N12</f>
        <v>0</v>
      </c>
      <c r="P54" s="669">
        <f>+landbouw!O12</f>
        <v>0</v>
      </c>
      <c r="Q54" s="670">
        <f>+landbouw!P12</f>
        <v>0</v>
      </c>
      <c r="R54" s="697">
        <f ca="1">SUM(C54:Q54)</f>
        <v>4579.7276249248589</v>
      </c>
    </row>
    <row r="55" spans="1:18" ht="15" thickBot="1">
      <c r="A55" s="791" t="s">
        <v>802</v>
      </c>
      <c r="B55" s="801"/>
      <c r="C55" s="669">
        <f ca="1">C25*'EF ele_warmte'!B12</f>
        <v>565.16071226424185</v>
      </c>
      <c r="D55" s="669"/>
      <c r="E55" s="669">
        <f>E25*EF_CO2_aardgas</f>
        <v>979.21561676656574</v>
      </c>
      <c r="F55" s="669"/>
      <c r="G55" s="669"/>
      <c r="H55" s="669"/>
      <c r="I55" s="669"/>
      <c r="J55" s="669"/>
      <c r="K55" s="669"/>
      <c r="L55" s="669"/>
      <c r="M55" s="669"/>
      <c r="N55" s="669"/>
      <c r="O55" s="669"/>
      <c r="P55" s="669"/>
      <c r="Q55" s="670"/>
      <c r="R55" s="697">
        <f ca="1">SUM(C55:Q55)</f>
        <v>1544.3763290308075</v>
      </c>
    </row>
    <row r="56" spans="1:18" ht="15.75" thickBot="1">
      <c r="A56" s="789" t="s">
        <v>803</v>
      </c>
      <c r="B56" s="802"/>
      <c r="C56" s="698">
        <f ca="1">SUM(C54:C55)</f>
        <v>955.67943516902358</v>
      </c>
      <c r="D56" s="698">
        <f t="shared" ref="D56:Q56" ca="1" si="7">SUM(D54:D55)</f>
        <v>0</v>
      </c>
      <c r="E56" s="698">
        <f t="shared" si="7"/>
        <v>3007.8159453221751</v>
      </c>
      <c r="F56" s="698">
        <f t="shared" si="7"/>
        <v>12.318612330318961</v>
      </c>
      <c r="G56" s="698">
        <f t="shared" si="7"/>
        <v>2053.601187839135</v>
      </c>
      <c r="H56" s="698">
        <f t="shared" si="7"/>
        <v>0</v>
      </c>
      <c r="I56" s="698">
        <f t="shared" si="7"/>
        <v>0</v>
      </c>
      <c r="J56" s="698">
        <f t="shared" si="7"/>
        <v>0</v>
      </c>
      <c r="K56" s="698">
        <f t="shared" si="7"/>
        <v>94.688773295014911</v>
      </c>
      <c r="L56" s="698">
        <f t="shared" si="7"/>
        <v>0</v>
      </c>
      <c r="M56" s="698">
        <f t="shared" si="7"/>
        <v>0</v>
      </c>
      <c r="N56" s="698">
        <f t="shared" si="7"/>
        <v>0</v>
      </c>
      <c r="O56" s="698">
        <f t="shared" si="7"/>
        <v>0</v>
      </c>
      <c r="P56" s="698">
        <f t="shared" si="7"/>
        <v>0</v>
      </c>
      <c r="Q56" s="699">
        <f t="shared" si="7"/>
        <v>0</v>
      </c>
      <c r="R56" s="700">
        <f ca="1">SUM(R54:R55)</f>
        <v>6124.1039539556659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16280.236097392904</v>
      </c>
      <c r="D61" s="706">
        <f t="shared" ref="D61:Q61" ca="1" si="8">D46+D52+D56</f>
        <v>0</v>
      </c>
      <c r="E61" s="706">
        <f t="shared" ca="1" si="8"/>
        <v>23329.152162006914</v>
      </c>
      <c r="F61" s="706">
        <f t="shared" si="8"/>
        <v>685.31711844842948</v>
      </c>
      <c r="G61" s="706">
        <f t="shared" ca="1" si="8"/>
        <v>15246.83945950787</v>
      </c>
      <c r="H61" s="706">
        <f t="shared" si="8"/>
        <v>67476.281055846484</v>
      </c>
      <c r="I61" s="706">
        <f t="shared" si="8"/>
        <v>10115.544748063357</v>
      </c>
      <c r="J61" s="706">
        <f t="shared" si="8"/>
        <v>0</v>
      </c>
      <c r="K61" s="706">
        <f t="shared" si="8"/>
        <v>174.05034498684182</v>
      </c>
      <c r="L61" s="706">
        <f t="shared" si="8"/>
        <v>0</v>
      </c>
      <c r="M61" s="706">
        <f t="shared" ca="1" si="8"/>
        <v>0</v>
      </c>
      <c r="N61" s="706">
        <f t="shared" si="8"/>
        <v>0</v>
      </c>
      <c r="O61" s="706">
        <f t="shared" ca="1" si="8"/>
        <v>0</v>
      </c>
      <c r="P61" s="706">
        <f t="shared" si="8"/>
        <v>0</v>
      </c>
      <c r="Q61" s="706">
        <f t="shared" si="8"/>
        <v>0</v>
      </c>
      <c r="R61" s="706">
        <f ca="1">R46+R52+R56</f>
        <v>133307.42098625278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0.21151961495601113</v>
      </c>
      <c r="D63" s="747">
        <f t="shared" ca="1" si="9"/>
        <v>0</v>
      </c>
      <c r="E63" s="982">
        <f t="shared" ca="1" si="9"/>
        <v>0.20200000000000001</v>
      </c>
      <c r="F63" s="747">
        <f t="shared" si="9"/>
        <v>0.22699999999999995</v>
      </c>
      <c r="G63" s="747">
        <f t="shared" ca="1" si="9"/>
        <v>0.26700000000000002</v>
      </c>
      <c r="H63" s="747">
        <f t="shared" si="9"/>
        <v>0.26700000000000002</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3301.7467143987869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3301.7467143987869</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35547.418472480269</v>
      </c>
      <c r="C4" s="443">
        <f>huishoudens!C8</f>
        <v>0</v>
      </c>
      <c r="D4" s="443">
        <f>huishoudens!D8</f>
        <v>71590.971505352747</v>
      </c>
      <c r="E4" s="443">
        <f>huishoudens!E8</f>
        <v>1734.3613197130574</v>
      </c>
      <c r="F4" s="443">
        <f>huishoudens!F8</f>
        <v>43940.941533911646</v>
      </c>
      <c r="G4" s="443">
        <f>huishoudens!G8</f>
        <v>0</v>
      </c>
      <c r="H4" s="443">
        <f>huishoudens!H8</f>
        <v>0</v>
      </c>
      <c r="I4" s="443">
        <f>huishoudens!I8</f>
        <v>0</v>
      </c>
      <c r="J4" s="443">
        <f>huishoudens!J8</f>
        <v>211.43888087410977</v>
      </c>
      <c r="K4" s="443">
        <f>huishoudens!K8</f>
        <v>0</v>
      </c>
      <c r="L4" s="443">
        <f>huishoudens!L8</f>
        <v>0</v>
      </c>
      <c r="M4" s="443">
        <f>huishoudens!M8</f>
        <v>0</v>
      </c>
      <c r="N4" s="443">
        <f>huishoudens!N8</f>
        <v>11015.711462799645</v>
      </c>
      <c r="O4" s="443">
        <f>huishoudens!O8</f>
        <v>351.75</v>
      </c>
      <c r="P4" s="444">
        <f>huishoudens!P8</f>
        <v>991.4666666666667</v>
      </c>
      <c r="Q4" s="445">
        <f>SUM(B4:P4)</f>
        <v>165384.05984179815</v>
      </c>
    </row>
    <row r="5" spans="1:17">
      <c r="A5" s="442" t="s">
        <v>149</v>
      </c>
      <c r="B5" s="443">
        <f ca="1">tertiair!B16</f>
        <v>15806.55306312989</v>
      </c>
      <c r="C5" s="443">
        <f ca="1">tertiair!C16</f>
        <v>0</v>
      </c>
      <c r="D5" s="443">
        <f ca="1">tertiair!D16</f>
        <v>17596.534779214322</v>
      </c>
      <c r="E5" s="443">
        <f>tertiair!E16</f>
        <v>197.56948950625497</v>
      </c>
      <c r="F5" s="443">
        <f ca="1">tertiair!F16</f>
        <v>2967.4725566913748</v>
      </c>
      <c r="G5" s="443">
        <f>tertiair!G16</f>
        <v>0</v>
      </c>
      <c r="H5" s="443">
        <f>tertiair!H16</f>
        <v>0</v>
      </c>
      <c r="I5" s="443">
        <f>tertiair!I16</f>
        <v>0</v>
      </c>
      <c r="J5" s="443">
        <f>tertiair!J16</f>
        <v>8.6847651108717394E-2</v>
      </c>
      <c r="K5" s="443">
        <f>tertiair!K16</f>
        <v>0</v>
      </c>
      <c r="L5" s="443">
        <f ca="1">tertiair!L16</f>
        <v>0</v>
      </c>
      <c r="M5" s="443">
        <f>tertiair!M16</f>
        <v>0</v>
      </c>
      <c r="N5" s="443">
        <f ca="1">tertiair!N16</f>
        <v>3422.7664353474747</v>
      </c>
      <c r="O5" s="443">
        <f>tertiair!O16</f>
        <v>1.5633333333333335</v>
      </c>
      <c r="P5" s="444">
        <f>tertiair!P16</f>
        <v>57.2</v>
      </c>
      <c r="Q5" s="442">
        <f t="shared" ref="Q5:Q14" ca="1" si="0">SUM(B5:P5)</f>
        <v>40049.746504873758</v>
      </c>
    </row>
    <row r="6" spans="1:17">
      <c r="A6" s="442" t="s">
        <v>187</v>
      </c>
      <c r="B6" s="443">
        <f>'openbare verlichting'!B8</f>
        <v>1288.204</v>
      </c>
      <c r="C6" s="443"/>
      <c r="D6" s="443"/>
      <c r="E6" s="443"/>
      <c r="F6" s="443"/>
      <c r="G6" s="443"/>
      <c r="H6" s="443"/>
      <c r="I6" s="443"/>
      <c r="J6" s="443"/>
      <c r="K6" s="443"/>
      <c r="L6" s="443"/>
      <c r="M6" s="443"/>
      <c r="N6" s="443"/>
      <c r="O6" s="443"/>
      <c r="P6" s="444"/>
      <c r="Q6" s="442">
        <f t="shared" si="0"/>
        <v>1288.204</v>
      </c>
    </row>
    <row r="7" spans="1:17">
      <c r="A7" s="442" t="s">
        <v>105</v>
      </c>
      <c r="B7" s="443">
        <f>landbouw!B8</f>
        <v>1846.2529963757559</v>
      </c>
      <c r="C7" s="443">
        <f>landbouw!C8</f>
        <v>0</v>
      </c>
      <c r="D7" s="443">
        <f>landbouw!D8</f>
        <v>10042.575883938658</v>
      </c>
      <c r="E7" s="443">
        <f>landbouw!E8</f>
        <v>54.267014671008639</v>
      </c>
      <c r="F7" s="443">
        <f>landbouw!F8</f>
        <v>7691.3902166259741</v>
      </c>
      <c r="G7" s="443">
        <f>landbouw!G8</f>
        <v>0</v>
      </c>
      <c r="H7" s="443">
        <f>landbouw!H8</f>
        <v>0</v>
      </c>
      <c r="I7" s="443">
        <f>landbouw!I8</f>
        <v>0</v>
      </c>
      <c r="J7" s="443">
        <f>landbouw!J8</f>
        <v>267.48241043789523</v>
      </c>
      <c r="K7" s="443">
        <f>landbouw!K8</f>
        <v>0</v>
      </c>
      <c r="L7" s="443">
        <f>landbouw!L8</f>
        <v>0</v>
      </c>
      <c r="M7" s="443">
        <f>landbouw!M8</f>
        <v>0</v>
      </c>
      <c r="N7" s="443">
        <f>landbouw!N8</f>
        <v>0</v>
      </c>
      <c r="O7" s="443">
        <f>landbouw!O8</f>
        <v>0</v>
      </c>
      <c r="P7" s="444">
        <f>landbouw!P8</f>
        <v>0</v>
      </c>
      <c r="Q7" s="442">
        <f t="shared" si="0"/>
        <v>19901.968522049294</v>
      </c>
    </row>
    <row r="8" spans="1:17">
      <c r="A8" s="442" t="s">
        <v>621</v>
      </c>
      <c r="B8" s="443">
        <f>industrie!B18</f>
        <v>19623.992483652921</v>
      </c>
      <c r="C8" s="443">
        <f>industrie!C18</f>
        <v>0</v>
      </c>
      <c r="D8" s="443">
        <f>industrie!D18</f>
        <v>11169.118824559841</v>
      </c>
      <c r="E8" s="443">
        <f>industrie!E18</f>
        <v>534.78214848988546</v>
      </c>
      <c r="F8" s="443">
        <f>industrie!F18</f>
        <v>2504.4633313772579</v>
      </c>
      <c r="G8" s="443">
        <f>industrie!G18</f>
        <v>0</v>
      </c>
      <c r="H8" s="443">
        <f>industrie!H18</f>
        <v>0</v>
      </c>
      <c r="I8" s="443">
        <f>industrie!I18</f>
        <v>0</v>
      </c>
      <c r="J8" s="443">
        <f>industrie!J18</f>
        <v>12.659502242654172</v>
      </c>
      <c r="K8" s="443">
        <f>industrie!K18</f>
        <v>0</v>
      </c>
      <c r="L8" s="443">
        <f>industrie!L18</f>
        <v>0</v>
      </c>
      <c r="M8" s="443">
        <f>industrie!M18</f>
        <v>0</v>
      </c>
      <c r="N8" s="443">
        <f>industrie!N18</f>
        <v>1358.4538376785126</v>
      </c>
      <c r="O8" s="443">
        <f>industrie!O18</f>
        <v>0</v>
      </c>
      <c r="P8" s="444">
        <f>industrie!P18</f>
        <v>0</v>
      </c>
      <c r="Q8" s="442">
        <f t="shared" si="0"/>
        <v>35203.470128001078</v>
      </c>
    </row>
    <row r="9" spans="1:17" s="448" customFormat="1">
      <c r="A9" s="446" t="s">
        <v>547</v>
      </c>
      <c r="B9" s="447">
        <f>transport!B14</f>
        <v>170.39681963696779</v>
      </c>
      <c r="C9" s="447">
        <f>transport!C14</f>
        <v>0</v>
      </c>
      <c r="D9" s="447">
        <f>transport!D14</f>
        <v>244.04923089655057</v>
      </c>
      <c r="E9" s="447">
        <f>transport!E14</f>
        <v>498.03817056441738</v>
      </c>
      <c r="F9" s="447">
        <f>transport!F14</f>
        <v>0</v>
      </c>
      <c r="G9" s="447">
        <f>transport!G14</f>
        <v>251475.57042219772</v>
      </c>
      <c r="H9" s="447">
        <f>transport!H14</f>
        <v>40624.677703065696</v>
      </c>
      <c r="I9" s="447">
        <f>transport!I14</f>
        <v>0</v>
      </c>
      <c r="J9" s="447">
        <f>transport!J14</f>
        <v>0</v>
      </c>
      <c r="K9" s="447">
        <f>transport!K14</f>
        <v>0</v>
      </c>
      <c r="L9" s="447">
        <f>transport!L14</f>
        <v>0</v>
      </c>
      <c r="M9" s="447">
        <f>transport!M14</f>
        <v>15888.549655948305</v>
      </c>
      <c r="N9" s="447">
        <f>transport!N14</f>
        <v>0</v>
      </c>
      <c r="O9" s="447">
        <f>transport!O14</f>
        <v>0</v>
      </c>
      <c r="P9" s="447">
        <f>transport!P14</f>
        <v>0</v>
      </c>
      <c r="Q9" s="446">
        <f>SUM(B9:P9)</f>
        <v>308901.28200230963</v>
      </c>
    </row>
    <row r="10" spans="1:17">
      <c r="A10" s="442" t="s">
        <v>537</v>
      </c>
      <c r="B10" s="443">
        <f>transport!B54</f>
        <v>13.24869452031519</v>
      </c>
      <c r="C10" s="443">
        <f>transport!C54</f>
        <v>0</v>
      </c>
      <c r="D10" s="443">
        <f>transport!D54</f>
        <v>0</v>
      </c>
      <c r="E10" s="443">
        <f>transport!E54</f>
        <v>0</v>
      </c>
      <c r="F10" s="443">
        <f>transport!F54</f>
        <v>0</v>
      </c>
      <c r="G10" s="443">
        <f>transport!G54</f>
        <v>1244.5833450175378</v>
      </c>
      <c r="H10" s="443">
        <f>transport!H54</f>
        <v>0</v>
      </c>
      <c r="I10" s="443">
        <f>transport!I54</f>
        <v>0</v>
      </c>
      <c r="J10" s="443">
        <f>transport!J54</f>
        <v>0</v>
      </c>
      <c r="K10" s="443">
        <f>transport!K54</f>
        <v>0</v>
      </c>
      <c r="L10" s="443">
        <f>transport!L54</f>
        <v>0</v>
      </c>
      <c r="M10" s="443">
        <f>transport!M54</f>
        <v>71.671817958120911</v>
      </c>
      <c r="N10" s="443">
        <f>transport!N54</f>
        <v>0</v>
      </c>
      <c r="O10" s="443">
        <f>transport!O54</f>
        <v>0</v>
      </c>
      <c r="P10" s="444">
        <f>transport!P54</f>
        <v>0</v>
      </c>
      <c r="Q10" s="442">
        <f t="shared" si="0"/>
        <v>1329.503857495974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2671.9068696384302</v>
      </c>
      <c r="C14" s="450"/>
      <c r="D14" s="450">
        <f>'SEAP template'!E25</f>
        <v>4847.6020632008203</v>
      </c>
      <c r="E14" s="450"/>
      <c r="F14" s="450"/>
      <c r="G14" s="450"/>
      <c r="H14" s="450"/>
      <c r="I14" s="450"/>
      <c r="J14" s="450"/>
      <c r="K14" s="450"/>
      <c r="L14" s="450"/>
      <c r="M14" s="450"/>
      <c r="N14" s="450"/>
      <c r="O14" s="450"/>
      <c r="P14" s="451"/>
      <c r="Q14" s="442">
        <f t="shared" si="0"/>
        <v>7519.5089328392505</v>
      </c>
    </row>
    <row r="15" spans="1:17" s="452" customFormat="1">
      <c r="A15" s="997" t="s">
        <v>541</v>
      </c>
      <c r="B15" s="945">
        <f ca="1">SUM(B4:B14)</f>
        <v>76967.973399434544</v>
      </c>
      <c r="C15" s="945">
        <f t="shared" ref="C15:Q15" ca="1" si="1">SUM(C4:C14)</f>
        <v>0</v>
      </c>
      <c r="D15" s="945">
        <f t="shared" ca="1" si="1"/>
        <v>115490.85228716292</v>
      </c>
      <c r="E15" s="945">
        <f t="shared" si="1"/>
        <v>3019.0181429446234</v>
      </c>
      <c r="F15" s="945">
        <f t="shared" ca="1" si="1"/>
        <v>57104.267638606252</v>
      </c>
      <c r="G15" s="945">
        <f t="shared" si="1"/>
        <v>252720.15376721526</v>
      </c>
      <c r="H15" s="945">
        <f t="shared" si="1"/>
        <v>40624.677703065696</v>
      </c>
      <c r="I15" s="945">
        <f t="shared" si="1"/>
        <v>0</v>
      </c>
      <c r="J15" s="945">
        <f t="shared" si="1"/>
        <v>491.66764120576789</v>
      </c>
      <c r="K15" s="945">
        <f t="shared" si="1"/>
        <v>0</v>
      </c>
      <c r="L15" s="945">
        <f t="shared" ca="1" si="1"/>
        <v>0</v>
      </c>
      <c r="M15" s="945">
        <f t="shared" si="1"/>
        <v>15960.221473906426</v>
      </c>
      <c r="N15" s="945">
        <f t="shared" ca="1" si="1"/>
        <v>15796.931735825634</v>
      </c>
      <c r="O15" s="945">
        <f t="shared" si="1"/>
        <v>353.31333333333333</v>
      </c>
      <c r="P15" s="945">
        <f t="shared" si="1"/>
        <v>1048.6666666666667</v>
      </c>
      <c r="Q15" s="945">
        <f t="shared" ca="1" si="1"/>
        <v>579577.74378936714</v>
      </c>
    </row>
    <row r="17" spans="1:17">
      <c r="A17" s="453" t="s">
        <v>542</v>
      </c>
      <c r="B17" s="752">
        <f ca="1">huishoudens!B10</f>
        <v>0.21151961495601115</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7518.9762679792248</v>
      </c>
      <c r="C22" s="443">
        <f t="shared" ref="C22:C32" ca="1" si="3">C4*$C$17</f>
        <v>0</v>
      </c>
      <c r="D22" s="443">
        <f t="shared" ref="D22:D32" si="4">D4*$D$17</f>
        <v>14461.376244081255</v>
      </c>
      <c r="E22" s="443">
        <f t="shared" ref="E22:E32" si="5">E4*$E$17</f>
        <v>393.70001957486403</v>
      </c>
      <c r="F22" s="443">
        <f t="shared" ref="F22:F32" si="6">F4*$F$17</f>
        <v>11732.23138955441</v>
      </c>
      <c r="G22" s="443">
        <f t="shared" ref="G22:G32" si="7">G4*$G$17</f>
        <v>0</v>
      </c>
      <c r="H22" s="443">
        <f t="shared" ref="H22:H32" si="8">H4*$H$17</f>
        <v>0</v>
      </c>
      <c r="I22" s="443">
        <f t="shared" ref="I22:I32" si="9">I4*$I$17</f>
        <v>0</v>
      </c>
      <c r="J22" s="443">
        <f t="shared" ref="J22:J32" si="10">J4*$J$17</f>
        <v>74.84936382943485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34181.133285019183</v>
      </c>
    </row>
    <row r="23" spans="1:17">
      <c r="A23" s="442" t="s">
        <v>149</v>
      </c>
      <c r="B23" s="443">
        <f t="shared" ca="1" si="2"/>
        <v>3343.3960176949931</v>
      </c>
      <c r="C23" s="443">
        <f t="shared" ca="1" si="3"/>
        <v>0</v>
      </c>
      <c r="D23" s="443">
        <f t="shared" ca="1" si="4"/>
        <v>3554.5000254012934</v>
      </c>
      <c r="E23" s="443">
        <f t="shared" si="5"/>
        <v>44.848274117919878</v>
      </c>
      <c r="F23" s="443">
        <f t="shared" ca="1" si="6"/>
        <v>792.31517263659714</v>
      </c>
      <c r="G23" s="443">
        <f t="shared" si="7"/>
        <v>0</v>
      </c>
      <c r="H23" s="443">
        <f t="shared" si="8"/>
        <v>0</v>
      </c>
      <c r="I23" s="443">
        <f t="shared" si="9"/>
        <v>0</v>
      </c>
      <c r="J23" s="443">
        <f t="shared" si="10"/>
        <v>3.0744068492485954E-2</v>
      </c>
      <c r="K23" s="443">
        <f t="shared" si="11"/>
        <v>0</v>
      </c>
      <c r="L23" s="443">
        <f t="shared" ca="1" si="12"/>
        <v>0</v>
      </c>
      <c r="M23" s="443">
        <f t="shared" si="13"/>
        <v>0</v>
      </c>
      <c r="N23" s="443">
        <f t="shared" ca="1" si="14"/>
        <v>0</v>
      </c>
      <c r="O23" s="443">
        <f t="shared" si="15"/>
        <v>0</v>
      </c>
      <c r="P23" s="444">
        <f t="shared" si="16"/>
        <v>0</v>
      </c>
      <c r="Q23" s="442">
        <f t="shared" ref="Q23:Q32" ca="1" si="17">SUM(B23:P23)</f>
        <v>7735.0902339192962</v>
      </c>
    </row>
    <row r="24" spans="1:17">
      <c r="A24" s="442" t="s">
        <v>187</v>
      </c>
      <c r="B24" s="443">
        <f t="shared" ca="1" si="2"/>
        <v>272.48041406479337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272.48041406479337</v>
      </c>
    </row>
    <row r="25" spans="1:17">
      <c r="A25" s="442" t="s">
        <v>105</v>
      </c>
      <c r="B25" s="443">
        <f t="shared" ca="1" si="2"/>
        <v>390.51872290478173</v>
      </c>
      <c r="C25" s="443">
        <f t="shared" ca="1" si="3"/>
        <v>0</v>
      </c>
      <c r="D25" s="443">
        <f t="shared" si="4"/>
        <v>2028.6003285556092</v>
      </c>
      <c r="E25" s="443">
        <f t="shared" si="5"/>
        <v>12.318612330318961</v>
      </c>
      <c r="F25" s="443">
        <f t="shared" si="6"/>
        <v>2053.601187839135</v>
      </c>
      <c r="G25" s="443">
        <f t="shared" si="7"/>
        <v>0</v>
      </c>
      <c r="H25" s="443">
        <f t="shared" si="8"/>
        <v>0</v>
      </c>
      <c r="I25" s="443">
        <f t="shared" si="9"/>
        <v>0</v>
      </c>
      <c r="J25" s="443">
        <f t="shared" si="10"/>
        <v>94.688773295014911</v>
      </c>
      <c r="K25" s="443">
        <f t="shared" si="11"/>
        <v>0</v>
      </c>
      <c r="L25" s="443">
        <f t="shared" si="12"/>
        <v>0</v>
      </c>
      <c r="M25" s="443">
        <f t="shared" si="13"/>
        <v>0</v>
      </c>
      <c r="N25" s="443">
        <f t="shared" si="14"/>
        <v>0</v>
      </c>
      <c r="O25" s="443">
        <f t="shared" si="15"/>
        <v>0</v>
      </c>
      <c r="P25" s="444">
        <f t="shared" si="16"/>
        <v>0</v>
      </c>
      <c r="Q25" s="442">
        <f t="shared" ca="1" si="17"/>
        <v>4579.7276249248589</v>
      </c>
    </row>
    <row r="26" spans="1:17">
      <c r="A26" s="442" t="s">
        <v>621</v>
      </c>
      <c r="B26" s="443">
        <f t="shared" ca="1" si="2"/>
        <v>4150.8593340419229</v>
      </c>
      <c r="C26" s="443">
        <f t="shared" ca="1" si="3"/>
        <v>0</v>
      </c>
      <c r="D26" s="443">
        <f t="shared" si="4"/>
        <v>2256.1620025610878</v>
      </c>
      <c r="E26" s="443">
        <f t="shared" si="5"/>
        <v>121.395547707204</v>
      </c>
      <c r="F26" s="443">
        <f t="shared" si="6"/>
        <v>668.69170947772784</v>
      </c>
      <c r="G26" s="443">
        <f t="shared" si="7"/>
        <v>0</v>
      </c>
      <c r="H26" s="443">
        <f t="shared" si="8"/>
        <v>0</v>
      </c>
      <c r="I26" s="443">
        <f t="shared" si="9"/>
        <v>0</v>
      </c>
      <c r="J26" s="443">
        <f t="shared" si="10"/>
        <v>4.4814637938995769</v>
      </c>
      <c r="K26" s="443">
        <f t="shared" si="11"/>
        <v>0</v>
      </c>
      <c r="L26" s="443">
        <f t="shared" si="12"/>
        <v>0</v>
      </c>
      <c r="M26" s="443">
        <f t="shared" si="13"/>
        <v>0</v>
      </c>
      <c r="N26" s="443">
        <f t="shared" si="14"/>
        <v>0</v>
      </c>
      <c r="O26" s="443">
        <f t="shared" si="15"/>
        <v>0</v>
      </c>
      <c r="P26" s="444">
        <f t="shared" si="16"/>
        <v>0</v>
      </c>
      <c r="Q26" s="442">
        <f t="shared" ca="1" si="17"/>
        <v>7201.5900575818432</v>
      </c>
    </row>
    <row r="27" spans="1:17" s="448" customFormat="1">
      <c r="A27" s="446" t="s">
        <v>547</v>
      </c>
      <c r="B27" s="746">
        <f t="shared" ca="1" si="2"/>
        <v>36.042269679340308</v>
      </c>
      <c r="C27" s="447">
        <f t="shared" ca="1" si="3"/>
        <v>0</v>
      </c>
      <c r="D27" s="447">
        <f t="shared" si="4"/>
        <v>49.297944641103221</v>
      </c>
      <c r="E27" s="447">
        <f t="shared" si="5"/>
        <v>113.05466471812275</v>
      </c>
      <c r="F27" s="447">
        <f t="shared" si="6"/>
        <v>0</v>
      </c>
      <c r="G27" s="447">
        <f t="shared" si="7"/>
        <v>67143.977302726795</v>
      </c>
      <c r="H27" s="447">
        <f t="shared" si="8"/>
        <v>10115.544748063357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77457.916929828716</v>
      </c>
    </row>
    <row r="28" spans="1:17">
      <c r="A28" s="442" t="s">
        <v>537</v>
      </c>
      <c r="B28" s="443">
        <f t="shared" ca="1" si="2"/>
        <v>2.8023587636068839</v>
      </c>
      <c r="C28" s="443">
        <f t="shared" ca="1" si="3"/>
        <v>0</v>
      </c>
      <c r="D28" s="443">
        <f t="shared" si="4"/>
        <v>0</v>
      </c>
      <c r="E28" s="443">
        <f t="shared" si="5"/>
        <v>0</v>
      </c>
      <c r="F28" s="443">
        <f t="shared" si="6"/>
        <v>0</v>
      </c>
      <c r="G28" s="443">
        <f t="shared" si="7"/>
        <v>332.3037531196826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335.10611188328949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565.16071226424185</v>
      </c>
      <c r="C32" s="443">
        <f t="shared" ca="1" si="3"/>
        <v>0</v>
      </c>
      <c r="D32" s="443">
        <f t="shared" si="4"/>
        <v>979.21561676656574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1544.3763290308075</v>
      </c>
    </row>
    <row r="33" spans="1:17" s="452" customFormat="1">
      <c r="A33" s="997" t="s">
        <v>541</v>
      </c>
      <c r="B33" s="945">
        <f ca="1">SUM(B22:B32)</f>
        <v>16280.236097392906</v>
      </c>
      <c r="C33" s="945">
        <f t="shared" ref="C33:Q33" ca="1" si="18">SUM(C22:C32)</f>
        <v>0</v>
      </c>
      <c r="D33" s="945">
        <f t="shared" ca="1" si="18"/>
        <v>23329.152162006918</v>
      </c>
      <c r="E33" s="945">
        <f t="shared" si="18"/>
        <v>685.31711844842948</v>
      </c>
      <c r="F33" s="945">
        <f t="shared" ca="1" si="18"/>
        <v>15246.83945950787</v>
      </c>
      <c r="G33" s="945">
        <f t="shared" si="18"/>
        <v>67476.281055846484</v>
      </c>
      <c r="H33" s="945">
        <f t="shared" si="18"/>
        <v>10115.544748063357</v>
      </c>
      <c r="I33" s="945">
        <f t="shared" si="18"/>
        <v>0</v>
      </c>
      <c r="J33" s="945">
        <f t="shared" si="18"/>
        <v>174.05034498684179</v>
      </c>
      <c r="K33" s="945">
        <f t="shared" si="18"/>
        <v>0</v>
      </c>
      <c r="L33" s="945">
        <f t="shared" ca="1" si="18"/>
        <v>0</v>
      </c>
      <c r="M33" s="945">
        <f t="shared" si="18"/>
        <v>0</v>
      </c>
      <c r="N33" s="945">
        <f t="shared" ca="1" si="18"/>
        <v>0</v>
      </c>
      <c r="O33" s="945">
        <f t="shared" si="18"/>
        <v>0</v>
      </c>
      <c r="P33" s="945">
        <f t="shared" si="18"/>
        <v>0</v>
      </c>
      <c r="Q33" s="945">
        <f t="shared" ca="1" si="18"/>
        <v>133307.42098625281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3301.7467143987869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3301.7467143987869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0.21151961495601115</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0.21151961495601115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0.21151961495601115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0.21151961495601115</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7512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824.53</v>
      </c>
      <c r="C14" s="324"/>
      <c r="D14" s="324"/>
      <c r="E14" s="324"/>
      <c r="F14" s="324"/>
    </row>
    <row r="15" spans="1:6">
      <c r="A15" s="1289" t="s">
        <v>177</v>
      </c>
      <c r="B15" s="1290">
        <v>5</v>
      </c>
      <c r="C15" s="324"/>
      <c r="D15" s="324"/>
      <c r="E15" s="324"/>
      <c r="F15" s="324"/>
    </row>
    <row r="16" spans="1:6">
      <c r="A16" s="1289" t="s">
        <v>6</v>
      </c>
      <c r="B16" s="1290">
        <v>173</v>
      </c>
      <c r="C16" s="324"/>
      <c r="D16" s="324"/>
      <c r="E16" s="324"/>
      <c r="F16" s="324"/>
    </row>
    <row r="17" spans="1:6">
      <c r="A17" s="1289" t="s">
        <v>7</v>
      </c>
      <c r="B17" s="1290">
        <v>67</v>
      </c>
      <c r="C17" s="324"/>
      <c r="D17" s="324"/>
      <c r="E17" s="324"/>
      <c r="F17" s="324"/>
    </row>
    <row r="18" spans="1:6">
      <c r="A18" s="1289" t="s">
        <v>8</v>
      </c>
      <c r="B18" s="1290">
        <v>120</v>
      </c>
      <c r="C18" s="324"/>
      <c r="D18" s="324"/>
      <c r="E18" s="324"/>
      <c r="F18" s="324"/>
    </row>
    <row r="19" spans="1:6">
      <c r="A19" s="1289" t="s">
        <v>9</v>
      </c>
      <c r="B19" s="1290">
        <v>122</v>
      </c>
      <c r="C19" s="324"/>
      <c r="D19" s="324"/>
      <c r="E19" s="324"/>
      <c r="F19" s="324"/>
    </row>
    <row r="20" spans="1:6">
      <c r="A20" s="1289" t="s">
        <v>10</v>
      </c>
      <c r="B20" s="1290">
        <v>83</v>
      </c>
      <c r="C20" s="324"/>
      <c r="D20" s="324"/>
      <c r="E20" s="324"/>
      <c r="F20" s="324"/>
    </row>
    <row r="21" spans="1:6">
      <c r="A21" s="1289" t="s">
        <v>11</v>
      </c>
      <c r="B21" s="1290">
        <v>590</v>
      </c>
      <c r="C21" s="324"/>
      <c r="D21" s="324"/>
      <c r="E21" s="324"/>
      <c r="F21" s="324"/>
    </row>
    <row r="22" spans="1:6">
      <c r="A22" s="1289" t="s">
        <v>12</v>
      </c>
      <c r="B22" s="1290">
        <v>778</v>
      </c>
      <c r="C22" s="324"/>
      <c r="D22" s="324"/>
      <c r="E22" s="324"/>
      <c r="F22" s="324"/>
    </row>
    <row r="23" spans="1:6">
      <c r="A23" s="1289" t="s">
        <v>13</v>
      </c>
      <c r="B23" s="1290">
        <v>6</v>
      </c>
      <c r="C23" s="324"/>
      <c r="D23" s="324"/>
      <c r="E23" s="324"/>
      <c r="F23" s="324"/>
    </row>
    <row r="24" spans="1:6">
      <c r="A24" s="1289" t="s">
        <v>14</v>
      </c>
      <c r="B24" s="1290">
        <v>1</v>
      </c>
      <c r="C24" s="324"/>
      <c r="D24" s="324"/>
      <c r="E24" s="324"/>
      <c r="F24" s="324"/>
    </row>
    <row r="25" spans="1:6">
      <c r="A25" s="1289" t="s">
        <v>15</v>
      </c>
      <c r="B25" s="1290">
        <v>130</v>
      </c>
      <c r="C25" s="324"/>
      <c r="D25" s="324"/>
      <c r="E25" s="324"/>
      <c r="F25" s="324"/>
    </row>
    <row r="26" spans="1:6">
      <c r="A26" s="1289" t="s">
        <v>16</v>
      </c>
      <c r="B26" s="1290">
        <v>40</v>
      </c>
      <c r="C26" s="324"/>
      <c r="D26" s="324"/>
      <c r="E26" s="324"/>
      <c r="F26" s="324"/>
    </row>
    <row r="27" spans="1:6">
      <c r="A27" s="1289" t="s">
        <v>17</v>
      </c>
      <c r="B27" s="1290">
        <v>2</v>
      </c>
      <c r="C27" s="324"/>
      <c r="D27" s="324"/>
      <c r="E27" s="324"/>
      <c r="F27" s="324"/>
    </row>
    <row r="28" spans="1:6">
      <c r="A28" s="1289" t="s">
        <v>18</v>
      </c>
      <c r="B28" s="1291">
        <v>52455</v>
      </c>
      <c r="C28" s="324"/>
      <c r="D28" s="324"/>
      <c r="E28" s="324"/>
      <c r="F28" s="324"/>
    </row>
    <row r="29" spans="1:6">
      <c r="A29" s="1289" t="s">
        <v>716</v>
      </c>
      <c r="B29" s="1291">
        <v>215</v>
      </c>
      <c r="C29" s="324"/>
      <c r="D29" s="324"/>
      <c r="E29" s="324"/>
      <c r="F29" s="324"/>
    </row>
    <row r="30" spans="1:6">
      <c r="A30" s="1284" t="s">
        <v>717</v>
      </c>
      <c r="B30" s="1292">
        <v>32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3</v>
      </c>
      <c r="F38" s="1290">
        <v>19975.880061175099</v>
      </c>
    </row>
    <row r="39" spans="1:6">
      <c r="A39" s="1289" t="s">
        <v>29</v>
      </c>
      <c r="B39" s="1289" t="s">
        <v>30</v>
      </c>
      <c r="C39" s="1290">
        <v>4714</v>
      </c>
      <c r="D39" s="1290">
        <v>79369148.010368899</v>
      </c>
      <c r="E39" s="1290">
        <v>7207</v>
      </c>
      <c r="F39" s="1290">
        <v>32609104.679175999</v>
      </c>
    </row>
    <row r="40" spans="1:6">
      <c r="A40" s="1289" t="s">
        <v>29</v>
      </c>
      <c r="B40" s="1289" t="s">
        <v>28</v>
      </c>
      <c r="C40" s="1290">
        <v>0</v>
      </c>
      <c r="D40" s="1290">
        <v>0</v>
      </c>
      <c r="E40" s="1290">
        <v>0</v>
      </c>
      <c r="F40" s="1290">
        <v>0</v>
      </c>
    </row>
    <row r="41" spans="1:6">
      <c r="A41" s="1289" t="s">
        <v>31</v>
      </c>
      <c r="B41" s="1289" t="s">
        <v>32</v>
      </c>
      <c r="C41" s="1290">
        <v>63</v>
      </c>
      <c r="D41" s="1290">
        <v>1256351.1535850801</v>
      </c>
      <c r="E41" s="1290">
        <v>137</v>
      </c>
      <c r="F41" s="1290">
        <v>1048289.92537938</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4</v>
      </c>
      <c r="D44" s="1290">
        <v>97025.442909815101</v>
      </c>
      <c r="E44" s="1290">
        <v>16</v>
      </c>
      <c r="F44" s="1290">
        <v>180274.501908562</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30</v>
      </c>
      <c r="D48" s="1290">
        <v>3269195.2451889301</v>
      </c>
      <c r="E48" s="1290">
        <v>39</v>
      </c>
      <c r="F48" s="1290">
        <v>3536192.5937363799</v>
      </c>
    </row>
    <row r="49" spans="1:6">
      <c r="A49" s="1289" t="s">
        <v>31</v>
      </c>
      <c r="B49" s="1289" t="s">
        <v>39</v>
      </c>
      <c r="C49" s="1290">
        <v>0</v>
      </c>
      <c r="D49" s="1290">
        <v>0</v>
      </c>
      <c r="E49" s="1290">
        <v>0</v>
      </c>
      <c r="F49" s="1290">
        <v>0</v>
      </c>
    </row>
    <row r="50" spans="1:6">
      <c r="A50" s="1289" t="s">
        <v>31</v>
      </c>
      <c r="B50" s="1289" t="s">
        <v>40</v>
      </c>
      <c r="C50" s="1290">
        <v>8</v>
      </c>
      <c r="D50" s="1290">
        <v>7760043.2631497001</v>
      </c>
      <c r="E50" s="1290">
        <v>12</v>
      </c>
      <c r="F50" s="1290">
        <v>14859235.462628599</v>
      </c>
    </row>
    <row r="51" spans="1:6">
      <c r="A51" s="1289" t="s">
        <v>41</v>
      </c>
      <c r="B51" s="1289" t="s">
        <v>42</v>
      </c>
      <c r="C51" s="1290">
        <v>19</v>
      </c>
      <c r="D51" s="1290">
        <v>11010522.544458499</v>
      </c>
      <c r="E51" s="1290">
        <v>67</v>
      </c>
      <c r="F51" s="1290">
        <v>1718062.58094037</v>
      </c>
    </row>
    <row r="52" spans="1:6">
      <c r="A52" s="1289" t="s">
        <v>41</v>
      </c>
      <c r="B52" s="1289" t="s">
        <v>28</v>
      </c>
      <c r="C52" s="1290">
        <v>5</v>
      </c>
      <c r="D52" s="1290">
        <v>123153.601814957</v>
      </c>
      <c r="E52" s="1290">
        <v>10</v>
      </c>
      <c r="F52" s="1290">
        <v>128190.41543538601</v>
      </c>
    </row>
    <row r="53" spans="1:6">
      <c r="A53" s="1289" t="s">
        <v>43</v>
      </c>
      <c r="B53" s="1289" t="s">
        <v>44</v>
      </c>
      <c r="C53" s="1290">
        <v>143</v>
      </c>
      <c r="D53" s="1290">
        <v>4847602.0632008202</v>
      </c>
      <c r="E53" s="1290">
        <v>352</v>
      </c>
      <c r="F53" s="1290">
        <v>2671906.86963843</v>
      </c>
    </row>
    <row r="54" spans="1:6">
      <c r="A54" s="1289" t="s">
        <v>45</v>
      </c>
      <c r="B54" s="1289" t="s">
        <v>46</v>
      </c>
      <c r="C54" s="1290">
        <v>0</v>
      </c>
      <c r="D54" s="1290">
        <v>0</v>
      </c>
      <c r="E54" s="1290">
        <v>2</v>
      </c>
      <c r="F54" s="1290">
        <v>1288204</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41</v>
      </c>
      <c r="D57" s="1290">
        <v>2002111.7266941599</v>
      </c>
      <c r="E57" s="1290">
        <v>90</v>
      </c>
      <c r="F57" s="1290">
        <v>3728472.3241446801</v>
      </c>
    </row>
    <row r="58" spans="1:6">
      <c r="A58" s="1289" t="s">
        <v>48</v>
      </c>
      <c r="B58" s="1289" t="s">
        <v>50</v>
      </c>
      <c r="C58" s="1290">
        <v>39</v>
      </c>
      <c r="D58" s="1290">
        <v>1345208.7983112</v>
      </c>
      <c r="E58" s="1290">
        <v>58</v>
      </c>
      <c r="F58" s="1290">
        <v>695286.29982364504</v>
      </c>
    </row>
    <row r="59" spans="1:6">
      <c r="A59" s="1289" t="s">
        <v>48</v>
      </c>
      <c r="B59" s="1289" t="s">
        <v>51</v>
      </c>
      <c r="C59" s="1290">
        <v>67</v>
      </c>
      <c r="D59" s="1290">
        <v>2272541.1375973201</v>
      </c>
      <c r="E59" s="1290">
        <v>186</v>
      </c>
      <c r="F59" s="1290">
        <v>3766983.69669165</v>
      </c>
    </row>
    <row r="60" spans="1:6">
      <c r="A60" s="1289" t="s">
        <v>48</v>
      </c>
      <c r="B60" s="1289" t="s">
        <v>52</v>
      </c>
      <c r="C60" s="1290">
        <v>51</v>
      </c>
      <c r="D60" s="1290">
        <v>2054303.5942029799</v>
      </c>
      <c r="E60" s="1290">
        <v>74</v>
      </c>
      <c r="F60" s="1290">
        <v>1687370.2280967201</v>
      </c>
    </row>
    <row r="61" spans="1:6">
      <c r="A61" s="1289" t="s">
        <v>48</v>
      </c>
      <c r="B61" s="1289" t="s">
        <v>53</v>
      </c>
      <c r="C61" s="1290">
        <v>172</v>
      </c>
      <c r="D61" s="1290">
        <v>7422163.5919965403</v>
      </c>
      <c r="E61" s="1290">
        <v>315</v>
      </c>
      <c r="F61" s="1290">
        <v>3357251.3195081698</v>
      </c>
    </row>
    <row r="62" spans="1:6">
      <c r="A62" s="1289" t="s">
        <v>48</v>
      </c>
      <c r="B62" s="1289" t="s">
        <v>54</v>
      </c>
      <c r="C62" s="1290">
        <v>5</v>
      </c>
      <c r="D62" s="1290">
        <v>546577.53859066404</v>
      </c>
      <c r="E62" s="1290">
        <v>9</v>
      </c>
      <c r="F62" s="1290">
        <v>127633.344090307</v>
      </c>
    </row>
    <row r="63" spans="1:6">
      <c r="A63" s="1289" t="s">
        <v>48</v>
      </c>
      <c r="B63" s="1289" t="s">
        <v>28</v>
      </c>
      <c r="C63" s="1290">
        <v>91</v>
      </c>
      <c r="D63" s="1290">
        <v>3865447.0263702399</v>
      </c>
      <c r="E63" s="1290">
        <v>99</v>
      </c>
      <c r="F63" s="1290">
        <v>2443555.8507747198</v>
      </c>
    </row>
    <row r="64" spans="1:6">
      <c r="A64" s="1289" t="s">
        <v>55</v>
      </c>
      <c r="B64" s="1289" t="s">
        <v>56</v>
      </c>
      <c r="C64" s="1290">
        <v>0</v>
      </c>
      <c r="D64" s="1290">
        <v>0</v>
      </c>
      <c r="E64" s="1290">
        <v>0</v>
      </c>
      <c r="F64" s="1290">
        <v>0</v>
      </c>
    </row>
    <row r="65" spans="1:6">
      <c r="A65" s="1289" t="s">
        <v>55</v>
      </c>
      <c r="B65" s="1289" t="s">
        <v>28</v>
      </c>
      <c r="C65" s="1290">
        <v>2</v>
      </c>
      <c r="D65" s="1290">
        <v>16716.989708028599</v>
      </c>
      <c r="E65" s="1290">
        <v>5</v>
      </c>
      <c r="F65" s="1290">
        <v>679525.64680637303</v>
      </c>
    </row>
    <row r="66" spans="1:6">
      <c r="A66" s="1289" t="s">
        <v>55</v>
      </c>
      <c r="B66" s="1289" t="s">
        <v>57</v>
      </c>
      <c r="C66" s="1290">
        <v>0</v>
      </c>
      <c r="D66" s="1290">
        <v>0</v>
      </c>
      <c r="E66" s="1290">
        <v>8</v>
      </c>
      <c r="F66" s="1290">
        <v>962972.67931207002</v>
      </c>
    </row>
    <row r="67" spans="1:6">
      <c r="A67" s="1289" t="s">
        <v>55</v>
      </c>
      <c r="B67" s="1289" t="s">
        <v>58</v>
      </c>
      <c r="C67" s="1290">
        <v>0</v>
      </c>
      <c r="D67" s="1290">
        <v>0</v>
      </c>
      <c r="E67" s="1290">
        <v>0</v>
      </c>
      <c r="F67" s="1290">
        <v>0</v>
      </c>
    </row>
    <row r="68" spans="1:6">
      <c r="A68" s="1284" t="s">
        <v>55</v>
      </c>
      <c r="B68" s="1284" t="s">
        <v>59</v>
      </c>
      <c r="C68" s="1292">
        <v>9</v>
      </c>
      <c r="D68" s="1292">
        <v>1298720.9054836901</v>
      </c>
      <c r="E68" s="1292">
        <v>12</v>
      </c>
      <c r="F68" s="1292">
        <v>99114.291561973499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30530839</v>
      </c>
      <c r="E73" s="441"/>
      <c r="F73" s="324"/>
    </row>
    <row r="74" spans="1:6">
      <c r="A74" s="1289" t="s">
        <v>63</v>
      </c>
      <c r="B74" s="1289" t="s">
        <v>642</v>
      </c>
      <c r="C74" s="1302" t="s">
        <v>644</v>
      </c>
      <c r="D74" s="1290">
        <v>3570697.5</v>
      </c>
      <c r="E74" s="441"/>
      <c r="F74" s="324"/>
    </row>
    <row r="75" spans="1:6">
      <c r="A75" s="1289" t="s">
        <v>64</v>
      </c>
      <c r="B75" s="1289" t="s">
        <v>641</v>
      </c>
      <c r="C75" s="1302" t="s">
        <v>645</v>
      </c>
      <c r="D75" s="1290">
        <v>23619178</v>
      </c>
      <c r="E75" s="441"/>
      <c r="F75" s="324"/>
    </row>
    <row r="76" spans="1:6">
      <c r="A76" s="1289" t="s">
        <v>64</v>
      </c>
      <c r="B76" s="1289" t="s">
        <v>642</v>
      </c>
      <c r="C76" s="1302" t="s">
        <v>646</v>
      </c>
      <c r="D76" s="1290">
        <v>1173932.5</v>
      </c>
      <c r="E76" s="441"/>
      <c r="F76" s="324"/>
    </row>
    <row r="77" spans="1:6">
      <c r="A77" s="1289" t="s">
        <v>65</v>
      </c>
      <c r="B77" s="1289" t="s">
        <v>641</v>
      </c>
      <c r="C77" s="1302" t="s">
        <v>647</v>
      </c>
      <c r="D77" s="1290">
        <v>226976201</v>
      </c>
      <c r="E77" s="441"/>
      <c r="F77" s="324"/>
    </row>
    <row r="78" spans="1:6">
      <c r="A78" s="1284" t="s">
        <v>65</v>
      </c>
      <c r="B78" s="1284" t="s">
        <v>642</v>
      </c>
      <c r="C78" s="1284" t="s">
        <v>648</v>
      </c>
      <c r="D78" s="1292">
        <v>40895788</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361607</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2938.3137933042713</v>
      </c>
      <c r="C91" s="324"/>
      <c r="D91" s="324"/>
      <c r="E91" s="324"/>
      <c r="F91" s="324"/>
    </row>
    <row r="92" spans="1:6">
      <c r="A92" s="1284" t="s">
        <v>68</v>
      </c>
      <c r="B92" s="1285">
        <v>363.43292109451579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2414</v>
      </c>
      <c r="C97" s="324"/>
      <c r="D97" s="324"/>
      <c r="E97" s="324"/>
      <c r="F97" s="324"/>
    </row>
    <row r="98" spans="1:6">
      <c r="A98" s="1289" t="s">
        <v>71</v>
      </c>
      <c r="B98" s="1290">
        <v>0</v>
      </c>
      <c r="C98" s="324"/>
      <c r="D98" s="324"/>
      <c r="E98" s="324"/>
      <c r="F98" s="324"/>
    </row>
    <row r="99" spans="1:6">
      <c r="A99" s="1289" t="s">
        <v>72</v>
      </c>
      <c r="B99" s="1290">
        <v>71</v>
      </c>
      <c r="C99" s="324"/>
      <c r="D99" s="324"/>
      <c r="E99" s="324"/>
      <c r="F99" s="324"/>
    </row>
    <row r="100" spans="1:6">
      <c r="A100" s="1289" t="s">
        <v>73</v>
      </c>
      <c r="B100" s="1290">
        <v>936</v>
      </c>
      <c r="C100" s="324"/>
      <c r="D100" s="324"/>
      <c r="E100" s="324"/>
      <c r="F100" s="324"/>
    </row>
    <row r="101" spans="1:6">
      <c r="A101" s="1289" t="s">
        <v>74</v>
      </c>
      <c r="B101" s="1290">
        <v>69</v>
      </c>
      <c r="C101" s="324"/>
      <c r="D101" s="324"/>
      <c r="E101" s="324"/>
      <c r="F101" s="324"/>
    </row>
    <row r="102" spans="1:6">
      <c r="A102" s="1289" t="s">
        <v>75</v>
      </c>
      <c r="B102" s="1290">
        <v>106</v>
      </c>
      <c r="C102" s="324"/>
      <c r="D102" s="324"/>
      <c r="E102" s="324"/>
      <c r="F102" s="324"/>
    </row>
    <row r="103" spans="1:6">
      <c r="A103" s="1289" t="s">
        <v>76</v>
      </c>
      <c r="B103" s="1290">
        <v>213</v>
      </c>
      <c r="C103" s="324"/>
      <c r="D103" s="324"/>
      <c r="E103" s="324"/>
      <c r="F103" s="324"/>
    </row>
    <row r="104" spans="1:6">
      <c r="A104" s="1289" t="s">
        <v>77</v>
      </c>
      <c r="B104" s="1290">
        <v>2822</v>
      </c>
      <c r="C104" s="324"/>
      <c r="D104" s="324"/>
      <c r="E104" s="324"/>
      <c r="F104" s="324"/>
    </row>
    <row r="105" spans="1:6">
      <c r="A105" s="1284" t="s">
        <v>78</v>
      </c>
      <c r="B105" s="1292">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27</v>
      </c>
      <c r="C123" s="1290">
        <v>69</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156</v>
      </c>
      <c r="C129" s="324"/>
      <c r="D129" s="324"/>
      <c r="E129" s="324"/>
      <c r="F129" s="324"/>
    </row>
    <row r="130" spans="1:6">
      <c r="A130" s="1289" t="s">
        <v>283</v>
      </c>
      <c r="B130" s="1290">
        <v>1</v>
      </c>
      <c r="C130" s="324"/>
      <c r="D130" s="324"/>
      <c r="E130" s="324"/>
      <c r="F130" s="324"/>
    </row>
    <row r="131" spans="1:6">
      <c r="A131" s="1289" t="s">
        <v>284</v>
      </c>
      <c r="B131" s="1290">
        <v>3</v>
      </c>
      <c r="C131" s="324"/>
      <c r="D131" s="324"/>
      <c r="E131" s="324"/>
      <c r="F131" s="324"/>
    </row>
    <row r="132" spans="1:6">
      <c r="A132" s="1284" t="s">
        <v>285</v>
      </c>
      <c r="B132" s="1285">
        <v>25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76967.973399434559</v>
      </c>
      <c r="C3" s="43" t="s">
        <v>163</v>
      </c>
      <c r="D3" s="43"/>
      <c r="E3" s="154"/>
      <c r="F3" s="43"/>
      <c r="G3" s="43"/>
      <c r="H3" s="43"/>
      <c r="I3" s="43"/>
      <c r="J3" s="43"/>
      <c r="K3" s="96"/>
    </row>
    <row r="4" spans="1:11">
      <c r="A4" s="350" t="s">
        <v>164</v>
      </c>
      <c r="B4" s="49">
        <f>IF(ISERROR('SEAP template'!B78+'SEAP template'!C78),0,'SEAP template'!B78+'SEAP template'!C78)</f>
        <v>3301.7467143987869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0.21151961495601115</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1288.204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1288.204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0.21151961495601115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272.48041406479337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32609.104679175998</v>
      </c>
      <c r="C5" s="17">
        <f>IF(ISERROR('Eigen informatie GS &amp; warmtenet'!B57),0,'Eigen informatie GS &amp; warmtenet'!B57)</f>
        <v>0</v>
      </c>
      <c r="D5" s="30">
        <f>(SUM(HH_hh_gas_kWh,HH_rest_gas_kWh)/1000)*0.902</f>
        <v>71590.971505352747</v>
      </c>
      <c r="E5" s="17">
        <f>B32*B41</f>
        <v>1734.3613197130574</v>
      </c>
      <c r="F5" s="17">
        <f>B36*B45</f>
        <v>43940.941533911646</v>
      </c>
      <c r="G5" s="18"/>
      <c r="H5" s="17"/>
      <c r="I5" s="17"/>
      <c r="J5" s="17">
        <f>B35*B44+C35*C44</f>
        <v>211.43888087410977</v>
      </c>
      <c r="K5" s="17"/>
      <c r="L5" s="17"/>
      <c r="M5" s="17"/>
      <c r="N5" s="17">
        <f>B34*B43+C34*C43</f>
        <v>11015.711462799645</v>
      </c>
      <c r="O5" s="17">
        <f>B52*B53*B54</f>
        <v>351.75</v>
      </c>
      <c r="P5" s="17">
        <f>B60*B61*B62/1000-B60*B61*B62/1000/B63</f>
        <v>991.4666666666667</v>
      </c>
    </row>
    <row r="6" spans="1:16">
      <c r="A6" s="16" t="s">
        <v>607</v>
      </c>
      <c r="B6" s="754">
        <f>kWh_PV_kleiner_dan_10kW</f>
        <v>2938.3137933042713</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35547.418472480269</v>
      </c>
      <c r="C8" s="21">
        <f>C5</f>
        <v>0</v>
      </c>
      <c r="D8" s="21">
        <f>D5</f>
        <v>71590.971505352747</v>
      </c>
      <c r="E8" s="21">
        <f>E5</f>
        <v>1734.3613197130574</v>
      </c>
      <c r="F8" s="21">
        <f>F5</f>
        <v>43940.941533911646</v>
      </c>
      <c r="G8" s="21"/>
      <c r="H8" s="21"/>
      <c r="I8" s="21"/>
      <c r="J8" s="21">
        <f>J5</f>
        <v>211.43888087410977</v>
      </c>
      <c r="K8" s="21"/>
      <c r="L8" s="21">
        <f>L5</f>
        <v>0</v>
      </c>
      <c r="M8" s="21">
        <f>M5</f>
        <v>0</v>
      </c>
      <c r="N8" s="21">
        <f>N5</f>
        <v>11015.711462799645</v>
      </c>
      <c r="O8" s="21">
        <f>O5</f>
        <v>351.75</v>
      </c>
      <c r="P8" s="21">
        <f>P5</f>
        <v>991.4666666666667</v>
      </c>
    </row>
    <row r="9" spans="1:16">
      <c r="B9" s="19"/>
      <c r="C9" s="19"/>
      <c r="D9" s="254"/>
      <c r="E9" s="19"/>
      <c r="F9" s="19"/>
      <c r="G9" s="19"/>
      <c r="H9" s="19"/>
      <c r="I9" s="19"/>
      <c r="J9" s="19"/>
      <c r="K9" s="19"/>
      <c r="L9" s="19"/>
      <c r="M9" s="19"/>
      <c r="N9" s="19"/>
      <c r="O9" s="19"/>
      <c r="P9" s="19"/>
    </row>
    <row r="10" spans="1:16">
      <c r="A10" s="24" t="s">
        <v>207</v>
      </c>
      <c r="B10" s="25">
        <f ca="1">'EF ele_warmte'!B12</f>
        <v>0.21151961495601115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7518.9762679792248</v>
      </c>
      <c r="C12" s="23">
        <f ca="1">C10*C8</f>
        <v>0</v>
      </c>
      <c r="D12" s="23">
        <f>D8*D10</f>
        <v>14461.376244081255</v>
      </c>
      <c r="E12" s="23">
        <f>E10*E8</f>
        <v>393.70001957486403</v>
      </c>
      <c r="F12" s="23">
        <f>F10*F8</f>
        <v>11732.23138955441</v>
      </c>
      <c r="G12" s="23"/>
      <c r="H12" s="23"/>
      <c r="I12" s="23"/>
      <c r="J12" s="23">
        <f>J10*J8</f>
        <v>74.84936382943485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7512</v>
      </c>
      <c r="C26" s="36"/>
      <c r="D26" s="225"/>
    </row>
    <row r="27" spans="1:5" s="15" customFormat="1">
      <c r="A27" s="227" t="s">
        <v>762</v>
      </c>
      <c r="B27" s="37">
        <f>SUM(HH_hh_gas_aantal,HH_rest_gas_aantal)</f>
        <v>4714</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4478.3</v>
      </c>
      <c r="C31" s="34" t="s">
        <v>104</v>
      </c>
      <c r="D31" s="171"/>
    </row>
    <row r="32" spans="1:5">
      <c r="A32" s="168" t="s">
        <v>72</v>
      </c>
      <c r="B32" s="33">
        <f>IF((B21*($B$26-($B$27-0.05*$B$27)-$B$60))&lt;0,0,B21*($B$26-($B$27-0.05*$B$27)-$B$60))</f>
        <v>32.800173852486196</v>
      </c>
      <c r="C32" s="34" t="s">
        <v>104</v>
      </c>
      <c r="D32" s="171"/>
    </row>
    <row r="33" spans="1:6">
      <c r="A33" s="168" t="s">
        <v>73</v>
      </c>
      <c r="B33" s="33">
        <f>IF((B22*($B$26-($B$27-0.05*$B$27)-$B$60))&lt;0,0,B22*($B$26-($B$27-0.05*$B$27)-$B$60))</f>
        <v>681.94315897167974</v>
      </c>
      <c r="C33" s="34" t="s">
        <v>104</v>
      </c>
      <c r="D33" s="171"/>
    </row>
    <row r="34" spans="1:6">
      <c r="A34" s="168" t="s">
        <v>74</v>
      </c>
      <c r="B34" s="33">
        <f>IF((B24*($B$26-($B$27-0.05*$B$27)-$B$60))&lt;0,0,B24*($B$26-($B$27-0.05*$B$27)-$B$60))</f>
        <v>135.61425168566669</v>
      </c>
      <c r="C34" s="33">
        <f>B26*C24</f>
        <v>1537.6729876114873</v>
      </c>
      <c r="D34" s="230"/>
    </row>
    <row r="35" spans="1:6">
      <c r="A35" s="168" t="s">
        <v>76</v>
      </c>
      <c r="B35" s="33">
        <f>IF((B19*($B$26-($B$27-0.05*$B$27)-$B$60))&lt;0,0,B19*($B$26-($B$27-0.05*$B$27)-$B$60))</f>
        <v>24.826194741363896</v>
      </c>
      <c r="C35" s="33">
        <f>B35/2</f>
        <v>12.413097370681948</v>
      </c>
      <c r="D35" s="230"/>
    </row>
    <row r="36" spans="1:6">
      <c r="A36" s="168" t="s">
        <v>77</v>
      </c>
      <c r="B36" s="33">
        <f>IF((B18*($B$26-($B$27-0.05*$B$27)-$B$60))&lt;0,0,B18*($B$26-($B$27-0.05*$B$27)-$B$60))</f>
        <v>2106.5162207488033</v>
      </c>
      <c r="C36" s="34" t="s">
        <v>104</v>
      </c>
      <c r="D36" s="171"/>
    </row>
    <row r="37" spans="1:6">
      <c r="A37" s="168" t="s">
        <v>78</v>
      </c>
      <c r="B37" s="33">
        <f>B60</f>
        <v>52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225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52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15806.55306312989</v>
      </c>
      <c r="C5" s="17">
        <f>IF(ISERROR('Eigen informatie GS &amp; warmtenet'!B58),0,'Eigen informatie GS &amp; warmtenet'!B58)</f>
        <v>0</v>
      </c>
      <c r="D5" s="30">
        <f>SUM(D6:D12)</f>
        <v>17596.534779214322</v>
      </c>
      <c r="E5" s="17">
        <f>SUM(E6:E12)</f>
        <v>197.56948950625497</v>
      </c>
      <c r="F5" s="17">
        <f>SUM(F6:F12)</f>
        <v>2967.4725566913748</v>
      </c>
      <c r="G5" s="18"/>
      <c r="H5" s="17"/>
      <c r="I5" s="17"/>
      <c r="J5" s="17">
        <f>SUM(J6:J12)</f>
        <v>8.6847651108717394E-2</v>
      </c>
      <c r="K5" s="17"/>
      <c r="L5" s="17"/>
      <c r="M5" s="17"/>
      <c r="N5" s="17">
        <f>SUM(N6:N12)</f>
        <v>3422.7664353474747</v>
      </c>
      <c r="O5" s="17">
        <f>B38*B39*B40</f>
        <v>1.5633333333333335</v>
      </c>
      <c r="P5" s="17">
        <f>B46*B47*B48/1000-B46*B47*B48/1000/B49</f>
        <v>57.2</v>
      </c>
      <c r="R5" s="32"/>
    </row>
    <row r="6" spans="1:18">
      <c r="A6" s="32" t="s">
        <v>53</v>
      </c>
      <c r="B6" s="37">
        <f>B26</f>
        <v>3357.2513195081697</v>
      </c>
      <c r="C6" s="33"/>
      <c r="D6" s="37">
        <f>IF(ISERROR(TER_kantoor_gas_kWh/1000),0,TER_kantoor_gas_kWh/1000)*0.902</f>
        <v>6694.7915599808794</v>
      </c>
      <c r="E6" s="33">
        <f>$C$26*'E Balans VL '!I12/100/3.6*1000000</f>
        <v>2.1042134666381523E-2</v>
      </c>
      <c r="F6" s="33">
        <f>$C$26*('E Balans VL '!L12+'E Balans VL '!N12)/100/3.6*1000000</f>
        <v>504.5010627731458</v>
      </c>
      <c r="G6" s="34"/>
      <c r="H6" s="33"/>
      <c r="I6" s="33"/>
      <c r="J6" s="33">
        <f>$C$26*('E Balans VL '!D12+'E Balans VL '!E12)/100/3.6*1000000</f>
        <v>0</v>
      </c>
      <c r="K6" s="33"/>
      <c r="L6" s="33"/>
      <c r="M6" s="33"/>
      <c r="N6" s="33">
        <f>$C$26*'E Balans VL '!Y12/100/3.6*1000000</f>
        <v>3.2107131199744079</v>
      </c>
      <c r="O6" s="33"/>
      <c r="P6" s="33"/>
      <c r="R6" s="32"/>
    </row>
    <row r="7" spans="1:18">
      <c r="A7" s="32" t="s">
        <v>52</v>
      </c>
      <c r="B7" s="37">
        <f t="shared" ref="B7:B12" si="0">B27</f>
        <v>1687.37022809672</v>
      </c>
      <c r="C7" s="33"/>
      <c r="D7" s="37">
        <f>IF(ISERROR(TER_horeca_gas_kWh/1000),0,TER_horeca_gas_kWh/1000)*0.902</f>
        <v>1852.981841971088</v>
      </c>
      <c r="E7" s="33">
        <f>$C$27*'E Balans VL '!I9/100/3.6*1000000</f>
        <v>24.162860604119277</v>
      </c>
      <c r="F7" s="33">
        <f>$C$27*('E Balans VL '!L9+'E Balans VL '!N9)/100/3.6*1000000</f>
        <v>213.67672249119389</v>
      </c>
      <c r="G7" s="34"/>
      <c r="H7" s="33"/>
      <c r="I7" s="33"/>
      <c r="J7" s="33">
        <f>$C$27*('E Balans VL '!D9+'E Balans VL '!E9)/100/3.6*1000000</f>
        <v>0</v>
      </c>
      <c r="K7" s="33"/>
      <c r="L7" s="33"/>
      <c r="M7" s="33"/>
      <c r="N7" s="33">
        <f>$C$27*'E Balans VL '!Y9/100/3.6*1000000</f>
        <v>0.48508173725779802</v>
      </c>
      <c r="O7" s="33"/>
      <c r="P7" s="33"/>
      <c r="R7" s="32"/>
    </row>
    <row r="8" spans="1:18">
      <c r="A8" s="6" t="s">
        <v>51</v>
      </c>
      <c r="B8" s="37">
        <f t="shared" si="0"/>
        <v>3766.98369669165</v>
      </c>
      <c r="C8" s="33"/>
      <c r="D8" s="37">
        <f>IF(ISERROR(TER_handel_gas_kWh/1000),0,TER_handel_gas_kWh/1000)*0.902</f>
        <v>2049.8321061127831</v>
      </c>
      <c r="E8" s="33">
        <f>$C$28*'E Balans VL '!I13/100/3.6*1000000</f>
        <v>136.62803415538804</v>
      </c>
      <c r="F8" s="33">
        <f>$C$28*('E Balans VL '!L13+'E Balans VL '!N13)/100/3.6*1000000</f>
        <v>725.55920311780551</v>
      </c>
      <c r="G8" s="34"/>
      <c r="H8" s="33"/>
      <c r="I8" s="33"/>
      <c r="J8" s="33">
        <f>$C$28*('E Balans VL '!D13+'E Balans VL '!E13)/100/3.6*1000000</f>
        <v>0</v>
      </c>
      <c r="K8" s="33"/>
      <c r="L8" s="33"/>
      <c r="M8" s="33"/>
      <c r="N8" s="33">
        <f>$C$28*'E Balans VL '!Y13/100/3.6*1000000</f>
        <v>5.2181391642109061</v>
      </c>
      <c r="O8" s="33"/>
      <c r="P8" s="33"/>
      <c r="R8" s="32"/>
    </row>
    <row r="9" spans="1:18">
      <c r="A9" s="32" t="s">
        <v>50</v>
      </c>
      <c r="B9" s="37">
        <f t="shared" si="0"/>
        <v>695.28629982364498</v>
      </c>
      <c r="C9" s="33"/>
      <c r="D9" s="37">
        <f>IF(ISERROR(TER_gezond_gas_kWh/1000),0,TER_gezond_gas_kWh/1000)*0.902</f>
        <v>1213.3783360767025</v>
      </c>
      <c r="E9" s="33">
        <f>$C$29*'E Balans VL '!I10/100/3.6*1000000</f>
        <v>4.3531787080989003E-2</v>
      </c>
      <c r="F9" s="33">
        <f>$C$29*('E Balans VL '!L10+'E Balans VL '!N10)/100/3.6*1000000</f>
        <v>103.28689678397822</v>
      </c>
      <c r="G9" s="34"/>
      <c r="H9" s="33"/>
      <c r="I9" s="33"/>
      <c r="J9" s="33">
        <f>$C$29*('E Balans VL '!D10+'E Balans VL '!E10)/100/3.6*1000000</f>
        <v>0</v>
      </c>
      <c r="K9" s="33"/>
      <c r="L9" s="33"/>
      <c r="M9" s="33"/>
      <c r="N9" s="33">
        <f>$C$29*'E Balans VL '!Y10/100/3.6*1000000</f>
        <v>10.754755575065261</v>
      </c>
      <c r="O9" s="33"/>
      <c r="P9" s="33"/>
      <c r="R9" s="32"/>
    </row>
    <row r="10" spans="1:18">
      <c r="A10" s="32" t="s">
        <v>49</v>
      </c>
      <c r="B10" s="37">
        <f t="shared" si="0"/>
        <v>3728.47232414468</v>
      </c>
      <c r="C10" s="33"/>
      <c r="D10" s="37">
        <f>IF(ISERROR(TER_ander_gas_kWh/1000),0,TER_ander_gas_kWh/1000)*0.902</f>
        <v>1805.9047774781322</v>
      </c>
      <c r="E10" s="33">
        <f>$C$30*'E Balans VL '!I14/100/3.6*1000000</f>
        <v>4.44420577729203</v>
      </c>
      <c r="F10" s="33">
        <f>$C$30*('E Balans VL '!L14+'E Balans VL '!N14)/100/3.6*1000000</f>
        <v>975.53411485687218</v>
      </c>
      <c r="G10" s="34"/>
      <c r="H10" s="33"/>
      <c r="I10" s="33"/>
      <c r="J10" s="33">
        <f>$C$30*('E Balans VL '!D14+'E Balans VL '!E14)/100/3.6*1000000</f>
        <v>8.0930518949224872E-2</v>
      </c>
      <c r="K10" s="33"/>
      <c r="L10" s="33"/>
      <c r="M10" s="33"/>
      <c r="N10" s="33">
        <f>$C$30*'E Balans VL '!Y14/100/3.6*1000000</f>
        <v>3166.1274632301056</v>
      </c>
      <c r="O10" s="33"/>
      <c r="P10" s="33"/>
      <c r="R10" s="32"/>
    </row>
    <row r="11" spans="1:18">
      <c r="A11" s="32" t="s">
        <v>54</v>
      </c>
      <c r="B11" s="37">
        <f t="shared" si="0"/>
        <v>127.63334409030701</v>
      </c>
      <c r="C11" s="33"/>
      <c r="D11" s="37">
        <f>IF(ISERROR(TER_onderwijs_gas_kWh/1000),0,TER_onderwijs_gas_kWh/1000)*0.902</f>
        <v>493.01293980877898</v>
      </c>
      <c r="E11" s="33">
        <f>$C$31*'E Balans VL '!I11/100/3.6*1000000</f>
        <v>1.9257815892741972</v>
      </c>
      <c r="F11" s="33">
        <f>$C$31*('E Balans VL '!L11+'E Balans VL '!N11)/100/3.6*1000000</f>
        <v>22.363400887953297</v>
      </c>
      <c r="G11" s="34"/>
      <c r="H11" s="33"/>
      <c r="I11" s="33"/>
      <c r="J11" s="33">
        <f>$C$31*('E Balans VL '!D11+'E Balans VL '!E11)/100/3.6*1000000</f>
        <v>0</v>
      </c>
      <c r="K11" s="33"/>
      <c r="L11" s="33"/>
      <c r="M11" s="33"/>
      <c r="N11" s="33">
        <f>$C$31*'E Balans VL '!Y11/100/3.6*1000000</f>
        <v>0.35916993332645225</v>
      </c>
      <c r="O11" s="33"/>
      <c r="P11" s="33"/>
      <c r="R11" s="32"/>
    </row>
    <row r="12" spans="1:18">
      <c r="A12" s="32" t="s">
        <v>248</v>
      </c>
      <c r="B12" s="37">
        <f t="shared" si="0"/>
        <v>2443.5558507747201</v>
      </c>
      <c r="C12" s="33"/>
      <c r="D12" s="37">
        <f>IF(ISERROR(TER_rest_gas_kWh/1000),0,TER_rest_gas_kWh/1000)*0.902</f>
        <v>3486.6332177859567</v>
      </c>
      <c r="E12" s="33">
        <f>$C$32*'E Balans VL '!I8/100/3.6*1000000</f>
        <v>30.344033458434055</v>
      </c>
      <c r="F12" s="33">
        <f>$C$32*('E Balans VL '!L8+'E Balans VL '!N8)/100/3.6*1000000</f>
        <v>422.55115578042563</v>
      </c>
      <c r="G12" s="34"/>
      <c r="H12" s="33"/>
      <c r="I12" s="33"/>
      <c r="J12" s="33">
        <f>$C$32*('E Balans VL '!D8+'E Balans VL '!E8)/100/3.6*1000000</f>
        <v>5.9171321594925236E-3</v>
      </c>
      <c r="K12" s="33"/>
      <c r="L12" s="33"/>
      <c r="M12" s="33"/>
      <c r="N12" s="33">
        <f>$C$32*'E Balans VL '!Y8/100/3.6*1000000</f>
        <v>236.61111258753402</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15806.55306312989</v>
      </c>
      <c r="C16" s="21">
        <f t="shared" ca="1" si="1"/>
        <v>0</v>
      </c>
      <c r="D16" s="21">
        <f t="shared" ca="1" si="1"/>
        <v>17596.534779214322</v>
      </c>
      <c r="E16" s="21">
        <f t="shared" si="1"/>
        <v>197.56948950625497</v>
      </c>
      <c r="F16" s="21">
        <f t="shared" ca="1" si="1"/>
        <v>2967.4725566913748</v>
      </c>
      <c r="G16" s="21">
        <f t="shared" si="1"/>
        <v>0</v>
      </c>
      <c r="H16" s="21">
        <f t="shared" si="1"/>
        <v>0</v>
      </c>
      <c r="I16" s="21">
        <f t="shared" si="1"/>
        <v>0</v>
      </c>
      <c r="J16" s="21">
        <f t="shared" si="1"/>
        <v>8.6847651108717394E-2</v>
      </c>
      <c r="K16" s="21">
        <f t="shared" si="1"/>
        <v>0</v>
      </c>
      <c r="L16" s="21">
        <f t="shared" ca="1" si="1"/>
        <v>0</v>
      </c>
      <c r="M16" s="21">
        <f t="shared" si="1"/>
        <v>0</v>
      </c>
      <c r="N16" s="21">
        <f t="shared" ca="1" si="1"/>
        <v>3422.7664353474747</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0.21151961495601115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3343.3960176949931</v>
      </c>
      <c r="C20" s="23">
        <f t="shared" ref="C20:P20" ca="1" si="2">C16*C18</f>
        <v>0</v>
      </c>
      <c r="D20" s="23">
        <f t="shared" ca="1" si="2"/>
        <v>3554.5000254012934</v>
      </c>
      <c r="E20" s="23">
        <f t="shared" si="2"/>
        <v>44.848274117919878</v>
      </c>
      <c r="F20" s="23">
        <f t="shared" ca="1" si="2"/>
        <v>792.31517263659714</v>
      </c>
      <c r="G20" s="23">
        <f t="shared" si="2"/>
        <v>0</v>
      </c>
      <c r="H20" s="23">
        <f t="shared" si="2"/>
        <v>0</v>
      </c>
      <c r="I20" s="23">
        <f t="shared" si="2"/>
        <v>0</v>
      </c>
      <c r="J20" s="23">
        <f t="shared" si="2"/>
        <v>3.0744068492485954E-2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3357.2513195081697</v>
      </c>
      <c r="C26" s="39">
        <f>IF(ISERROR(B26*3.6/1000000/'E Balans VL '!Z12*100),0,B26*3.6/1000000/'E Balans VL '!Z12*100)</f>
        <v>7.0966974578725292E-2</v>
      </c>
      <c r="D26" s="233" t="s">
        <v>726</v>
      </c>
      <c r="F26" s="6"/>
    </row>
    <row r="27" spans="1:18">
      <c r="A27" s="228" t="s">
        <v>52</v>
      </c>
      <c r="B27" s="33">
        <f>IF(ISERROR(TER_horeca_ele_kWh/1000),0,TER_horeca_ele_kWh/1000)</f>
        <v>1687.37022809672</v>
      </c>
      <c r="C27" s="39">
        <f>IF(ISERROR(B27*3.6/1000000/'E Balans VL '!Z9*100),0,B27*3.6/1000000/'E Balans VL '!Z9*100)</f>
        <v>0.13301476616587316</v>
      </c>
      <c r="D27" s="233" t="s">
        <v>726</v>
      </c>
      <c r="F27" s="6"/>
    </row>
    <row r="28" spans="1:18">
      <c r="A28" s="168" t="s">
        <v>51</v>
      </c>
      <c r="B28" s="33">
        <f>IF(ISERROR(TER_handel_ele_kWh/1000),0,TER_handel_ele_kWh/1000)</f>
        <v>3766.98369669165</v>
      </c>
      <c r="C28" s="39">
        <f>IF(ISERROR(B28*3.6/1000000/'E Balans VL '!Z13*100),0,B28*3.6/1000000/'E Balans VL '!Z13*100)</f>
        <v>0.10933308719765604</v>
      </c>
      <c r="D28" s="233" t="s">
        <v>726</v>
      </c>
      <c r="F28" s="6"/>
    </row>
    <row r="29" spans="1:18">
      <c r="A29" s="228" t="s">
        <v>50</v>
      </c>
      <c r="B29" s="33">
        <f>IF(ISERROR(TER_gezond_ele_kWh/1000),0,TER_gezond_ele_kWh/1000)</f>
        <v>695.28629982364498</v>
      </c>
      <c r="C29" s="39">
        <f>IF(ISERROR(B29*3.6/1000000/'E Balans VL '!Z10*100),0,B29*3.6/1000000/'E Balans VL '!Z10*100)</f>
        <v>7.3225064273835017E-2</v>
      </c>
      <c r="D29" s="233" t="s">
        <v>726</v>
      </c>
      <c r="F29" s="6"/>
    </row>
    <row r="30" spans="1:18">
      <c r="A30" s="228" t="s">
        <v>49</v>
      </c>
      <c r="B30" s="33">
        <f>IF(ISERROR(TER_ander_ele_kWh/1000),0,TER_ander_ele_kWh/1000)</f>
        <v>3728.47232414468</v>
      </c>
      <c r="C30" s="39">
        <f>IF(ISERROR(B30*3.6/1000000/'E Balans VL '!Z14*100),0,B30*3.6/1000000/'E Balans VL '!Z14*100)</f>
        <v>0.27501292844907205</v>
      </c>
      <c r="D30" s="233" t="s">
        <v>726</v>
      </c>
      <c r="F30" s="6"/>
    </row>
    <row r="31" spans="1:18">
      <c r="A31" s="228" t="s">
        <v>54</v>
      </c>
      <c r="B31" s="33">
        <f>IF(ISERROR(TER_onderwijs_ele_kWh/1000),0,TER_onderwijs_ele_kWh/1000)</f>
        <v>127.63334409030701</v>
      </c>
      <c r="C31" s="39">
        <f>IF(ISERROR(B31*3.6/1000000/'E Balans VL '!Z11*100),0,B31*3.6/1000000/'E Balans VL '!Z11*100)</f>
        <v>3.1697338035558256E-2</v>
      </c>
      <c r="D31" s="233" t="s">
        <v>726</v>
      </c>
    </row>
    <row r="32" spans="1:18">
      <c r="A32" s="228" t="s">
        <v>248</v>
      </c>
      <c r="B32" s="33">
        <f>IF(ISERROR(TER_rest_ele_kWh/1000),0,TER_rest_ele_kWh/1000)</f>
        <v>2443.5558507747201</v>
      </c>
      <c r="C32" s="39">
        <f>IF(ISERROR(B32*3.6/1000000/'E Balans VL '!Z8*100),0,B32*3.6/1000000/'E Balans VL '!Z8*100)</f>
        <v>2.0107221161193432E-2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19623.992483652921</v>
      </c>
      <c r="C5" s="17">
        <f>IF(ISERROR('Eigen informatie GS &amp; warmtenet'!B59),0,'Eigen informatie GS &amp; warmtenet'!B59)</f>
        <v>0</v>
      </c>
      <c r="D5" s="30">
        <f>SUM(D6:D15)</f>
        <v>11169.118824559841</v>
      </c>
      <c r="E5" s="17">
        <f>SUM(E6:E15)</f>
        <v>534.78214848988546</v>
      </c>
      <c r="F5" s="17">
        <f>SUM(F6:F15)</f>
        <v>2504.4633313772579</v>
      </c>
      <c r="G5" s="18"/>
      <c r="H5" s="17"/>
      <c r="I5" s="17"/>
      <c r="J5" s="17">
        <f>SUM(J6:J15)</f>
        <v>12.659502242654172</v>
      </c>
      <c r="K5" s="17"/>
      <c r="L5" s="17"/>
      <c r="M5" s="17"/>
      <c r="N5" s="17">
        <f>SUM(N6:N15)</f>
        <v>1358.4538376785126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180.274501908562</v>
      </c>
      <c r="C8" s="33"/>
      <c r="D8" s="37">
        <f>IF( ISERROR(IND_metaal_Gas_kWH/1000),0,IND_metaal_Gas_kWH/1000)*0.902</f>
        <v>87.516949504653226</v>
      </c>
      <c r="E8" s="33">
        <f>C30*'E Balans VL '!I18/100/3.6*1000000</f>
        <v>1.6574499342794857</v>
      </c>
      <c r="F8" s="33">
        <f>C30*'E Balans VL '!L18/100/3.6*1000000+C30*'E Balans VL '!N18/100/3.6*1000000</f>
        <v>16.903746333310117</v>
      </c>
      <c r="G8" s="34"/>
      <c r="H8" s="33"/>
      <c r="I8" s="33"/>
      <c r="J8" s="40">
        <f>C30*'E Balans VL '!D18/100/3.6*1000000+C30*'E Balans VL '!E18/100/3.6*1000000</f>
        <v>0</v>
      </c>
      <c r="K8" s="33"/>
      <c r="L8" s="33"/>
      <c r="M8" s="33"/>
      <c r="N8" s="33">
        <f>C30*'E Balans VL '!Y18/100/3.6*1000000</f>
        <v>2.5719136858856024</v>
      </c>
      <c r="O8" s="33"/>
      <c r="P8" s="33"/>
      <c r="R8" s="32"/>
    </row>
    <row r="9" spans="1:18">
      <c r="A9" s="6" t="s">
        <v>32</v>
      </c>
      <c r="B9" s="37">
        <f t="shared" si="0"/>
        <v>1048.2899253793801</v>
      </c>
      <c r="C9" s="33"/>
      <c r="D9" s="37">
        <f>IF( ISERROR(IND_andere_gas_kWh/1000),0,IND_andere_gas_kWh/1000)*0.902</f>
        <v>1133.2287405337422</v>
      </c>
      <c r="E9" s="33">
        <f>C31*'E Balans VL '!I19/100/3.6*1000000</f>
        <v>306.43555298615411</v>
      </c>
      <c r="F9" s="33">
        <f>C31*'E Balans VL '!L19/100/3.6*1000000+C31*'E Balans VL '!N19/100/3.6*1000000</f>
        <v>842.38030329869548</v>
      </c>
      <c r="G9" s="34"/>
      <c r="H9" s="33"/>
      <c r="I9" s="33"/>
      <c r="J9" s="40">
        <f>C31*'E Balans VL '!D19/100/3.6*1000000+C31*'E Balans VL '!E19/100/3.6*1000000</f>
        <v>0</v>
      </c>
      <c r="K9" s="33"/>
      <c r="L9" s="33"/>
      <c r="M9" s="33"/>
      <c r="N9" s="33">
        <f>C31*'E Balans VL '!Y19/100/3.6*1000000</f>
        <v>82.226437992015036</v>
      </c>
      <c r="O9" s="33"/>
      <c r="P9" s="33"/>
      <c r="R9" s="32"/>
    </row>
    <row r="10" spans="1:18">
      <c r="A10" s="6" t="s">
        <v>40</v>
      </c>
      <c r="B10" s="37">
        <f t="shared" si="0"/>
        <v>14859.2354626286</v>
      </c>
      <c r="C10" s="33"/>
      <c r="D10" s="37">
        <f>IF( ISERROR(IND_voed_gas_kWh/1000),0,IND_voed_gas_kWh/1000)*0.902</f>
        <v>6999.5590233610301</v>
      </c>
      <c r="E10" s="33">
        <f>C32*'E Balans VL '!I20/100/3.6*1000000</f>
        <v>31.43494301636542</v>
      </c>
      <c r="F10" s="33">
        <f>C32*'E Balans VL '!L20/100/3.6*1000000+C32*'E Balans VL '!N20/100/3.6*1000000</f>
        <v>944.7653689778557</v>
      </c>
      <c r="G10" s="34"/>
      <c r="H10" s="33"/>
      <c r="I10" s="33"/>
      <c r="J10" s="40">
        <f>C32*'E Balans VL '!D20/100/3.6*1000000+C32*'E Balans VL '!E20/100/3.6*1000000</f>
        <v>0</v>
      </c>
      <c r="K10" s="33"/>
      <c r="L10" s="33"/>
      <c r="M10" s="33"/>
      <c r="N10" s="33">
        <f>C32*'E Balans VL '!Y20/100/3.6*1000000</f>
        <v>1025.4338814398716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3536.1925937363799</v>
      </c>
      <c r="C15" s="33"/>
      <c r="D15" s="37">
        <f>IF( ISERROR(IND_rest_gas_kWh/1000),0,IND_rest_gas_kWh/1000)*0.902</f>
        <v>2948.814111160415</v>
      </c>
      <c r="E15" s="33">
        <f>C37*'E Balans VL '!I15/100/3.6*1000000</f>
        <v>195.25420255308637</v>
      </c>
      <c r="F15" s="33">
        <f>C37*'E Balans VL '!L15/100/3.6*1000000+C37*'E Balans VL '!N15/100/3.6*1000000</f>
        <v>700.41391276739648</v>
      </c>
      <c r="G15" s="34"/>
      <c r="H15" s="33"/>
      <c r="I15" s="33"/>
      <c r="J15" s="40">
        <f>C37*'E Balans VL '!D15/100/3.6*1000000+C37*'E Balans VL '!E15/100/3.6*1000000</f>
        <v>12.659502242654172</v>
      </c>
      <c r="K15" s="33"/>
      <c r="L15" s="33"/>
      <c r="M15" s="33"/>
      <c r="N15" s="33">
        <f>C37*'E Balans VL '!Y15/100/3.6*1000000</f>
        <v>248.22160456074036</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19623.992483652921</v>
      </c>
      <c r="C18" s="21">
        <f>C5+C16</f>
        <v>0</v>
      </c>
      <c r="D18" s="21">
        <f>MAX((D5+D16),0)</f>
        <v>11169.118824559841</v>
      </c>
      <c r="E18" s="21">
        <f>MAX((E5+E16),0)</f>
        <v>534.78214848988546</v>
      </c>
      <c r="F18" s="21">
        <f>MAX((F5+F16),0)</f>
        <v>2504.4633313772579</v>
      </c>
      <c r="G18" s="21"/>
      <c r="H18" s="21"/>
      <c r="I18" s="21"/>
      <c r="J18" s="21">
        <f>MAX((J5+J16),0)</f>
        <v>12.659502242654172</v>
      </c>
      <c r="K18" s="21"/>
      <c r="L18" s="21">
        <f>MAX((L5+L16),0)</f>
        <v>0</v>
      </c>
      <c r="M18" s="21"/>
      <c r="N18" s="21">
        <f>MAX((N5+N16),0)</f>
        <v>1358.4538376785126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0.21151961495601115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4150.8593340419229</v>
      </c>
      <c r="C22" s="23">
        <f ca="1">C18*C20</f>
        <v>0</v>
      </c>
      <c r="D22" s="23">
        <f>D18*D20</f>
        <v>2256.1620025610878</v>
      </c>
      <c r="E22" s="23">
        <f>E18*E20</f>
        <v>121.395547707204</v>
      </c>
      <c r="F22" s="23">
        <f>F18*F20</f>
        <v>668.69170947772784</v>
      </c>
      <c r="G22" s="23"/>
      <c r="H22" s="23"/>
      <c r="I22" s="23"/>
      <c r="J22" s="23">
        <f>J18*J20</f>
        <v>4.4814637938995769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180.274501908562</v>
      </c>
      <c r="C30" s="39">
        <f>IF(ISERROR(B30*3.6/1000000/'E Balans VL '!Z18*100),0,B30*3.6/1000000/'E Balans VL '!Z18*100)</f>
        <v>1.0216618277214753E-2</v>
      </c>
      <c r="D30" s="233" t="s">
        <v>726</v>
      </c>
    </row>
    <row r="31" spans="1:18">
      <c r="A31" s="6" t="s">
        <v>32</v>
      </c>
      <c r="B31" s="37">
        <f>IF( ISERROR(IND_ander_ele_kWh/1000),0,IND_ander_ele_kWh/1000)</f>
        <v>1048.2899253793801</v>
      </c>
      <c r="C31" s="39">
        <f>IF(ISERROR(B31*3.6/1000000/'E Balans VL '!Z19*100),0,B31*3.6/1000000/'E Balans VL '!Z19*100)</f>
        <v>4.7546066011930947E-2</v>
      </c>
      <c r="D31" s="233" t="s">
        <v>726</v>
      </c>
    </row>
    <row r="32" spans="1:18">
      <c r="A32" s="168" t="s">
        <v>40</v>
      </c>
      <c r="B32" s="37">
        <f>IF( ISERROR(IND_voed_ele_kWh/1000),0,IND_voed_ele_kWh/1000)</f>
        <v>14859.2354626286</v>
      </c>
      <c r="C32" s="39">
        <f>IF(ISERROR(B32*3.6/1000000/'E Balans VL '!Z20*100),0,B32*3.6/1000000/'E Balans VL '!Z20*100)</f>
        <v>0.45966360809248696</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3536.1925937363799</v>
      </c>
      <c r="C37" s="39">
        <f>IF(ISERROR(B37*3.6/1000000/'E Balans VL '!Z15*100),0,B37*3.6/1000000/'E Balans VL '!Z15*100)</f>
        <v>2.8028669162892577E-2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1846.2529963757559</v>
      </c>
      <c r="C5" s="17">
        <f>'Eigen informatie GS &amp; warmtenet'!B60</f>
        <v>0</v>
      </c>
      <c r="D5" s="30">
        <f>IF(ISERROR(SUM(LB_lb_gas_kWh,LB_rest_gas_kWh)/1000),0,SUM(LB_lb_gas_kWh,LB_rest_gas_kWh)/1000)*0.902</f>
        <v>10042.575883938658</v>
      </c>
      <c r="E5" s="17">
        <f>B17*'E Balans VL '!I25/3.6*1000000/100</f>
        <v>54.267014671008639</v>
      </c>
      <c r="F5" s="17">
        <f>B17*('E Balans VL '!L25/3.6*1000000+'E Balans VL '!N25/3.6*1000000)/100</f>
        <v>7691.3902166259741</v>
      </c>
      <c r="G5" s="18"/>
      <c r="H5" s="17"/>
      <c r="I5" s="17"/>
      <c r="J5" s="17">
        <f>('E Balans VL '!D25+'E Balans VL '!E25)/3.6*1000000*landbouw!B17/100</f>
        <v>267.48241043789523</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1846.2529963757559</v>
      </c>
      <c r="C8" s="21">
        <f>C5+C6</f>
        <v>0</v>
      </c>
      <c r="D8" s="21">
        <f>MAX((D5+D6),0)</f>
        <v>10042.575883938658</v>
      </c>
      <c r="E8" s="21">
        <f>MAX((E5+E6),0)</f>
        <v>54.267014671008639</v>
      </c>
      <c r="F8" s="21">
        <f>MAX((F5+F6),0)</f>
        <v>7691.3902166259741</v>
      </c>
      <c r="G8" s="21"/>
      <c r="H8" s="21"/>
      <c r="I8" s="21"/>
      <c r="J8" s="21">
        <f>MAX((J5+J6),0)</f>
        <v>267.48241043789523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0.21151961495601115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390.51872290478173</v>
      </c>
      <c r="C12" s="23">
        <f ca="1">C8*C10</f>
        <v>0</v>
      </c>
      <c r="D12" s="23">
        <f>D8*D10</f>
        <v>2028.6003285556092</v>
      </c>
      <c r="E12" s="23">
        <f>E8*E10</f>
        <v>12.318612330318961</v>
      </c>
      <c r="F12" s="23">
        <f>F8*F10</f>
        <v>2053.601187839135</v>
      </c>
      <c r="G12" s="23"/>
      <c r="H12" s="23"/>
      <c r="I12" s="23"/>
      <c r="J12" s="23">
        <f>J8*J10</f>
        <v>94.688773295014911</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0.26198909262784442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46.793755078748049</v>
      </c>
      <c r="C26" s="243">
        <f>B26*'GWP N2O_CH4'!B5</f>
        <v>982.66885665370899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14.670395443109678</v>
      </c>
      <c r="C27" s="243">
        <f>B27*'GWP N2O_CH4'!B5</f>
        <v>308.07830430530322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0.63358574481145447</v>
      </c>
      <c r="C28" s="243">
        <f>B28*'GWP N2O_CH4'!B4</f>
        <v>196.4115808915509</v>
      </c>
      <c r="D28" s="50"/>
    </row>
    <row r="29" spans="1:4">
      <c r="A29" s="41" t="s">
        <v>265</v>
      </c>
      <c r="B29" s="243">
        <f>B34*'ha_N2O bodem landbouw'!B4</f>
        <v>5.3645903846599223</v>
      </c>
      <c r="C29" s="243">
        <f>B29*'GWP N2O_CH4'!B4</f>
        <v>1663.0230192445758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1.2241810385784872E-3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6.1342855069308397E-4</v>
      </c>
      <c r="C5" s="429" t="s">
        <v>204</v>
      </c>
      <c r="D5" s="414">
        <f>SUM(D6:D11)</f>
        <v>8.7857723122758207E-4</v>
      </c>
      <c r="E5" s="414">
        <f>SUM(E6:E11)</f>
        <v>1.7929374140319026E-3</v>
      </c>
      <c r="F5" s="427" t="s">
        <v>204</v>
      </c>
      <c r="G5" s="414">
        <f>SUM(G6:G11)</f>
        <v>0.90531205351991173</v>
      </c>
      <c r="H5" s="414">
        <f>SUM(H6:H11)</f>
        <v>0.1462488397310365</v>
      </c>
      <c r="I5" s="429" t="s">
        <v>204</v>
      </c>
      <c r="J5" s="429" t="s">
        <v>204</v>
      </c>
      <c r="K5" s="429" t="s">
        <v>204</v>
      </c>
      <c r="L5" s="429" t="s">
        <v>204</v>
      </c>
      <c r="M5" s="414">
        <f>SUM(M6:M11)</f>
        <v>5.7198778761413903E-2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5.3552500117852003E-5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9.0031169868078729E-5</v>
      </c>
      <c r="E6" s="857">
        <f>vkm_GW_PW*SUMIFS(TableVerdeelsleutelVkm[LPG],TableVerdeelsleutelVkm[Voertuigtype],"Lichte voertuigen")*SUMIFS(TableECFTransport[EnergieConsumptieFactor (PJ per km)],TableECFTransport[Index],CONCATENATE($A6,"_LPG_LPG"))</f>
        <v>1.5841061466187521E-4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4.6999970716152667E-2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1.45457601757773E-2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3.1742331618727776E-3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1.0443769829210787E-6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3.354582587053908E-2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5.4731983106982471E-7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1.9599331210444983E-3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5.4786926624786261E-5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1.1810075418315339E-4</v>
      </c>
      <c r="E8" s="417">
        <f>vkm_NGW_PW*SUMIFS(TableVerdeelsleutelVkm[LPG],TableVerdeelsleutelVkm[Voertuigtype],"Lichte voertuigen")*SUMIFS(TableECFTransport[EnergieConsumptieFactor (PJ per km)],TableECFTransport[Index],CONCATENATE($A8,"_LPG_LPG"))</f>
        <v>1.9898641442525074E-4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5.4902202927216065E-2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1.8688470152472738E-2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3.7578914234780696E-3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3.4335814851384055E-7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1.4150690146862209E-2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2.1719393670967775E-7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8.2676136511022804E-4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4.9173996680395074E-4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6.7044530717634998E-4</v>
      </c>
      <c r="E10" s="417">
        <f>vkm_SW_PW*SUMIFS(TableVerdeelsleutelVkm[LPG],TableVerdeelsleutelVkm[Voertuigtype],"Lichte voertuigen")*SUMIFS(TableECFTransport[EnergieConsumptieFactor (PJ per km)],TableECFTransport[Index],CONCATENATE($A10,"_LPG_LPG"))</f>
        <v>1.4355403849447767E-3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0.38976359892741963</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0.11300739284762584</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2.6099131472671934E-2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1.1961422015060097E-5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0.3659497649317221</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6.4520413928504029E-6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2.1380828217236393E-2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170.39681963696779</v>
      </c>
      <c r="C14" s="21"/>
      <c r="D14" s="21">
        <f t="shared" ref="D14:M14" si="0">((D5)*10^9/3600)+D12</f>
        <v>244.04923089655057</v>
      </c>
      <c r="E14" s="21">
        <f t="shared" si="0"/>
        <v>498.03817056441738</v>
      </c>
      <c r="F14" s="21"/>
      <c r="G14" s="21">
        <f t="shared" si="0"/>
        <v>251475.57042219772</v>
      </c>
      <c r="H14" s="21">
        <f t="shared" si="0"/>
        <v>40624.677703065696</v>
      </c>
      <c r="I14" s="21"/>
      <c r="J14" s="21"/>
      <c r="K14" s="21"/>
      <c r="L14" s="21"/>
      <c r="M14" s="21">
        <f t="shared" si="0"/>
        <v>15888.549655948305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0.21151961495601115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36.042269679340308</v>
      </c>
      <c r="C18" s="23"/>
      <c r="D18" s="23">
        <f t="shared" ref="D18:M18" si="1">D14*D16</f>
        <v>49.297944641103221</v>
      </c>
      <c r="E18" s="23">
        <f t="shared" si="1"/>
        <v>113.05466471812275</v>
      </c>
      <c r="F18" s="23"/>
      <c r="G18" s="23">
        <f t="shared" si="1"/>
        <v>67143.977302726795</v>
      </c>
      <c r="H18" s="23">
        <f t="shared" si="1"/>
        <v>10115.544748063357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4.7695300273134689E-5</v>
      </c>
      <c r="C50" s="313">
        <f t="shared" ref="C50:P50" si="2">SUM(C51:C52)</f>
        <v>0</v>
      </c>
      <c r="D50" s="313">
        <f t="shared" si="2"/>
        <v>0</v>
      </c>
      <c r="E50" s="313">
        <f t="shared" si="2"/>
        <v>0</v>
      </c>
      <c r="F50" s="313">
        <f t="shared" si="2"/>
        <v>0</v>
      </c>
      <c r="G50" s="313">
        <f t="shared" si="2"/>
        <v>4.4805000420631352E-3</v>
      </c>
      <c r="H50" s="313">
        <f t="shared" si="2"/>
        <v>0</v>
      </c>
      <c r="I50" s="313">
        <f t="shared" si="2"/>
        <v>0</v>
      </c>
      <c r="J50" s="313">
        <f t="shared" si="2"/>
        <v>0</v>
      </c>
      <c r="K50" s="313">
        <f t="shared" si="2"/>
        <v>0</v>
      </c>
      <c r="L50" s="313">
        <f t="shared" si="2"/>
        <v>0</v>
      </c>
      <c r="M50" s="313">
        <f t="shared" si="2"/>
        <v>2.5801854464923527E-4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4.7695300273134689E-5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4.4805000420631352E-3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2.5801854464923527E-4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13.24869452031519</v>
      </c>
      <c r="C54" s="21">
        <f t="shared" ref="C54:P54" si="3">(C50)*10^9/3600</f>
        <v>0</v>
      </c>
      <c r="D54" s="21">
        <f t="shared" si="3"/>
        <v>0</v>
      </c>
      <c r="E54" s="21">
        <f t="shared" si="3"/>
        <v>0</v>
      </c>
      <c r="F54" s="21">
        <f t="shared" si="3"/>
        <v>0</v>
      </c>
      <c r="G54" s="21">
        <f t="shared" si="3"/>
        <v>1244.5833450175378</v>
      </c>
      <c r="H54" s="21">
        <f t="shared" si="3"/>
        <v>0</v>
      </c>
      <c r="I54" s="21">
        <f t="shared" si="3"/>
        <v>0</v>
      </c>
      <c r="J54" s="21">
        <f t="shared" si="3"/>
        <v>0</v>
      </c>
      <c r="K54" s="21">
        <f t="shared" si="3"/>
        <v>0</v>
      </c>
      <c r="L54" s="21">
        <f t="shared" si="3"/>
        <v>0</v>
      </c>
      <c r="M54" s="21">
        <f t="shared" si="3"/>
        <v>71.671817958120911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0.21151961495601115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2.8023587636068839</v>
      </c>
      <c r="C58" s="23">
        <f t="shared" ref="C58:P58" ca="1" si="4">C54*C56</f>
        <v>0</v>
      </c>
      <c r="D58" s="23">
        <f t="shared" si="4"/>
        <v>0</v>
      </c>
      <c r="E58" s="23">
        <f t="shared" si="4"/>
        <v>0</v>
      </c>
      <c r="F58" s="23">
        <f t="shared" si="4"/>
        <v>0</v>
      </c>
      <c r="G58" s="23">
        <f t="shared" si="4"/>
        <v>332.3037531196826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3301.7467143987869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3301.7467143987869</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2021-11-11T12:51:24Z</dcterms:modified>
</cp:coreProperties>
</file>