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4CF2FF82-4C5B-4C2A-B22B-F7839F19D83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J56" i="14" s="1"/>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I56" i="14"/>
  <c r="R44" i="14"/>
  <c r="Q26" i="14"/>
  <c r="N26" i="14"/>
  <c r="J26" i="14"/>
  <c r="E25" i="14"/>
  <c r="D14" i="48" s="1"/>
  <c r="C25" i="14"/>
  <c r="B14" i="48" s="1"/>
  <c r="H26" i="14"/>
  <c r="D5" i="17"/>
  <c r="Q14" i="48" l="1"/>
  <c r="B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I76" i="14" s="1"/>
  <c r="I8" i="61" s="1"/>
  <c r="I10" i="61" s="1"/>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<sst xmlns="http://schemas.openxmlformats.org/spreadsheetml/2006/main" count="2469" uniqueCount="899">
  <si>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</si>
  <si>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</si>
  <si>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</si>
  <si>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</si>
  <si>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</si>
  <si>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</si>
  <si>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</si>
  <si>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</si>
  <si>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</si>
  <si>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</si>
  <si>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</si>
  <si>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</si>
  <si>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</si>
  <si>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</si>
  <si>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</si>
  <si>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</si>
  <si>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</si>
  <si>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</si>
  <si>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</si>
  <si>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</si>
  <si>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</si>
  <si>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</si>
  <si>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</si>
  <si>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</si>
  <si>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</si>
  <si>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</si>
  <si>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</si>
  <si>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</si>
  <si>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</si>
  <si>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</si>
  <si>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</si>
  <si>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</si>
  <si>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</si>
  <si>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</si>
  <si>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</si>
  <si>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</si>
  <si>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</si>
  <si>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</si>
  <si>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</si>
  <si>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</si>
  <si>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</si>
  <si>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</si>
  <si>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</si>
  <si>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</si>
  <si>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</si>
  <si>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</si>
  <si>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</si>
  <si>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</si>
  <si>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</si>
  <si>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</si>
  <si>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</si>
  <si>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</si>
  <si>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</si>
  <si>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</si>
  <si>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</si>
  <si>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</si>
  <si>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</si>
  <si>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</si>
  <si>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</si>
  <si>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</si>
  <si>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</si>
  <si>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</si>
  <si>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</si>
  <si>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</si>
  <si>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</si>
  <si>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</si>
  <si>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</si>
  <si>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</si>
  <si>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</si>
  <si>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</si>
  <si>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</si>
  <si>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</si>
  <si>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</si>
  <si>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</si>
  <si>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</si>
  <si>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</si>
  <si>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</si>
  <si>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</si>
  <si>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</si>
  <si>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</si>
  <si>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</si>
  <si>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</si>
  <si>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</si>
  <si>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</si>
  <si>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</si>
  <si>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</si>
  <si>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</si>
  <si>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</si>
  <si>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</si>
  <si>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</si>
  <si>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</si>
  <si>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</si>
  <si>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</si>
  <si>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</si>
  <si>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</si>
  <si>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</si>
  <si>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</si>
  <si>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</si>
  <si>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</si>
  <si>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</si>
  <si>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</si>
  <si>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</si>
  <si>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</si>
  <si>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</si>
  <si>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</si>
  <si>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</si>
  <si>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</si>
  <si>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</si>
  <si>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</si>
  <si>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</si>
  <si>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</si>
  <si>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</si>
  <si>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</si>
  <si>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</si>
  <si>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</si>
  <si>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</si>
  <si>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</si>
  <si>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</si>
  <si>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</si>
  <si>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</si>
  <si>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</si>
  <si>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</si>
  <si>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</si>
  <si>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</si>
  <si>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</si>
  <si>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</si>
  <si>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</si>
  <si>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</si>
  <si>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</si>
  <si>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</si>
  <si>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</si>
  <si>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</si>
  <si>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</si>
  <si>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</si>
  <si>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</si>
  <si>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</si>
  <si>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</si>
  <si>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</si>
  <si>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</si>
  <si>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</si>
  <si>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</si>
  <si>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</si>
  <si>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</si>
  <si>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</si>
  <si>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</si>
  <si>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</si>
  <si>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</si>
  <si>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</si>
  <si>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</si>
  <si>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</si>
  <si>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</si>
  <si>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</si>
  <si>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</si>
  <si>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</si>
  <si>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</si>
  <si>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</si>
  <si>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</si>
  <si>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</si>
  <si>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</si>
  <si>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</si>
  <si>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</si>
  <si>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</si>
  <si>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</si>
  <si>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</si>
  <si>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</si>
  <si>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</si>
  <si>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</si>
  <si>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</si>
  <si>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</si>
  <si>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</si>
  <si>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</si>
  <si>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</si>
  <si>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</si>
  <si>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</si>
  <si>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</si>
  <si>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</si>
  <si>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</si>
  <si>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</si>
  <si>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</si>
  <si>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</si>
  <si>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</si>
  <si>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</si>
  <si>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</si>
  <si>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</si>
  <si>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</si>
  <si>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</si>
  <si>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</si>
  <si>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</si>
  <si>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</si>
  <si>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</si>
  <si>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</si>
  <si>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</si>
  <si>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</si>
  <si>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</si>
  <si>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</si>
  <si>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</si>
  <si>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</si>
  <si>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</si>
  <si>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</si>
  <si>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</si>
  <si>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</si>
  <si>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</si>
  <si>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</si>
  <si>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</si>
  <si>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</si>
  <si>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</si>
  <si>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</si>
  <si>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</si>
  <si>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</si>
  <si>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</si>
  <si>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</si>
  <si>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</si>
  <si>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</si>
  <si>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</si>
  <si>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</si>
  <si>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</si>
  <si>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</si>
  <si>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</si>
  <si>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</si>
  <si>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</si>
  <si>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</si>
  <si>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</si>
  <si>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</si>
  <si>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</si>
  <si>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</si>
  <si>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</si>
  <si>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</si>
  <si>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</si>
  <si>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</si>
  <si>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</si>
  <si>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</si>
  <si>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</si>
  <si>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</si>
  <si>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</si>
  <si>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</si>
  <si>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</si>
  <si>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</si>
  <si>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</si>
  <si>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</si>
  <si>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</si>
  <si>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</si>
  <si>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</si>
  <si>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</si>
  <si>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</si>
  <si>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</si>
  <si>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</si>
  <si>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</si>
  <si>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</si>
  <si>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</si>
  <si>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</si>
  <si>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</si>
  <si>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</si>
  <si>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</si>
  <si>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</si>
  <si>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</si>
  <si>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</si>
  <si>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</si>
  <si>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</si>
  <si>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</si>
  <si>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</si>
  <si>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</si>
  <si>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</si>
  <si>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</si>
  <si>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</si>
  <si>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</si>
  <si>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</si>
  <si>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</si>
  <si>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</si>
  <si>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</si>
  <si>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</si>
  <si>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</si>
  <si>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</si>
  <si>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</si>
  <si>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</si>
  <si>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</si>
  <si>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</si>
  <si>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</si>
  <si>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</si>
  <si>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</si>
  <si>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</si>
  <si>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</si>
  <si>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</si>
  <si>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</si>
  <si>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</si>
  <si>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</si>
  <si>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</si>
  <si>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</si>
  <si>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</si>
  <si>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</si>
  <si>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</si>
  <si>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</si>
  <si>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</si>
  <si>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</si>
  <si>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</si>
  <si>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</si>
  <si>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</si>
  <si>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</si>
  <si>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</si>
  <si>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</si>
  <si>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</si>
  <si>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</si>
  <si>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</si>
  <si>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</si>
  <si>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</si>
  <si>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</si>
  <si>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</si>
  <si>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</si>
  <si>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</si>
  <si>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</si>
  <si>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</si>
  <si>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</si>
  <si>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</si>
  <si>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</si>
  <si>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</si>
  <si>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</si>
  <si>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</si>
  <si>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</si>
  <si>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</si>
  <si>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</si>
  <si>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</si>
  <si>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</si>
  <si>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</si>
  <si>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</si>
  <si>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</si>
  <si>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</si>
  <si>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</si>
  <si>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</si>
  <si>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</si>
  <si>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</si>
  <si>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</si>
  <si>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</si>
  <si>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</si>
  <si>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</si>
  <si>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</si>
  <si>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</si>
  <si>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</si>
  <si>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</si>
  <si>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</si>
  <si>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</si>
  <si>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</si>
  <si>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</si>
  <si>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</si>
  <si>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</si>
  <si>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</si>
  <si>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</si>
  <si>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</si>
  <si>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</si>
  <si>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</si>
  <si>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</si>
  <si>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</si>
  <si>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</si>
  <si>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</si>
  <si>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</si>
  <si>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</si>
  <si>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</si>
  <si>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</si>
  <si>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</si>
  <si>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</si>
  <si>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</si>
  <si>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</si>
  <si>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</si>
  <si>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</si>
  <si>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</si>
  <si>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</si>
  <si>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</si>
  <si>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</si>
  <si>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</si>
  <si>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</si>
  <si>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</si>
  <si>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</si>
  <si>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</si>
  <si>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</si>
  <si>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</si>
  <si>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</si>
  <si>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</si>
  <si>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</si>
  <si>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</si>
  <si>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</si>
  <si>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</si>
  <si>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</si>
  <si>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</si>
  <si>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</si>
  <si>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</si>
  <si>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</si>
  <si>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</si>
  <si>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</si>
  <si>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</si>
  <si>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</si>
  <si>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</si>
  <si>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</si>
  <si>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</si>
  <si>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</si>
  <si>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</si>
  <si>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</si>
  <si>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</si>
  <si>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</si>
  <si>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</si>
  <si>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</si>
  <si>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</si>
  <si>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</si>
  <si>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</si>
  <si>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</si>
  <si>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</si>
  <si>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</si>
  <si>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</si>
  <si>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</si>
  <si>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</si>
  <si>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</si>
  <si>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</si>
  <si>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</si>
  <si>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</si>
  <si>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</si>
  <si>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</si>
  <si>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</si>
  <si>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</si>
  <si>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</si>
  <si>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</si>
  <si>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</si>
  <si>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</si>
  <si>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</si>
  <si>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</si>
  <si>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</si>
  <si>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</si>
  <si>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</si>
  <si>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</si>
  <si>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</si>
  <si>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</si>
  <si>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</si>
  <si>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</si>
  <si>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</si>
  <si>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</si>
  <si>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</si>
  <si>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</si>
  <si>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</si>
  <si>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</si>
  <si>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</si>
  <si>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</si>
  <si>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</si>
  <si>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</si>
  <si>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</si>
  <si>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</si>
  <si>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</si>
  <si>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</si>
  <si>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</si>
  <si>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</si>
  <si>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</si>
  <si>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</si>
  <si>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</si>
  <si>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</si>
  <si>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</si>
  <si>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</si>
  <si>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</si>
  <si>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</si>
  <si>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</si>
  <si>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</si>
  <si>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</si>
  <si>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</si>
  <si>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</si>
  <si>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</si>
  <si>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</si>
  <si>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</si>
  <si>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</si>
  <si>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</si>
  <si>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</si>
  <si>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</si>
  <si>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</si>
  <si>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</si>
  <si>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</si>
  <si>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</si>
  <si>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</si>
  <si>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</si>
  <si>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</si>
  <si>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</si>
  <si>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</si>
  <si>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</si>
  <si>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</si>
  <si>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</si>
  <si>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</si>
  <si>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</si>
  <si>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</si>
  <si>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</si>
  <si>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</si>
  <si>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</si>
  <si>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</si>
  <si>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</si>
  <si>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</si>
  <si>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</si>
  <si>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</si>
  <si>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</si>
  <si>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</si>
  <si>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</si>
  <si>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</si>
  <si>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</si>
  <si>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</si>
  <si>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</si>
  <si>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</si>
  <si>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</si>
  <si>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</si>
  <si>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</si>
  <si>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</si>
  <si>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</si>
  <si>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</si>
  <si>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</si>
  <si>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</si>
  <si>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</si>
  <si>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</si>
  <si>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</si>
  <si>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</si>
  <si>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</si>
  <si>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</si>
  <si>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</si>
  <si>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</si>
  <si>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</si>
  <si>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</si>
  <si>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</si>
  <si>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</si>
  <si>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</si>
  <si>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</si>
  <si>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</si>
  <si>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</si>
  <si>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</si>
  <si>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</si>
  <si>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</si>
  <si>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</si>
  <si>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</si>
  <si>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</si>
  <si>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</si>
  <si>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</si>
  <si>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</si>
  <si>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</si>
  <si>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</si>
  <si>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</si>
  <si>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</si>
  <si>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</si>
  <si>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</si>
  <si>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</si>
  <si>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</si>
  <si>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</si>
  <si>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</si>
  <si>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</si>
  <si>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</si>
  <si>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</si>
  <si>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</si>
  <si>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</si>
  <si>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</si>
  <si>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</si>
  <si>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</si>
  <si>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</si>
  <si>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</si>
  <si>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</si>
  <si>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</si>
  <si>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</si>
  <si>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</si>
  <si>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</si>
  <si>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</si>
  <si>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</si>
  <si>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</si>
  <si>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</si>
  <si>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</si>
  <si>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</si>
  <si>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</si>
  <si>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</si>
  <si>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</si>
  <si>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</si>
  <si>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</si>
  <si>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</si>
  <si>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</si>
  <si>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</si>
  <si>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</si>
  <si>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</si>
  <si>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</si>
  <si>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</si>
  <si>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</si>
  <si>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</si>
  <si>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</si>
  <si>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</si>
  <si>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</si>
  <si>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</si>
  <si>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</si>
  <si>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</si>
  <si>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</si>
  <si>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</si>
  <si>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</si>
  <si>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</si>
  <si>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</si>
  <si>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</si>
  <si>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</si>
  <si>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</si>
  <si>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</si>
  <si>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</si>
  <si>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</si>
  <si>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</si>
  <si>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</si>
  <si>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</si>
  <si>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</si>
  <si>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</si>
  <si>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</si>
  <si>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</si>
  <si>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</si>
  <si>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</si>
  <si>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</si>
  <si>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</si>
  <si>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</si>
  <si>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</si>
  <si>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</si>
  <si>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</si>
  <si>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</si>
  <si>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</si>
  <si>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</si>
  <si>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</si>
  <si>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</si>
  <si>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</si>
  <si>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</si>
  <si>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</si>
  <si>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</si>
  <si>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</si>
  <si>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</si>
  <si>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</si>
  <si>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</si>
  <si>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</si>
  <si>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</si>
  <si>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</si>
  <si>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</si>
  <si>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</si>
  <si>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</si>
  <si>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</si>
  <si>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</si>
  <si>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</si>
  <si>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</si>
  <si>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</si>
  <si>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</si>
  <si>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</si>
  <si>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</si>
  <si>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</si>
  <si>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</si>
  <si>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</si>
  <si>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</si>
  <si>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</si>
  <si>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</si>
  <si>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</si>
  <si>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</si>
  <si>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</si>
  <si>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</si>
  <si>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</si>
  <si>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</si>
  <si>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</si>
  <si>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</si>
  <si>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</si>
  <si>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</si>
  <si>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</si>
  <si>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</si>
  <si>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</si>
  <si>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</si>
  <si>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</si>
  <si>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</si>
  <si>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</si>
  <si>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</si>
  <si>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</si>
  <si>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</si>
  <si>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</si>
  <si>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</si>
  <si>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</si>
  <si>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</si>
  <si>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</si>
  <si>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</si>
  <si>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</si>
  <si>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</si>
  <si>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</si>
  <si>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</si>
  <si>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</si>
  <si>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</si>
  <si>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</si>
  <si>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</si>
  <si>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</si>
  <si>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</si>
  <si>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</si>
  <si>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</si>
  <si>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</si>
  <si>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</si>
  <si>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</si>
  <si>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</si>
  <si>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</si>
  <si>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</si>
  <si>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</si>
  <si>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</si>
  <si>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</si>
  <si>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</si>
  <si>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</si>
  <si>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</si>
  <si>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</si>
  <si>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</si>
  <si>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</si>
  <si>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</si>
  <si>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</si>
  <si>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</si>
  <si>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</si>
  <si>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</si>
  <si>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</si>
  <si>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</si>
  <si>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</si>
  <si>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</si>
  <si>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</si>
  <si>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</si>
  <si>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</si>
  <si>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</si>
  <si>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</si>
  <si>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</si>
  <si>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</si>
  <si>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</si>
  <si>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</si>
  <si>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</si>
  <si>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</si>
  <si>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</si>
  <si>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</si>
  <si>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</si>
  <si>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</si>
  <si>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</si>
  <si>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</si>
  <si>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</si>
  <si>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</si>
  <si>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</si>
  <si>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</si>
  <si>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</si>
  <si>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</si>
  <si>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</si>
  <si>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</si>
  <si>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</si>
  <si>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</si>
  <si>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</si>
  <si>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</si>
  <si>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</si>
  <si>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</si>
  <si>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</si>
  <si>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</si>
  <si>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</si>
  <si>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</si>
  <si>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</si>
  <si>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</si>
  <si>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</si>
  <si>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</si>
  <si>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</si>
  <si>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</si>
  <si>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</si>
  <si>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</si>
  <si>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</si>
  <si>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</si>
  <si>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</si>
  <si>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</si>
  <si>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</si>
  <si>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</si>
  <si>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</si>
  <si>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</si>
  <si>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</si>
  <si>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</si>
  <si>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</si>
  <si>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</si>
  <si>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</si>
  <si>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</si>
  <si>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</si>
  <si>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</si>
  <si>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</si>
  <si>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</si>
  <si>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</si>
  <si>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</si>
  <si>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</si>
  <si>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</si>
  <si>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</si>
  <si>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</si>
  <si>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</si>
  <si>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</si>
  <si>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</si>
  <si>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</si>
  <si>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</si>
  <si>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</si>
  <si>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</si>
  <si>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</si>
  <si>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</si>
  <si>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</si>
  <si>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</si>
  <si>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</si>
  <si>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</si>
  <si>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</si>
  <si>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</si>
  <si>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</si>
  <si>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</si>
  <si>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</si>
  <si>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</si>
  <si>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</si>
  <si>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</si>
  <si>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</si>
  <si>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</si>
  <si>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</si>
  <si>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</si>
  <si>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</si>
  <si>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</si>
  <si>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</si>
  <si>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</si>
  <si>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</si>
  <si>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</si>
  <si>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</si>
  <si>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</si>
  <si>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</si>
  <si>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</si>
  <si>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</si>
  <si>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</si>
  <si>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</si>
  <si>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</si>
  <si>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</si>
  <si>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</si>
  <si>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</si>
  <si>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</si>
  <si>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</si>
  <si>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</si>
  <si>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</si>
  <si>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</si>
  <si>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</si>
  <si>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</si>
  <si>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</si>
  <si>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</si>
  <si>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</si>
  <si>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</si>
  <si>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</si>
  <si>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</si>
  <si>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</si>
  <si>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</si>
  <si>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</si>
  <si>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</si>
  <si>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</si>
  <si>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</si>
  <si>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</si>
  <si>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</si>
  <si>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</si>
  <si>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</si>
  <si>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</si>
  <si>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</si>
  <si>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</si>
  <si>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</si>
  <si>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</si>
  <si>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</si>
  <si>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</si>
  <si>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</si>
  <si>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</si>
  <si>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</si>
  <si>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</si>
  <si>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</si>
  <si>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</si>
  <si>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</si>
  <si>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</si>
  <si>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</si>
  <si>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</si>
  <si>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</si>
  <si>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</si>
  <si>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</si>
  <si>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</si>
  <si>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</si>
  <si>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</si>
  <si>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</si>
  <si>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</si>
  <si>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</si>
  <si>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</si>
  <si>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</si>
  <si>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</si>
  <si>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</si>
  <si>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</si>
  <si>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</si>
  <si>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</si>
  <si>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</si>
  <si>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</si>
  <si>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</si>
  <si>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</si>
  <si>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</si>
  <si>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</si>
  <si>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</si>
  <si>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</si>
  <si>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</si>
  <si>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</si>
  <si>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</si>
  <si>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</si>
  <si>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</si>
  <si>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</si>
  <si>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</si>
  <si>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</si>
  <si>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</si>
  <si>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</si>
  <si>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</si>
  <si>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</si>
  <si>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</si>
  <si>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</si>
  <si>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</si>
  <si>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</si>
  <si>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</si>
  <si>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</si>
  <si>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42008</t>
  </si>
  <si>
    <t>HAMME</t>
  </si>
  <si>
    <t>Fluvius</t>
  </si>
  <si>
    <t>referentietaak LNE (2017); Jaarverslag De Lijn</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</si>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</sst>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AD2E88F9-8844-46B6-8C15-1F2015CAC592}"/>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206232.20984002374</c:v>
                </c:pt>
                <c:pt idx="1">
                  <c:v>49942.924745568627</c:v>
                </c:pt>
                <c:pt idx="2">
                  <c:v>1238.076</c:v>
                </c:pt>
                <c:pt idx="3">
                  <c:v>20615.419332289803</c:v>
                </c:pt>
                <c:pt idx="4">
                  <c:v>33561.936773546426</c:v>
                </c:pt>
                <c:pt idx="5">
                  <c:v>94120.108502920164</c:v>
                </c:pt>
                <c:pt idx="6">
                  <c:v>1209.3949215055793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206232.20984002374</c:v>
                </c:pt>
                <c:pt idx="1">
                  <c:v>49942.924745568627</c:v>
                </c:pt>
                <c:pt idx="2">
                  <c:v>1238.076</c:v>
                </c:pt>
                <c:pt idx="3">
                  <c:v>20615.419332289803</c:v>
                </c:pt>
                <c:pt idx="4">
                  <c:v>33561.936773546426</c:v>
                </c:pt>
                <c:pt idx="5">
                  <c:v>94120.108502920164</c:v>
                </c:pt>
                <c:pt idx="6">
                  <c:v>1209.3949215055793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40287.327324121718</c:v>
                </c:pt>
                <c:pt idx="2">
                  <c:v>9556.9845836133845</c:v>
                </c:pt>
                <c:pt idx="3">
                  <c:v>227.50646383399791</c:v>
                </c:pt>
                <c:pt idx="4">
                  <c:v>4931.6302108999871</c:v>
                </c:pt>
                <c:pt idx="5">
                  <c:v>6521.149329077316</c:v>
                </c:pt>
                <c:pt idx="6">
                  <c:v>23542.273353548651</c:v>
                </c:pt>
                <c:pt idx="7">
                  <c:v>304.4976568713023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40287.327324121718</c:v>
                </c:pt>
                <c:pt idx="2">
                  <c:v>9556.9845836133845</c:v>
                </c:pt>
                <c:pt idx="3">
                  <c:v>227.50646383399791</c:v>
                </c:pt>
                <c:pt idx="4">
                  <c:v>4931.6302108999871</c:v>
                </c:pt>
                <c:pt idx="5">
                  <c:v>6521.149329077316</c:v>
                </c:pt>
                <c:pt idx="6">
                  <c:v>23542.273353548651</c:v>
                </c:pt>
                <c:pt idx="7">
                  <c:v>304.4976568713023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42008</v>
      </c>
      <c r="B6" s="382"/>
      <c r="C6" s="383"/>
    </row>
    <row r="7" spans="1:7" s="380" customFormat="1" ht="15.75" customHeight="1">
      <c r="A7" s="384" t="str">
        <f>txtMunicipality</f>
        <v>HAMME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18918.262468639598</v>
      </c>
      <c r="D10" s="971">
        <f ca="1">tertiair!C16</f>
        <v>0</v>
      </c>
      <c r="E10" s="971">
        <f ca="1">tertiair!D16</f>
        <v>26609.869340467514</v>
      </c>
      <c r="F10" s="971">
        <f>tertiair!E16</f>
        <v>320.05853264499899</v>
      </c>
      <c r="G10" s="971">
        <f ca="1">tertiair!F16</f>
        <v>3221.8793925763362</v>
      </c>
      <c r="H10" s="971">
        <f>tertiair!G16</f>
        <v>0</v>
      </c>
      <c r="I10" s="971">
        <f>tertiair!H16</f>
        <v>0</v>
      </c>
      <c r="J10" s="971">
        <f>tertiair!I16</f>
        <v>0</v>
      </c>
      <c r="K10" s="971">
        <f>tertiair!J16</f>
        <v>5.322436165580291E-2</v>
      </c>
      <c r="L10" s="971">
        <f>tertiair!K16</f>
        <v>0</v>
      </c>
      <c r="M10" s="971">
        <f ca="1">tertiair!L16</f>
        <v>0</v>
      </c>
      <c r="N10" s="971">
        <f>tertiair!M16</f>
        <v>0</v>
      </c>
      <c r="O10" s="971">
        <f ca="1">tertiair!N16</f>
        <v>2110.8777868785205</v>
      </c>
      <c r="P10" s="971">
        <f>tertiair!O16</f>
        <v>0</v>
      </c>
      <c r="Q10" s="972">
        <f>tertiair!P16</f>
        <v>0</v>
      </c>
      <c r="R10" s="666">
        <f ca="1">SUM(C10:Q10)</f>
        <v>51181.000745568628</v>
      </c>
      <c r="S10" s="67"/>
    </row>
    <row r="11" spans="1:19" s="439" customFormat="1">
      <c r="A11" s="775" t="s">
        <v>213</v>
      </c>
      <c r="B11" s="780"/>
      <c r="C11" s="971">
        <f>huishoudens!B8</f>
        <v>39158.317538351446</v>
      </c>
      <c r="D11" s="971">
        <f>huishoudens!C8</f>
        <v>0</v>
      </c>
      <c r="E11" s="971">
        <f>huishoudens!D8</f>
        <v>114023.70265344097</v>
      </c>
      <c r="F11" s="971">
        <f>huishoudens!E8</f>
        <v>1429.886881371239</v>
      </c>
      <c r="G11" s="971">
        <f>huishoudens!F8</f>
        <v>36226.92407879341</v>
      </c>
      <c r="H11" s="971">
        <f>huishoudens!G8</f>
        <v>0</v>
      </c>
      <c r="I11" s="971">
        <f>huishoudens!H8</f>
        <v>0</v>
      </c>
      <c r="J11" s="971">
        <f>huishoudens!I8</f>
        <v>0</v>
      </c>
      <c r="K11" s="971">
        <f>huishoudens!J8</f>
        <v>174.31989432497579</v>
      </c>
      <c r="L11" s="971">
        <f>huishoudens!K8</f>
        <v>0</v>
      </c>
      <c r="M11" s="971">
        <f>huishoudens!L8</f>
        <v>0</v>
      </c>
      <c r="N11" s="971">
        <f>huishoudens!M8</f>
        <v>0</v>
      </c>
      <c r="O11" s="971">
        <f>huishoudens!N8</f>
        <v>14330.652127075033</v>
      </c>
      <c r="P11" s="971">
        <f>huishoudens!O8</f>
        <v>278.27333333333337</v>
      </c>
      <c r="Q11" s="972">
        <f>huishoudens!P8</f>
        <v>610.13333333333333</v>
      </c>
      <c r="R11" s="666">
        <f>SUM(C11:Q11)</f>
        <v>206232.20984002374</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17265.996081278667</v>
      </c>
      <c r="D13" s="971">
        <f>industrie!C18</f>
        <v>0</v>
      </c>
      <c r="E13" s="971">
        <f>industrie!D18</f>
        <v>10043.063376173117</v>
      </c>
      <c r="F13" s="971">
        <f>industrie!E18</f>
        <v>1119.6815829357972</v>
      </c>
      <c r="G13" s="971">
        <f>industrie!F18</f>
        <v>3938.1295520916378</v>
      </c>
      <c r="H13" s="971">
        <f>industrie!G18</f>
        <v>0</v>
      </c>
      <c r="I13" s="971">
        <f>industrie!H18</f>
        <v>0</v>
      </c>
      <c r="J13" s="971">
        <f>industrie!I18</f>
        <v>0</v>
      </c>
      <c r="K13" s="971">
        <f>industrie!J18</f>
        <v>39.649704497744466</v>
      </c>
      <c r="L13" s="971">
        <f>industrie!K18</f>
        <v>0</v>
      </c>
      <c r="M13" s="971">
        <f>industrie!L18</f>
        <v>0</v>
      </c>
      <c r="N13" s="971">
        <f>industrie!M18</f>
        <v>0</v>
      </c>
      <c r="O13" s="971">
        <f>industrie!N18</f>
        <v>1155.4164765694613</v>
      </c>
      <c r="P13" s="971">
        <f>industrie!O18</f>
        <v>0</v>
      </c>
      <c r="Q13" s="972">
        <f>industrie!P18</f>
        <v>0</v>
      </c>
      <c r="R13" s="666">
        <f>SUM(C13:Q13)</f>
        <v>33561.936773546426</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75342.576088269707</v>
      </c>
      <c r="D16" s="698">
        <f t="shared" ref="D16:R16" ca="1" si="0">SUM(D9:D15)</f>
        <v>0</v>
      </c>
      <c r="E16" s="698">
        <f t="shared" ca="1" si="0"/>
        <v>150676.63537008161</v>
      </c>
      <c r="F16" s="698">
        <f t="shared" si="0"/>
        <v>2869.6269969520354</v>
      </c>
      <c r="G16" s="698">
        <f t="shared" ca="1" si="0"/>
        <v>43386.933023461388</v>
      </c>
      <c r="H16" s="698">
        <f t="shared" si="0"/>
        <v>0</v>
      </c>
      <c r="I16" s="698">
        <f t="shared" si="0"/>
        <v>0</v>
      </c>
      <c r="J16" s="698">
        <f t="shared" si="0"/>
        <v>0</v>
      </c>
      <c r="K16" s="698">
        <f t="shared" si="0"/>
        <v>214.02282318437605</v>
      </c>
      <c r="L16" s="698">
        <f t="shared" si="0"/>
        <v>0</v>
      </c>
      <c r="M16" s="698">
        <f t="shared" ca="1" si="0"/>
        <v>0</v>
      </c>
      <c r="N16" s="698">
        <f t="shared" si="0"/>
        <v>0</v>
      </c>
      <c r="O16" s="698">
        <f t="shared" ca="1" si="0"/>
        <v>17596.946390523015</v>
      </c>
      <c r="P16" s="698">
        <f t="shared" si="0"/>
        <v>278.27333333333337</v>
      </c>
      <c r="Q16" s="698">
        <f t="shared" si="0"/>
        <v>610.13333333333333</v>
      </c>
      <c r="R16" s="698">
        <f t="shared" ca="1" si="0"/>
        <v>290975.14735913882</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12.051791936599564</v>
      </c>
      <c r="D19" s="971">
        <f>transport!C54</f>
        <v>0</v>
      </c>
      <c r="E19" s="971">
        <f>transport!D54</f>
        <v>0</v>
      </c>
      <c r="F19" s="971">
        <f>transport!E54</f>
        <v>0</v>
      </c>
      <c r="G19" s="971">
        <f>transport!F54</f>
        <v>0</v>
      </c>
      <c r="H19" s="971">
        <f>transport!G54</f>
        <v>1132.1462276082148</v>
      </c>
      <c r="I19" s="971">
        <f>transport!H54</f>
        <v>0</v>
      </c>
      <c r="J19" s="971">
        <f>transport!I54</f>
        <v>0</v>
      </c>
      <c r="K19" s="971">
        <f>transport!J54</f>
        <v>0</v>
      </c>
      <c r="L19" s="971">
        <f>transport!K54</f>
        <v>0</v>
      </c>
      <c r="M19" s="971">
        <f>transport!L54</f>
        <v>0</v>
      </c>
      <c r="N19" s="971">
        <f>transport!M54</f>
        <v>65.196901960764947</v>
      </c>
      <c r="O19" s="971">
        <f>transport!N54</f>
        <v>0</v>
      </c>
      <c r="P19" s="971">
        <f>transport!O54</f>
        <v>0</v>
      </c>
      <c r="Q19" s="972">
        <f>transport!P54</f>
        <v>0</v>
      </c>
      <c r="R19" s="666">
        <f>SUM(C19:Q19)</f>
        <v>1209.3949215055793</v>
      </c>
      <c r="S19" s="67"/>
    </row>
    <row r="20" spans="1:19" s="439" customFormat="1">
      <c r="A20" s="775" t="s">
        <v>295</v>
      </c>
      <c r="B20" s="780"/>
      <c r="C20" s="971">
        <f>transport!B14</f>
        <v>57.522496925852423</v>
      </c>
      <c r="D20" s="971">
        <f>transport!C14</f>
        <v>0</v>
      </c>
      <c r="E20" s="971">
        <f>transport!D14</f>
        <v>109.21883754453975</v>
      </c>
      <c r="F20" s="971">
        <f>transport!E14</f>
        <v>187.616555738887</v>
      </c>
      <c r="G20" s="971">
        <f>transport!F14</f>
        <v>0</v>
      </c>
      <c r="H20" s="971">
        <f>transport!G14</f>
        <v>71624.218872975995</v>
      </c>
      <c r="I20" s="971">
        <f>transport!H14</f>
        <v>17443.315372527642</v>
      </c>
      <c r="J20" s="971">
        <f>transport!I14</f>
        <v>0</v>
      </c>
      <c r="K20" s="971">
        <f>transport!J14</f>
        <v>0</v>
      </c>
      <c r="L20" s="971">
        <f>transport!K14</f>
        <v>0</v>
      </c>
      <c r="M20" s="971">
        <f>transport!L14</f>
        <v>0</v>
      </c>
      <c r="N20" s="971">
        <f>transport!M14</f>
        <v>4698.216367207232</v>
      </c>
      <c r="O20" s="971">
        <f>transport!N14</f>
        <v>0</v>
      </c>
      <c r="P20" s="971">
        <f>transport!O14</f>
        <v>0</v>
      </c>
      <c r="Q20" s="972">
        <f>transport!P14</f>
        <v>0</v>
      </c>
      <c r="R20" s="666">
        <f>SUM(C20:Q20)</f>
        <v>94120.108502920164</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69.574288862451994</v>
      </c>
      <c r="D22" s="778">
        <f t="shared" ref="D22:R22" si="1">SUM(D18:D21)</f>
        <v>0</v>
      </c>
      <c r="E22" s="778">
        <f t="shared" si="1"/>
        <v>109.21883754453975</v>
      </c>
      <c r="F22" s="778">
        <f t="shared" si="1"/>
        <v>187.616555738887</v>
      </c>
      <c r="G22" s="778">
        <f t="shared" si="1"/>
        <v>0</v>
      </c>
      <c r="H22" s="778">
        <f t="shared" si="1"/>
        <v>72756.365100584211</v>
      </c>
      <c r="I22" s="778">
        <f t="shared" si="1"/>
        <v>17443.315372527642</v>
      </c>
      <c r="J22" s="778">
        <f t="shared" si="1"/>
        <v>0</v>
      </c>
      <c r="K22" s="778">
        <f t="shared" si="1"/>
        <v>0</v>
      </c>
      <c r="L22" s="778">
        <f t="shared" si="1"/>
        <v>0</v>
      </c>
      <c r="M22" s="778">
        <f t="shared" si="1"/>
        <v>0</v>
      </c>
      <c r="N22" s="778">
        <f t="shared" si="1"/>
        <v>4763.413269167997</v>
      </c>
      <c r="O22" s="778">
        <f t="shared" si="1"/>
        <v>0</v>
      </c>
      <c r="P22" s="778">
        <f t="shared" si="1"/>
        <v>0</v>
      </c>
      <c r="Q22" s="778">
        <f t="shared" si="1"/>
        <v>0</v>
      </c>
      <c r="R22" s="778">
        <f t="shared" si="1"/>
        <v>95329.50342442574</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1468.6714075551126</v>
      </c>
      <c r="D24" s="971">
        <f>+landbouw!C8</f>
        <v>10182.857142857143</v>
      </c>
      <c r="E24" s="971">
        <f>+landbouw!D8</f>
        <v>2589.5373754567336</v>
      </c>
      <c r="F24" s="971">
        <f>+landbouw!E8</f>
        <v>43.168738508285834</v>
      </c>
      <c r="G24" s="971">
        <f>+landbouw!F8</f>
        <v>6118.4057210373048</v>
      </c>
      <c r="H24" s="971">
        <f>+landbouw!G8</f>
        <v>0</v>
      </c>
      <c r="I24" s="971">
        <f>+landbouw!H8</f>
        <v>0</v>
      </c>
      <c r="J24" s="971">
        <f>+landbouw!I8</f>
        <v>0</v>
      </c>
      <c r="K24" s="971">
        <f>+landbouw!J8</f>
        <v>212.77894687522283</v>
      </c>
      <c r="L24" s="971">
        <f>+landbouw!K8</f>
        <v>0</v>
      </c>
      <c r="M24" s="971">
        <f>+landbouw!L8</f>
        <v>0</v>
      </c>
      <c r="N24" s="971">
        <f>+landbouw!M8</f>
        <v>0</v>
      </c>
      <c r="O24" s="971">
        <f>+landbouw!N8</f>
        <v>0</v>
      </c>
      <c r="P24" s="971">
        <f>+landbouw!O8</f>
        <v>0</v>
      </c>
      <c r="Q24" s="972">
        <f>+landbouw!P8</f>
        <v>0</v>
      </c>
      <c r="R24" s="666">
        <f>SUM(C24:Q24)</f>
        <v>20615.419332289803</v>
      </c>
      <c r="S24" s="67"/>
    </row>
    <row r="25" spans="1:19" s="439" customFormat="1" ht="15" thickBot="1">
      <c r="A25" s="797" t="s">
        <v>802</v>
      </c>
      <c r="B25" s="974"/>
      <c r="C25" s="975">
        <f>IF(Onbekend_ele_kWh="---",0,Onbekend_ele_kWh)/1000+IF(REST_rest_ele_kWh="---",0,REST_rest_ele_kWh)/1000</f>
        <v>2260.58722596803</v>
      </c>
      <c r="D25" s="975"/>
      <c r="E25" s="975">
        <f>IF(onbekend_gas_kWh="---",0,onbekend_gas_kWh)/1000+IF(REST_rest_gas_kWh="---",0,REST_rest_gas_kWh)/1000</f>
        <v>4660.5469926733194</v>
      </c>
      <c r="F25" s="975"/>
      <c r="G25" s="975"/>
      <c r="H25" s="975"/>
      <c r="I25" s="975"/>
      <c r="J25" s="975"/>
      <c r="K25" s="975"/>
      <c r="L25" s="975"/>
      <c r="M25" s="975"/>
      <c r="N25" s="975"/>
      <c r="O25" s="975"/>
      <c r="P25" s="975"/>
      <c r="Q25" s="976"/>
      <c r="R25" s="666">
        <f>SUM(C25:Q25)</f>
        <v>6921.1342186413494</v>
      </c>
      <c r="S25" s="67"/>
    </row>
    <row r="26" spans="1:19" s="439" customFormat="1" ht="15.75" thickBot="1">
      <c r="A26" s="671" t="s">
        <v>803</v>
      </c>
      <c r="B26" s="783"/>
      <c r="C26" s="778">
        <f>SUM(C24:C25)</f>
        <v>3729.2586335231426</v>
      </c>
      <c r="D26" s="778">
        <f t="shared" ref="D26:R26" si="2">SUM(D24:D25)</f>
        <v>10182.857142857143</v>
      </c>
      <c r="E26" s="778">
        <f t="shared" si="2"/>
        <v>7250.084368130053</v>
      </c>
      <c r="F26" s="778">
        <f t="shared" si="2"/>
        <v>43.168738508285834</v>
      </c>
      <c r="G26" s="778">
        <f t="shared" si="2"/>
        <v>6118.4057210373048</v>
      </c>
      <c r="H26" s="778">
        <f t="shared" si="2"/>
        <v>0</v>
      </c>
      <c r="I26" s="778">
        <f t="shared" si="2"/>
        <v>0</v>
      </c>
      <c r="J26" s="778">
        <f t="shared" si="2"/>
        <v>0</v>
      </c>
      <c r="K26" s="778">
        <f t="shared" si="2"/>
        <v>212.77894687522283</v>
      </c>
      <c r="L26" s="778">
        <f t="shared" si="2"/>
        <v>0</v>
      </c>
      <c r="M26" s="778">
        <f t="shared" si="2"/>
        <v>0</v>
      </c>
      <c r="N26" s="778">
        <f t="shared" si="2"/>
        <v>0</v>
      </c>
      <c r="O26" s="778">
        <f t="shared" si="2"/>
        <v>0</v>
      </c>
      <c r="P26" s="778">
        <f t="shared" si="2"/>
        <v>0</v>
      </c>
      <c r="Q26" s="778">
        <f t="shared" si="2"/>
        <v>0</v>
      </c>
      <c r="R26" s="778">
        <f t="shared" si="2"/>
        <v>27536.553550931152</v>
      </c>
      <c r="S26" s="67"/>
    </row>
    <row r="27" spans="1:19" s="439" customFormat="1" ht="17.25" thickTop="1" thickBot="1">
      <c r="A27" s="672" t="s">
        <v>109</v>
      </c>
      <c r="B27" s="771"/>
      <c r="C27" s="673">
        <f ca="1">C22+C16+C26</f>
        <v>79141.409010655305</v>
      </c>
      <c r="D27" s="673">
        <f t="shared" ref="D27:R27" ca="1" si="3">D22+D16+D26</f>
        <v>10182.857142857143</v>
      </c>
      <c r="E27" s="673">
        <f t="shared" ca="1" si="3"/>
        <v>158035.93857575618</v>
      </c>
      <c r="F27" s="673">
        <f t="shared" si="3"/>
        <v>3100.4122911992085</v>
      </c>
      <c r="G27" s="673">
        <f t="shared" ca="1" si="3"/>
        <v>49505.338744498695</v>
      </c>
      <c r="H27" s="673">
        <f t="shared" si="3"/>
        <v>72756.365100584211</v>
      </c>
      <c r="I27" s="673">
        <f t="shared" si="3"/>
        <v>17443.315372527642</v>
      </c>
      <c r="J27" s="673">
        <f t="shared" si="3"/>
        <v>0</v>
      </c>
      <c r="K27" s="673">
        <f t="shared" si="3"/>
        <v>426.80177005959888</v>
      </c>
      <c r="L27" s="673">
        <f t="shared" si="3"/>
        <v>0</v>
      </c>
      <c r="M27" s="673">
        <f t="shared" ca="1" si="3"/>
        <v>0</v>
      </c>
      <c r="N27" s="673">
        <f t="shared" si="3"/>
        <v>4763.413269167997</v>
      </c>
      <c r="O27" s="673">
        <f t="shared" ca="1" si="3"/>
        <v>17596.946390523015</v>
      </c>
      <c r="P27" s="673">
        <f t="shared" si="3"/>
        <v>278.27333333333337</v>
      </c>
      <c r="Q27" s="673">
        <f t="shared" si="3"/>
        <v>610.13333333333333</v>
      </c>
      <c r="R27" s="673">
        <f t="shared" ca="1" si="3"/>
        <v>413841.20433449571</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3476.3835145206226</v>
      </c>
      <c r="D40" s="971">
        <f ca="1">tertiair!C20</f>
        <v>0</v>
      </c>
      <c r="E40" s="971">
        <f ca="1">tertiair!D20</f>
        <v>5375.1936067744382</v>
      </c>
      <c r="F40" s="971">
        <f>tertiair!E20</f>
        <v>72.653286910414778</v>
      </c>
      <c r="G40" s="971">
        <f ca="1">tertiair!F20</f>
        <v>860.24179781788177</v>
      </c>
      <c r="H40" s="971">
        <f>tertiair!G20</f>
        <v>0</v>
      </c>
      <c r="I40" s="971">
        <f>tertiair!H20</f>
        <v>0</v>
      </c>
      <c r="J40" s="971">
        <f>tertiair!I20</f>
        <v>0</v>
      </c>
      <c r="K40" s="971">
        <f>tertiair!J20</f>
        <v>1.8841424026154231E-2</v>
      </c>
      <c r="L40" s="971">
        <f>tertiair!K20</f>
        <v>0</v>
      </c>
      <c r="M40" s="971">
        <f ca="1">tertiair!L20</f>
        <v>0</v>
      </c>
      <c r="N40" s="971">
        <f>tertiair!M20</f>
        <v>0</v>
      </c>
      <c r="O40" s="971">
        <f ca="1">tertiair!N20</f>
        <v>0</v>
      </c>
      <c r="P40" s="971">
        <f>tertiair!O20</f>
        <v>0</v>
      </c>
      <c r="Q40" s="740">
        <f>tertiair!P20</f>
        <v>0</v>
      </c>
      <c r="R40" s="816">
        <f t="shared" ca="1" si="4"/>
        <v>9784.4910474473818</v>
      </c>
    </row>
    <row r="41" spans="1:18">
      <c r="A41" s="788" t="s">
        <v>213</v>
      </c>
      <c r="B41" s="795"/>
      <c r="C41" s="971">
        <f ca="1">huishoudens!B12</f>
        <v>7195.6570944264813</v>
      </c>
      <c r="D41" s="971">
        <f ca="1">huishoudens!C12</f>
        <v>0</v>
      </c>
      <c r="E41" s="971">
        <f>huishoudens!D12</f>
        <v>23032.787935995078</v>
      </c>
      <c r="F41" s="971">
        <f>huishoudens!E12</f>
        <v>324.58432207127129</v>
      </c>
      <c r="G41" s="971">
        <f>huishoudens!F12</f>
        <v>9672.5887290378414</v>
      </c>
      <c r="H41" s="971">
        <f>huishoudens!G12</f>
        <v>0</v>
      </c>
      <c r="I41" s="971">
        <f>huishoudens!H12</f>
        <v>0</v>
      </c>
      <c r="J41" s="971">
        <f>huishoudens!I12</f>
        <v>0</v>
      </c>
      <c r="K41" s="971">
        <f>huishoudens!J12</f>
        <v>61.709242591041424</v>
      </c>
      <c r="L41" s="971">
        <f>huishoudens!K12</f>
        <v>0</v>
      </c>
      <c r="M41" s="971">
        <f>huishoudens!L12</f>
        <v>0</v>
      </c>
      <c r="N41" s="971">
        <f>huishoudens!M12</f>
        <v>0</v>
      </c>
      <c r="O41" s="971">
        <f>huishoudens!N12</f>
        <v>0</v>
      </c>
      <c r="P41" s="971">
        <f>huishoudens!O12</f>
        <v>0</v>
      </c>
      <c r="Q41" s="740">
        <f>huishoudens!P12</f>
        <v>0</v>
      </c>
      <c r="R41" s="816">
        <f t="shared" ca="1" si="4"/>
        <v>40287.327324121718</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3172.7662219632516</v>
      </c>
      <c r="D43" s="971">
        <f ca="1">industrie!C22</f>
        <v>0</v>
      </c>
      <c r="E43" s="971">
        <f>industrie!D22</f>
        <v>2028.6988019869698</v>
      </c>
      <c r="F43" s="971">
        <f>industrie!E22</f>
        <v>254.16771932642598</v>
      </c>
      <c r="G43" s="971">
        <f>industrie!F22</f>
        <v>1051.4805904084674</v>
      </c>
      <c r="H43" s="971">
        <f>industrie!G22</f>
        <v>0</v>
      </c>
      <c r="I43" s="971">
        <f>industrie!H22</f>
        <v>0</v>
      </c>
      <c r="J43" s="971">
        <f>industrie!I22</f>
        <v>0</v>
      </c>
      <c r="K43" s="971">
        <f>industrie!J22</f>
        <v>14.03599539220154</v>
      </c>
      <c r="L43" s="971">
        <f>industrie!K22</f>
        <v>0</v>
      </c>
      <c r="M43" s="971">
        <f>industrie!L22</f>
        <v>0</v>
      </c>
      <c r="N43" s="971">
        <f>industrie!M22</f>
        <v>0</v>
      </c>
      <c r="O43" s="971">
        <f>industrie!N22</f>
        <v>0</v>
      </c>
      <c r="P43" s="971">
        <f>industrie!O22</f>
        <v>0</v>
      </c>
      <c r="Q43" s="740">
        <f>industrie!P22</f>
        <v>0</v>
      </c>
      <c r="R43" s="815">
        <f t="shared" ca="1" si="4"/>
        <v>6521.149329077316</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13844.806830910355</v>
      </c>
      <c r="D46" s="698">
        <f t="shared" ref="D46:Q46" ca="1" si="5">SUM(D39:D45)</f>
        <v>0</v>
      </c>
      <c r="E46" s="698">
        <f t="shared" ca="1" si="5"/>
        <v>30436.680344756489</v>
      </c>
      <c r="F46" s="698">
        <f t="shared" si="5"/>
        <v>651.40532830811208</v>
      </c>
      <c r="G46" s="698">
        <f t="shared" ca="1" si="5"/>
        <v>11584.311117264191</v>
      </c>
      <c r="H46" s="698">
        <f t="shared" si="5"/>
        <v>0</v>
      </c>
      <c r="I46" s="698">
        <f t="shared" si="5"/>
        <v>0</v>
      </c>
      <c r="J46" s="698">
        <f t="shared" si="5"/>
        <v>0</v>
      </c>
      <c r="K46" s="698">
        <f t="shared" si="5"/>
        <v>75.764079407269122</v>
      </c>
      <c r="L46" s="698">
        <f t="shared" si="5"/>
        <v>0</v>
      </c>
      <c r="M46" s="698">
        <f t="shared" ca="1" si="5"/>
        <v>0</v>
      </c>
      <c r="N46" s="698">
        <f t="shared" si="5"/>
        <v>0</v>
      </c>
      <c r="O46" s="698">
        <f t="shared" ca="1" si="5"/>
        <v>0</v>
      </c>
      <c r="P46" s="698">
        <f t="shared" si="5"/>
        <v>0</v>
      </c>
      <c r="Q46" s="698">
        <f t="shared" si="5"/>
        <v>0</v>
      </c>
      <c r="R46" s="698">
        <f ca="1">SUM(R39:R45)</f>
        <v>56592.967700646412</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2.2146140999089363</v>
      </c>
      <c r="D49" s="971">
        <f ca="1">transport!C58</f>
        <v>0</v>
      </c>
      <c r="E49" s="971">
        <f>transport!D58</f>
        <v>0</v>
      </c>
      <c r="F49" s="971">
        <f>transport!E58</f>
        <v>0</v>
      </c>
      <c r="G49" s="971">
        <f>transport!F58</f>
        <v>0</v>
      </c>
      <c r="H49" s="971">
        <f>transport!G58</f>
        <v>302.28304277139335</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304.4976568713023</v>
      </c>
    </row>
    <row r="50" spans="1:18">
      <c r="A50" s="791" t="s">
        <v>295</v>
      </c>
      <c r="B50" s="801"/>
      <c r="C50" s="669">
        <f ca="1">transport!B18</f>
        <v>10.570223367953744</v>
      </c>
      <c r="D50" s="669">
        <f>transport!C18</f>
        <v>0</v>
      </c>
      <c r="E50" s="669">
        <f>transport!D18</f>
        <v>22.06220518399703</v>
      </c>
      <c r="F50" s="669">
        <f>transport!E18</f>
        <v>42.588958152727351</v>
      </c>
      <c r="G50" s="669">
        <f>transport!F18</f>
        <v>0</v>
      </c>
      <c r="H50" s="669">
        <f>transport!G18</f>
        <v>19123.666439084591</v>
      </c>
      <c r="I50" s="669">
        <f>transport!H18</f>
        <v>4343.385527759383</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23542.273353548651</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12.78483746786268</v>
      </c>
      <c r="D52" s="698">
        <f t="shared" ref="D52:Q52" ca="1" si="6">SUM(D48:D51)</f>
        <v>0</v>
      </c>
      <c r="E52" s="698">
        <f t="shared" si="6"/>
        <v>22.06220518399703</v>
      </c>
      <c r="F52" s="698">
        <f t="shared" si="6"/>
        <v>42.588958152727351</v>
      </c>
      <c r="G52" s="698">
        <f t="shared" si="6"/>
        <v>0</v>
      </c>
      <c r="H52" s="698">
        <f t="shared" si="6"/>
        <v>19425.949481855983</v>
      </c>
      <c r="I52" s="698">
        <f t="shared" si="6"/>
        <v>4343.385527759383</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23846.771010419954</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269.88023228538799</v>
      </c>
      <c r="D54" s="669">
        <f ca="1">+landbouw!C12</f>
        <v>2419.9260504201679</v>
      </c>
      <c r="E54" s="669">
        <f>+landbouw!D12</f>
        <v>523.08654984226018</v>
      </c>
      <c r="F54" s="669">
        <f>+landbouw!E12</f>
        <v>9.7993036413808845</v>
      </c>
      <c r="G54" s="669">
        <f>+landbouw!F12</f>
        <v>1633.6143275169604</v>
      </c>
      <c r="H54" s="669">
        <f>+landbouw!G12</f>
        <v>0</v>
      </c>
      <c r="I54" s="669">
        <f>+landbouw!H12</f>
        <v>0</v>
      </c>
      <c r="J54" s="669">
        <f>+landbouw!I12</f>
        <v>0</v>
      </c>
      <c r="K54" s="669">
        <f>+landbouw!J12</f>
        <v>75.323747193828879</v>
      </c>
      <c r="L54" s="669">
        <f>+landbouw!K12</f>
        <v>0</v>
      </c>
      <c r="M54" s="669">
        <f>+landbouw!L12</f>
        <v>0</v>
      </c>
      <c r="N54" s="669">
        <f>+landbouw!M12</f>
        <v>0</v>
      </c>
      <c r="O54" s="669">
        <f>+landbouw!N12</f>
        <v>0</v>
      </c>
      <c r="P54" s="669">
        <f>+landbouw!O12</f>
        <v>0</v>
      </c>
      <c r="Q54" s="670">
        <f>+landbouw!P12</f>
        <v>0</v>
      </c>
      <c r="R54" s="697">
        <f ca="1">SUM(C54:Q54)</f>
        <v>4931.6302108999871</v>
      </c>
    </row>
    <row r="55" spans="1:18" ht="15" thickBot="1">
      <c r="A55" s="791" t="s">
        <v>802</v>
      </c>
      <c r="B55" s="801"/>
      <c r="C55" s="669">
        <f ca="1">C25*'EF ele_warmte'!B12</f>
        <v>415.40115951548478</v>
      </c>
      <c r="D55" s="669"/>
      <c r="E55" s="669">
        <f>E25*EF_CO2_aardgas</f>
        <v>941.4304925200106</v>
      </c>
      <c r="F55" s="669"/>
      <c r="G55" s="669"/>
      <c r="H55" s="669"/>
      <c r="I55" s="669"/>
      <c r="J55" s="669"/>
      <c r="K55" s="669"/>
      <c r="L55" s="669"/>
      <c r="M55" s="669"/>
      <c r="N55" s="669"/>
      <c r="O55" s="669"/>
      <c r="P55" s="669"/>
      <c r="Q55" s="670"/>
      <c r="R55" s="697">
        <f ca="1">SUM(C55:Q55)</f>
        <v>1356.8316520354954</v>
      </c>
    </row>
    <row r="56" spans="1:18" ht="15.75" thickBot="1">
      <c r="A56" s="789" t="s">
        <v>803</v>
      </c>
      <c r="B56" s="802"/>
      <c r="C56" s="698">
        <f ca="1">SUM(C54:C55)</f>
        <v>685.28139180087283</v>
      </c>
      <c r="D56" s="698">
        <f t="shared" ref="D56:Q56" ca="1" si="7">SUM(D54:D55)</f>
        <v>2419.9260504201679</v>
      </c>
      <c r="E56" s="698">
        <f t="shared" si="7"/>
        <v>1464.5170423622708</v>
      </c>
      <c r="F56" s="698">
        <f t="shared" si="7"/>
        <v>9.7993036413808845</v>
      </c>
      <c r="G56" s="698">
        <f t="shared" si="7"/>
        <v>1633.6143275169604</v>
      </c>
      <c r="H56" s="698">
        <f t="shared" si="7"/>
        <v>0</v>
      </c>
      <c r="I56" s="698">
        <f t="shared" si="7"/>
        <v>0</v>
      </c>
      <c r="J56" s="698">
        <f t="shared" si="7"/>
        <v>0</v>
      </c>
      <c r="K56" s="698">
        <f t="shared" si="7"/>
        <v>75.323747193828879</v>
      </c>
      <c r="L56" s="698">
        <f t="shared" si="7"/>
        <v>0</v>
      </c>
      <c r="M56" s="698">
        <f t="shared" si="7"/>
        <v>0</v>
      </c>
      <c r="N56" s="698">
        <f t="shared" si="7"/>
        <v>0</v>
      </c>
      <c r="O56" s="698">
        <f t="shared" si="7"/>
        <v>0</v>
      </c>
      <c r="P56" s="698">
        <f t="shared" si="7"/>
        <v>0</v>
      </c>
      <c r="Q56" s="699">
        <f t="shared" si="7"/>
        <v>0</v>
      </c>
      <c r="R56" s="700">
        <f ca="1">SUM(R54:R55)</f>
        <v>6288.4618629354827</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14542.87306017909</v>
      </c>
      <c r="D61" s="706">
        <f t="shared" ref="D61:Q61" ca="1" si="8">D46+D52+D56</f>
        <v>2419.9260504201679</v>
      </c>
      <c r="E61" s="706">
        <f t="shared" ca="1" si="8"/>
        <v>31923.259592302755</v>
      </c>
      <c r="F61" s="706">
        <f t="shared" si="8"/>
        <v>703.79359010222038</v>
      </c>
      <c r="G61" s="706">
        <f t="shared" ca="1" si="8"/>
        <v>13217.925444781151</v>
      </c>
      <c r="H61" s="706">
        <f t="shared" si="8"/>
        <v>19425.949481855983</v>
      </c>
      <c r="I61" s="706">
        <f t="shared" si="8"/>
        <v>4343.385527759383</v>
      </c>
      <c r="J61" s="706">
        <f t="shared" si="8"/>
        <v>0</v>
      </c>
      <c r="K61" s="706">
        <f t="shared" si="8"/>
        <v>151.08782660109802</v>
      </c>
      <c r="L61" s="706">
        <f t="shared" si="8"/>
        <v>0</v>
      </c>
      <c r="M61" s="706">
        <f t="shared" ca="1" si="8"/>
        <v>0</v>
      </c>
      <c r="N61" s="706">
        <f t="shared" si="8"/>
        <v>0</v>
      </c>
      <c r="O61" s="706">
        <f t="shared" ca="1" si="8"/>
        <v>0</v>
      </c>
      <c r="P61" s="706">
        <f t="shared" si="8"/>
        <v>0</v>
      </c>
      <c r="Q61" s="706">
        <f t="shared" si="8"/>
        <v>0</v>
      </c>
      <c r="R61" s="706">
        <f ca="1">R46+R52+R56</f>
        <v>86728.20057400185</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0.18375807610679629</v>
      </c>
      <c r="D63" s="747">
        <f t="shared" ca="1" si="9"/>
        <v>0.23764705882352941</v>
      </c>
      <c r="E63" s="982">
        <f t="shared" ca="1" si="9"/>
        <v>0.20200000000000004</v>
      </c>
      <c r="F63" s="747">
        <f t="shared" si="9"/>
        <v>0.22700000000000001</v>
      </c>
      <c r="G63" s="747">
        <f t="shared" ca="1" si="9"/>
        <v>0.26700000000000002</v>
      </c>
      <c r="H63" s="747">
        <f t="shared" si="9"/>
        <v>0.26699999999999996</v>
      </c>
      <c r="I63" s="747">
        <f t="shared" si="9"/>
        <v>0.249</v>
      </c>
      <c r="J63" s="747">
        <f t="shared" si="9"/>
        <v>0</v>
      </c>
      <c r="K63" s="747">
        <f t="shared" si="9"/>
        <v>0.35400000000000004</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7923.2613761713083</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5950.2163001628596</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7128</v>
      </c>
      <c r="D76" s="992">
        <f>'lokale energieproductie'!C8</f>
        <v>8385.8823529411748</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1693.9482352941175</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13873.477676334169</v>
      </c>
      <c r="C78" s="721">
        <f>SUM(C72:C77)</f>
        <v>7128</v>
      </c>
      <c r="D78" s="722">
        <f t="shared" ref="D78:H78" si="10">SUM(D76:D77)</f>
        <v>8385.8823529411748</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1693.9482352941175</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10182.857142857143</v>
      </c>
      <c r="D87" s="743">
        <f>'lokale energieproductie'!C17</f>
        <v>11979.831932773108</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2419.9260504201679</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10182.857142857143</v>
      </c>
      <c r="D90" s="721">
        <f t="shared" ref="D90:H90" si="12">SUM(D87:D89)</f>
        <v>11979.831932773108</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2419.9260504201679</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39158.317538351446</v>
      </c>
      <c r="C4" s="443">
        <f>huishoudens!C8</f>
        <v>0</v>
      </c>
      <c r="D4" s="443">
        <f>huishoudens!D8</f>
        <v>114023.70265344097</v>
      </c>
      <c r="E4" s="443">
        <f>huishoudens!E8</f>
        <v>1429.886881371239</v>
      </c>
      <c r="F4" s="443">
        <f>huishoudens!F8</f>
        <v>36226.92407879341</v>
      </c>
      <c r="G4" s="443">
        <f>huishoudens!G8</f>
        <v>0</v>
      </c>
      <c r="H4" s="443">
        <f>huishoudens!H8</f>
        <v>0</v>
      </c>
      <c r="I4" s="443">
        <f>huishoudens!I8</f>
        <v>0</v>
      </c>
      <c r="J4" s="443">
        <f>huishoudens!J8</f>
        <v>174.31989432497579</v>
      </c>
      <c r="K4" s="443">
        <f>huishoudens!K8</f>
        <v>0</v>
      </c>
      <c r="L4" s="443">
        <f>huishoudens!L8</f>
        <v>0</v>
      </c>
      <c r="M4" s="443">
        <f>huishoudens!M8</f>
        <v>0</v>
      </c>
      <c r="N4" s="443">
        <f>huishoudens!N8</f>
        <v>14330.652127075033</v>
      </c>
      <c r="O4" s="443">
        <f>huishoudens!O8</f>
        <v>278.27333333333337</v>
      </c>
      <c r="P4" s="444">
        <f>huishoudens!P8</f>
        <v>610.13333333333333</v>
      </c>
      <c r="Q4" s="445">
        <f>SUM(B4:P4)</f>
        <v>206232.20984002374</v>
      </c>
    </row>
    <row r="5" spans="1:17">
      <c r="A5" s="442" t="s">
        <v>149</v>
      </c>
      <c r="B5" s="443">
        <f ca="1">tertiair!B16</f>
        <v>17680.186468639597</v>
      </c>
      <c r="C5" s="443">
        <f ca="1">tertiair!C16</f>
        <v>0</v>
      </c>
      <c r="D5" s="443">
        <f ca="1">tertiair!D16</f>
        <v>26609.869340467514</v>
      </c>
      <c r="E5" s="443">
        <f>tertiair!E16</f>
        <v>320.05853264499899</v>
      </c>
      <c r="F5" s="443">
        <f ca="1">tertiair!F16</f>
        <v>3221.8793925763362</v>
      </c>
      <c r="G5" s="443">
        <f>tertiair!G16</f>
        <v>0</v>
      </c>
      <c r="H5" s="443">
        <f>tertiair!H16</f>
        <v>0</v>
      </c>
      <c r="I5" s="443">
        <f>tertiair!I16</f>
        <v>0</v>
      </c>
      <c r="J5" s="443">
        <f>tertiair!J16</f>
        <v>5.322436165580291E-2</v>
      </c>
      <c r="K5" s="443">
        <f>tertiair!K16</f>
        <v>0</v>
      </c>
      <c r="L5" s="443">
        <f ca="1">tertiair!L16</f>
        <v>0</v>
      </c>
      <c r="M5" s="443">
        <f>tertiair!M16</f>
        <v>0</v>
      </c>
      <c r="N5" s="443">
        <f ca="1">tertiair!N16</f>
        <v>2110.8777868785205</v>
      </c>
      <c r="O5" s="443">
        <f>tertiair!O16</f>
        <v>0</v>
      </c>
      <c r="P5" s="444">
        <f>tertiair!P16</f>
        <v>0</v>
      </c>
      <c r="Q5" s="442">
        <f t="shared" ref="Q5:Q14" ca="1" si="0">SUM(B5:P5)</f>
        <v>49942.924745568627</v>
      </c>
    </row>
    <row r="6" spans="1:17">
      <c r="A6" s="442" t="s">
        <v>187</v>
      </c>
      <c r="B6" s="443">
        <f>'openbare verlichting'!B8</f>
        <v>1238.076</v>
      </c>
      <c r="C6" s="443"/>
      <c r="D6" s="443"/>
      <c r="E6" s="443"/>
      <c r="F6" s="443"/>
      <c r="G6" s="443"/>
      <c r="H6" s="443"/>
      <c r="I6" s="443"/>
      <c r="J6" s="443"/>
      <c r="K6" s="443"/>
      <c r="L6" s="443"/>
      <c r="M6" s="443"/>
      <c r="N6" s="443"/>
      <c r="O6" s="443"/>
      <c r="P6" s="444"/>
      <c r="Q6" s="442">
        <f t="shared" si="0"/>
        <v>1238.076</v>
      </c>
    </row>
    <row r="7" spans="1:17">
      <c r="A7" s="442" t="s">
        <v>105</v>
      </c>
      <c r="B7" s="443">
        <f>landbouw!B8</f>
        <v>1468.6714075551126</v>
      </c>
      <c r="C7" s="443">
        <f>landbouw!C8</f>
        <v>10182.857142857143</v>
      </c>
      <c r="D7" s="443">
        <f>landbouw!D8</f>
        <v>2589.5373754567336</v>
      </c>
      <c r="E7" s="443">
        <f>landbouw!E8</f>
        <v>43.168738508285834</v>
      </c>
      <c r="F7" s="443">
        <f>landbouw!F8</f>
        <v>6118.4057210373048</v>
      </c>
      <c r="G7" s="443">
        <f>landbouw!G8</f>
        <v>0</v>
      </c>
      <c r="H7" s="443">
        <f>landbouw!H8</f>
        <v>0</v>
      </c>
      <c r="I7" s="443">
        <f>landbouw!I8</f>
        <v>0</v>
      </c>
      <c r="J7" s="443">
        <f>landbouw!J8</f>
        <v>212.77894687522283</v>
      </c>
      <c r="K7" s="443">
        <f>landbouw!K8</f>
        <v>0</v>
      </c>
      <c r="L7" s="443">
        <f>landbouw!L8</f>
        <v>0</v>
      </c>
      <c r="M7" s="443">
        <f>landbouw!M8</f>
        <v>0</v>
      </c>
      <c r="N7" s="443">
        <f>landbouw!N8</f>
        <v>0</v>
      </c>
      <c r="O7" s="443">
        <f>landbouw!O8</f>
        <v>0</v>
      </c>
      <c r="P7" s="444">
        <f>landbouw!P8</f>
        <v>0</v>
      </c>
      <c r="Q7" s="442">
        <f t="shared" si="0"/>
        <v>20615.419332289803</v>
      </c>
    </row>
    <row r="8" spans="1:17">
      <c r="A8" s="442" t="s">
        <v>621</v>
      </c>
      <c r="B8" s="443">
        <f>industrie!B18</f>
        <v>17265.996081278667</v>
      </c>
      <c r="C8" s="443">
        <f>industrie!C18</f>
        <v>0</v>
      </c>
      <c r="D8" s="443">
        <f>industrie!D18</f>
        <v>10043.063376173117</v>
      </c>
      <c r="E8" s="443">
        <f>industrie!E18</f>
        <v>1119.6815829357972</v>
      </c>
      <c r="F8" s="443">
        <f>industrie!F18</f>
        <v>3938.1295520916378</v>
      </c>
      <c r="G8" s="443">
        <f>industrie!G18</f>
        <v>0</v>
      </c>
      <c r="H8" s="443">
        <f>industrie!H18</f>
        <v>0</v>
      </c>
      <c r="I8" s="443">
        <f>industrie!I18</f>
        <v>0</v>
      </c>
      <c r="J8" s="443">
        <f>industrie!J18</f>
        <v>39.649704497744466</v>
      </c>
      <c r="K8" s="443">
        <f>industrie!K18</f>
        <v>0</v>
      </c>
      <c r="L8" s="443">
        <f>industrie!L18</f>
        <v>0</v>
      </c>
      <c r="M8" s="443">
        <f>industrie!M18</f>
        <v>0</v>
      </c>
      <c r="N8" s="443">
        <f>industrie!N18</f>
        <v>1155.4164765694613</v>
      </c>
      <c r="O8" s="443">
        <f>industrie!O18</f>
        <v>0</v>
      </c>
      <c r="P8" s="444">
        <f>industrie!P18</f>
        <v>0</v>
      </c>
      <c r="Q8" s="442">
        <f t="shared" si="0"/>
        <v>33561.936773546426</v>
      </c>
    </row>
    <row r="9" spans="1:17" s="448" customFormat="1">
      <c r="A9" s="446" t="s">
        <v>547</v>
      </c>
      <c r="B9" s="447">
        <f>transport!B14</f>
        <v>57.522496925852423</v>
      </c>
      <c r="C9" s="447">
        <f>transport!C14</f>
        <v>0</v>
      </c>
      <c r="D9" s="447">
        <f>transport!D14</f>
        <v>109.21883754453975</v>
      </c>
      <c r="E9" s="447">
        <f>transport!E14</f>
        <v>187.616555738887</v>
      </c>
      <c r="F9" s="447">
        <f>transport!F14</f>
        <v>0</v>
      </c>
      <c r="G9" s="447">
        <f>transport!G14</f>
        <v>71624.218872975995</v>
      </c>
      <c r="H9" s="447">
        <f>transport!H14</f>
        <v>17443.315372527642</v>
      </c>
      <c r="I9" s="447">
        <f>transport!I14</f>
        <v>0</v>
      </c>
      <c r="J9" s="447">
        <f>transport!J14</f>
        <v>0</v>
      </c>
      <c r="K9" s="447">
        <f>transport!K14</f>
        <v>0</v>
      </c>
      <c r="L9" s="447">
        <f>transport!L14</f>
        <v>0</v>
      </c>
      <c r="M9" s="447">
        <f>transport!M14</f>
        <v>4698.216367207232</v>
      </c>
      <c r="N9" s="447">
        <f>transport!N14</f>
        <v>0</v>
      </c>
      <c r="O9" s="447">
        <f>transport!O14</f>
        <v>0</v>
      </c>
      <c r="P9" s="447">
        <f>transport!P14</f>
        <v>0</v>
      </c>
      <c r="Q9" s="446">
        <f>SUM(B9:P9)</f>
        <v>94120.108502920164</v>
      </c>
    </row>
    <row r="10" spans="1:17">
      <c r="A10" s="442" t="s">
        <v>537</v>
      </c>
      <c r="B10" s="443">
        <f>transport!B54</f>
        <v>12.051791936599564</v>
      </c>
      <c r="C10" s="443">
        <f>transport!C54</f>
        <v>0</v>
      </c>
      <c r="D10" s="443">
        <f>transport!D54</f>
        <v>0</v>
      </c>
      <c r="E10" s="443">
        <f>transport!E54</f>
        <v>0</v>
      </c>
      <c r="F10" s="443">
        <f>transport!F54</f>
        <v>0</v>
      </c>
      <c r="G10" s="443">
        <f>transport!G54</f>
        <v>1132.1462276082148</v>
      </c>
      <c r="H10" s="443">
        <f>transport!H54</f>
        <v>0</v>
      </c>
      <c r="I10" s="443">
        <f>transport!I54</f>
        <v>0</v>
      </c>
      <c r="J10" s="443">
        <f>transport!J54</f>
        <v>0</v>
      </c>
      <c r="K10" s="443">
        <f>transport!K54</f>
        <v>0</v>
      </c>
      <c r="L10" s="443">
        <f>transport!L54</f>
        <v>0</v>
      </c>
      <c r="M10" s="443">
        <f>transport!M54</f>
        <v>65.196901960764947</v>
      </c>
      <c r="N10" s="443">
        <f>transport!N54</f>
        <v>0</v>
      </c>
      <c r="O10" s="443">
        <f>transport!O54</f>
        <v>0</v>
      </c>
      <c r="P10" s="444">
        <f>transport!P54</f>
        <v>0</v>
      </c>
      <c r="Q10" s="442">
        <f t="shared" si="0"/>
        <v>1209.3949215055793</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2260.58722596803</v>
      </c>
      <c r="C14" s="450"/>
      <c r="D14" s="450">
        <f>'SEAP template'!E25</f>
        <v>4660.5469926733194</v>
      </c>
      <c r="E14" s="450"/>
      <c r="F14" s="450"/>
      <c r="G14" s="450"/>
      <c r="H14" s="450"/>
      <c r="I14" s="450"/>
      <c r="J14" s="450"/>
      <c r="K14" s="450"/>
      <c r="L14" s="450"/>
      <c r="M14" s="450"/>
      <c r="N14" s="450"/>
      <c r="O14" s="450"/>
      <c r="P14" s="451"/>
      <c r="Q14" s="442">
        <f t="shared" si="0"/>
        <v>6921.1342186413494</v>
      </c>
    </row>
    <row r="15" spans="1:17" s="452" customFormat="1">
      <c r="A15" s="997" t="s">
        <v>541</v>
      </c>
      <c r="B15" s="945">
        <f ca="1">SUM(B4:B14)</f>
        <v>79141.409010655305</v>
      </c>
      <c r="C15" s="945">
        <f t="shared" ref="C15:Q15" ca="1" si="1">SUM(C4:C14)</f>
        <v>10182.857142857143</v>
      </c>
      <c r="D15" s="945">
        <f t="shared" ca="1" si="1"/>
        <v>158035.93857575618</v>
      </c>
      <c r="E15" s="945">
        <f t="shared" si="1"/>
        <v>3100.4122911992081</v>
      </c>
      <c r="F15" s="945">
        <f t="shared" ca="1" si="1"/>
        <v>49505.338744498695</v>
      </c>
      <c r="G15" s="945">
        <f t="shared" si="1"/>
        <v>72756.365100584211</v>
      </c>
      <c r="H15" s="945">
        <f t="shared" si="1"/>
        <v>17443.315372527642</v>
      </c>
      <c r="I15" s="945">
        <f t="shared" si="1"/>
        <v>0</v>
      </c>
      <c r="J15" s="945">
        <f t="shared" si="1"/>
        <v>426.80177005959888</v>
      </c>
      <c r="K15" s="945">
        <f t="shared" si="1"/>
        <v>0</v>
      </c>
      <c r="L15" s="945">
        <f t="shared" ca="1" si="1"/>
        <v>0</v>
      </c>
      <c r="M15" s="945">
        <f t="shared" si="1"/>
        <v>4763.413269167997</v>
      </c>
      <c r="N15" s="945">
        <f t="shared" ca="1" si="1"/>
        <v>17596.946390523015</v>
      </c>
      <c r="O15" s="945">
        <f t="shared" si="1"/>
        <v>278.27333333333337</v>
      </c>
      <c r="P15" s="945">
        <f t="shared" si="1"/>
        <v>610.13333333333333</v>
      </c>
      <c r="Q15" s="945">
        <f t="shared" ca="1" si="1"/>
        <v>413841.20433449571</v>
      </c>
    </row>
    <row r="17" spans="1:17">
      <c r="A17" s="453" t="s">
        <v>542</v>
      </c>
      <c r="B17" s="752">
        <f ca="1">huishoudens!B10</f>
        <v>0.18375807610679629</v>
      </c>
      <c r="C17" s="752">
        <f ca="1">huishoudens!C10</f>
        <v>0.23764705882352941</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7195.6570944264813</v>
      </c>
      <c r="C22" s="443">
        <f t="shared" ref="C22:C32" ca="1" si="3">C4*$C$17</f>
        <v>0</v>
      </c>
      <c r="D22" s="443">
        <f t="shared" ref="D22:D32" si="4">D4*$D$17</f>
        <v>23032.787935995078</v>
      </c>
      <c r="E22" s="443">
        <f t="shared" ref="E22:E32" si="5">E4*$E$17</f>
        <v>324.58432207127129</v>
      </c>
      <c r="F22" s="443">
        <f t="shared" ref="F22:F32" si="6">F4*$F$17</f>
        <v>9672.5887290378414</v>
      </c>
      <c r="G22" s="443">
        <f t="shared" ref="G22:G32" si="7">G4*$G$17</f>
        <v>0</v>
      </c>
      <c r="H22" s="443">
        <f t="shared" ref="H22:H32" si="8">H4*$H$17</f>
        <v>0</v>
      </c>
      <c r="I22" s="443">
        <f t="shared" ref="I22:I32" si="9">I4*$I$17</f>
        <v>0</v>
      </c>
      <c r="J22" s="443">
        <f t="shared" ref="J22:J32" si="10">J4*$J$17</f>
        <v>61.709242591041424</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40287.327324121718</v>
      </c>
    </row>
    <row r="23" spans="1:17">
      <c r="A23" s="442" t="s">
        <v>149</v>
      </c>
      <c r="B23" s="443">
        <f t="shared" ca="1" si="2"/>
        <v>3248.8770506866249</v>
      </c>
      <c r="C23" s="443">
        <f t="shared" ca="1" si="3"/>
        <v>0</v>
      </c>
      <c r="D23" s="443">
        <f t="shared" ca="1" si="4"/>
        <v>5375.1936067744382</v>
      </c>
      <c r="E23" s="443">
        <f t="shared" si="5"/>
        <v>72.653286910414778</v>
      </c>
      <c r="F23" s="443">
        <f t="shared" ca="1" si="6"/>
        <v>860.24179781788177</v>
      </c>
      <c r="G23" s="443">
        <f t="shared" si="7"/>
        <v>0</v>
      </c>
      <c r="H23" s="443">
        <f t="shared" si="8"/>
        <v>0</v>
      </c>
      <c r="I23" s="443">
        <f t="shared" si="9"/>
        <v>0</v>
      </c>
      <c r="J23" s="443">
        <f t="shared" si="10"/>
        <v>1.8841424026154231E-2</v>
      </c>
      <c r="K23" s="443">
        <f t="shared" si="11"/>
        <v>0</v>
      </c>
      <c r="L23" s="443">
        <f t="shared" ca="1" si="12"/>
        <v>0</v>
      </c>
      <c r="M23" s="443">
        <f t="shared" si="13"/>
        <v>0</v>
      </c>
      <c r="N23" s="443">
        <f t="shared" ca="1" si="14"/>
        <v>0</v>
      </c>
      <c r="O23" s="443">
        <f t="shared" si="15"/>
        <v>0</v>
      </c>
      <c r="P23" s="444">
        <f t="shared" si="16"/>
        <v>0</v>
      </c>
      <c r="Q23" s="442">
        <f t="shared" ref="Q23:Q32" ca="1" si="17">SUM(B23:P23)</f>
        <v>9556.9845836133845</v>
      </c>
    </row>
    <row r="24" spans="1:17">
      <c r="A24" s="442" t="s">
        <v>187</v>
      </c>
      <c r="B24" s="443">
        <f t="shared" ca="1" si="2"/>
        <v>227.50646383399791</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227.50646383399791</v>
      </c>
    </row>
    <row r="25" spans="1:17">
      <c r="A25" s="442" t="s">
        <v>105</v>
      </c>
      <c r="B25" s="443">
        <f t="shared" ca="1" si="2"/>
        <v>269.88023228538799</v>
      </c>
      <c r="C25" s="443">
        <f t="shared" ca="1" si="3"/>
        <v>2419.9260504201679</v>
      </c>
      <c r="D25" s="443">
        <f t="shared" si="4"/>
        <v>523.08654984226018</v>
      </c>
      <c r="E25" s="443">
        <f t="shared" si="5"/>
        <v>9.7993036413808845</v>
      </c>
      <c r="F25" s="443">
        <f t="shared" si="6"/>
        <v>1633.6143275169604</v>
      </c>
      <c r="G25" s="443">
        <f t="shared" si="7"/>
        <v>0</v>
      </c>
      <c r="H25" s="443">
        <f t="shared" si="8"/>
        <v>0</v>
      </c>
      <c r="I25" s="443">
        <f t="shared" si="9"/>
        <v>0</v>
      </c>
      <c r="J25" s="443">
        <f t="shared" si="10"/>
        <v>75.323747193828879</v>
      </c>
      <c r="K25" s="443">
        <f t="shared" si="11"/>
        <v>0</v>
      </c>
      <c r="L25" s="443">
        <f t="shared" si="12"/>
        <v>0</v>
      </c>
      <c r="M25" s="443">
        <f t="shared" si="13"/>
        <v>0</v>
      </c>
      <c r="N25" s="443">
        <f t="shared" si="14"/>
        <v>0</v>
      </c>
      <c r="O25" s="443">
        <f t="shared" si="15"/>
        <v>0</v>
      </c>
      <c r="P25" s="444">
        <f t="shared" si="16"/>
        <v>0</v>
      </c>
      <c r="Q25" s="442">
        <f t="shared" ca="1" si="17"/>
        <v>4931.6302108999871</v>
      </c>
    </row>
    <row r="26" spans="1:17">
      <c r="A26" s="442" t="s">
        <v>621</v>
      </c>
      <c r="B26" s="443">
        <f t="shared" ca="1" si="2"/>
        <v>3172.7662219632516</v>
      </c>
      <c r="C26" s="443">
        <f t="shared" ca="1" si="3"/>
        <v>0</v>
      </c>
      <c r="D26" s="443">
        <f t="shared" si="4"/>
        <v>2028.6988019869698</v>
      </c>
      <c r="E26" s="443">
        <f t="shared" si="5"/>
        <v>254.16771932642598</v>
      </c>
      <c r="F26" s="443">
        <f t="shared" si="6"/>
        <v>1051.4805904084674</v>
      </c>
      <c r="G26" s="443">
        <f t="shared" si="7"/>
        <v>0</v>
      </c>
      <c r="H26" s="443">
        <f t="shared" si="8"/>
        <v>0</v>
      </c>
      <c r="I26" s="443">
        <f t="shared" si="9"/>
        <v>0</v>
      </c>
      <c r="J26" s="443">
        <f t="shared" si="10"/>
        <v>14.03599539220154</v>
      </c>
      <c r="K26" s="443">
        <f t="shared" si="11"/>
        <v>0</v>
      </c>
      <c r="L26" s="443">
        <f t="shared" si="12"/>
        <v>0</v>
      </c>
      <c r="M26" s="443">
        <f t="shared" si="13"/>
        <v>0</v>
      </c>
      <c r="N26" s="443">
        <f t="shared" si="14"/>
        <v>0</v>
      </c>
      <c r="O26" s="443">
        <f t="shared" si="15"/>
        <v>0</v>
      </c>
      <c r="P26" s="444">
        <f t="shared" si="16"/>
        <v>0</v>
      </c>
      <c r="Q26" s="442">
        <f t="shared" ca="1" si="17"/>
        <v>6521.149329077316</v>
      </c>
    </row>
    <row r="27" spans="1:17" s="448" customFormat="1">
      <c r="A27" s="446" t="s">
        <v>547</v>
      </c>
      <c r="B27" s="746">
        <f t="shared" ca="1" si="2"/>
        <v>10.570223367953744</v>
      </c>
      <c r="C27" s="447">
        <f t="shared" ca="1" si="3"/>
        <v>0</v>
      </c>
      <c r="D27" s="447">
        <f t="shared" si="4"/>
        <v>22.06220518399703</v>
      </c>
      <c r="E27" s="447">
        <f t="shared" si="5"/>
        <v>42.588958152727351</v>
      </c>
      <c r="F27" s="447">
        <f t="shared" si="6"/>
        <v>0</v>
      </c>
      <c r="G27" s="447">
        <f t="shared" si="7"/>
        <v>19123.666439084591</v>
      </c>
      <c r="H27" s="447">
        <f t="shared" si="8"/>
        <v>4343.385527759383</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23542.273353548651</v>
      </c>
    </row>
    <row r="28" spans="1:17">
      <c r="A28" s="442" t="s">
        <v>537</v>
      </c>
      <c r="B28" s="443">
        <f t="shared" ca="1" si="2"/>
        <v>2.2146140999089363</v>
      </c>
      <c r="C28" s="443">
        <f t="shared" ca="1" si="3"/>
        <v>0</v>
      </c>
      <c r="D28" s="443">
        <f t="shared" si="4"/>
        <v>0</v>
      </c>
      <c r="E28" s="443">
        <f t="shared" si="5"/>
        <v>0</v>
      </c>
      <c r="F28" s="443">
        <f t="shared" si="6"/>
        <v>0</v>
      </c>
      <c r="G28" s="443">
        <f t="shared" si="7"/>
        <v>302.28304277139335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304.4976568713023</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415.40115951548478</v>
      </c>
      <c r="C32" s="443">
        <f t="shared" ca="1" si="3"/>
        <v>0</v>
      </c>
      <c r="D32" s="443">
        <f t="shared" si="4"/>
        <v>941.4304925200106</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1356.8316520354954</v>
      </c>
    </row>
    <row r="33" spans="1:17" s="452" customFormat="1">
      <c r="A33" s="997" t="s">
        <v>541</v>
      </c>
      <c r="B33" s="945">
        <f ca="1">SUM(B22:B32)</f>
        <v>14542.873060179088</v>
      </c>
      <c r="C33" s="945">
        <f t="shared" ref="C33:Q33" ca="1" si="18">SUM(C22:C32)</f>
        <v>2419.9260504201679</v>
      </c>
      <c r="D33" s="945">
        <f t="shared" ca="1" si="18"/>
        <v>31923.259592302758</v>
      </c>
      <c r="E33" s="945">
        <f t="shared" si="18"/>
        <v>703.79359010222038</v>
      </c>
      <c r="F33" s="945">
        <f t="shared" ca="1" si="18"/>
        <v>13217.925444781151</v>
      </c>
      <c r="G33" s="945">
        <f t="shared" si="18"/>
        <v>19425.949481855983</v>
      </c>
      <c r="H33" s="945">
        <f t="shared" si="18"/>
        <v>4343.385527759383</v>
      </c>
      <c r="I33" s="945">
        <f t="shared" si="18"/>
        <v>0</v>
      </c>
      <c r="J33" s="945">
        <f t="shared" si="18"/>
        <v>151.08782660109799</v>
      </c>
      <c r="K33" s="945">
        <f t="shared" si="18"/>
        <v>0</v>
      </c>
      <c r="L33" s="945">
        <f t="shared" ca="1" si="18"/>
        <v>0</v>
      </c>
      <c r="M33" s="945">
        <f t="shared" si="18"/>
        <v>0</v>
      </c>
      <c r="N33" s="945">
        <f t="shared" ca="1" si="18"/>
        <v>0</v>
      </c>
      <c r="O33" s="945">
        <f t="shared" si="18"/>
        <v>0</v>
      </c>
      <c r="P33" s="945">
        <f t="shared" si="18"/>
        <v>0</v>
      </c>
      <c r="Q33" s="945">
        <f t="shared" ca="1" si="18"/>
        <v>86728.20057400185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7923.2613761713083</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5950.2163001628596</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7128</v>
      </c>
      <c r="D8" s="1014">
        <f>'SEAP template'!D76</f>
        <v>8385.8823529411748</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1693.9482352941175</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13873.477676334169</v>
      </c>
      <c r="C10" s="1018">
        <f>SUM(C4:C9)</f>
        <v>7128</v>
      </c>
      <c r="D10" s="1018">
        <f t="shared" ref="D10:H10" si="0">SUM(D8:D9)</f>
        <v>8385.8823529411748</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1693.9482352941175</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0.18375807610679629</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10182.857142857143</v>
      </c>
      <c r="D17" s="1015">
        <f>'SEAP template'!D87</f>
        <v>11979.831932773108</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2419.9260504201679</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10182.857142857143</v>
      </c>
      <c r="D20" s="1018">
        <f t="shared" ref="D20:H20" si="2">SUM(D17:D19)</f>
        <v>11979.831932773108</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2419.9260504201679</v>
      </c>
    </row>
    <row r="22" spans="1:16">
      <c r="A22" s="453" t="s">
        <v>827</v>
      </c>
      <c r="B22" s="752" t="s">
        <v>821</v>
      </c>
      <c r="C22" s="752">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0.18375807610679629</v>
      </c>
      <c r="C17" s="490">
        <f ca="1">'EF ele_warmte'!B22</f>
        <v>0.23764705882352941</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0.18375807610679629</v>
      </c>
      <c r="C17" s="490">
        <f ca="1">'EF ele_warmte'!B22</f>
        <v>0.23764705882352941</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0.18375807610679629</v>
      </c>
      <c r="C29" s="491">
        <f ca="1">'EF ele_warmte'!B22</f>
        <v>0.23764705882352941</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10304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1618.29</v>
      </c>
      <c r="C14" s="324"/>
      <c r="D14" s="324"/>
      <c r="E14" s="324"/>
      <c r="F14" s="324"/>
    </row>
    <row r="15" spans="1:6">
      <c r="A15" s="1289" t="s">
        <v>177</v>
      </c>
      <c r="B15" s="1290">
        <v>17</v>
      </c>
      <c r="C15" s="324"/>
      <c r="D15" s="324"/>
      <c r="E15" s="324"/>
      <c r="F15" s="324"/>
    </row>
    <row r="16" spans="1:6">
      <c r="A16" s="1289" t="s">
        <v>6</v>
      </c>
      <c r="B16" s="1290">
        <v>665</v>
      </c>
      <c r="C16" s="324"/>
      <c r="D16" s="324"/>
      <c r="E16" s="324"/>
      <c r="F16" s="324"/>
    </row>
    <row r="17" spans="1:6">
      <c r="A17" s="1289" t="s">
        <v>7</v>
      </c>
      <c r="B17" s="1290">
        <v>570</v>
      </c>
      <c r="C17" s="324"/>
      <c r="D17" s="324"/>
      <c r="E17" s="324"/>
      <c r="F17" s="324"/>
    </row>
    <row r="18" spans="1:6">
      <c r="A18" s="1289" t="s">
        <v>8</v>
      </c>
      <c r="B18" s="1290">
        <v>812</v>
      </c>
      <c r="C18" s="324"/>
      <c r="D18" s="324"/>
      <c r="E18" s="324"/>
      <c r="F18" s="324"/>
    </row>
    <row r="19" spans="1:6">
      <c r="A19" s="1289" t="s">
        <v>9</v>
      </c>
      <c r="B19" s="1290">
        <v>811</v>
      </c>
      <c r="C19" s="324"/>
      <c r="D19" s="324"/>
      <c r="E19" s="324"/>
      <c r="F19" s="324"/>
    </row>
    <row r="20" spans="1:6">
      <c r="A20" s="1289" t="s">
        <v>10</v>
      </c>
      <c r="B20" s="1290">
        <v>511</v>
      </c>
      <c r="C20" s="324"/>
      <c r="D20" s="324"/>
      <c r="E20" s="324"/>
      <c r="F20" s="324"/>
    </row>
    <row r="21" spans="1:6">
      <c r="A21" s="1289" t="s">
        <v>11</v>
      </c>
      <c r="B21" s="1290">
        <v>224</v>
      </c>
      <c r="C21" s="324"/>
      <c r="D21" s="324"/>
      <c r="E21" s="324"/>
      <c r="F21" s="324"/>
    </row>
    <row r="22" spans="1:6">
      <c r="A22" s="1289" t="s">
        <v>12</v>
      </c>
      <c r="B22" s="1290">
        <v>8302</v>
      </c>
      <c r="C22" s="324"/>
      <c r="D22" s="324"/>
      <c r="E22" s="324"/>
      <c r="F22" s="324"/>
    </row>
    <row r="23" spans="1:6">
      <c r="A23" s="1289" t="s">
        <v>13</v>
      </c>
      <c r="B23" s="1290">
        <v>72</v>
      </c>
      <c r="C23" s="324"/>
      <c r="D23" s="324"/>
      <c r="E23" s="324"/>
      <c r="F23" s="324"/>
    </row>
    <row r="24" spans="1:6">
      <c r="A24" s="1289" t="s">
        <v>14</v>
      </c>
      <c r="B24" s="1290">
        <v>1</v>
      </c>
      <c r="C24" s="324"/>
      <c r="D24" s="324"/>
      <c r="E24" s="324"/>
      <c r="F24" s="324"/>
    </row>
    <row r="25" spans="1:6">
      <c r="A25" s="1289" t="s">
        <v>15</v>
      </c>
      <c r="B25" s="1290">
        <v>72</v>
      </c>
      <c r="C25" s="324"/>
      <c r="D25" s="324"/>
      <c r="E25" s="324"/>
      <c r="F25" s="324"/>
    </row>
    <row r="26" spans="1:6">
      <c r="A26" s="1289" t="s">
        <v>16</v>
      </c>
      <c r="B26" s="1290">
        <v>67</v>
      </c>
      <c r="C26" s="324"/>
      <c r="D26" s="324"/>
      <c r="E26" s="324"/>
      <c r="F26" s="324"/>
    </row>
    <row r="27" spans="1:6">
      <c r="A27" s="1289" t="s">
        <v>17</v>
      </c>
      <c r="B27" s="1290">
        <v>5</v>
      </c>
      <c r="C27" s="324"/>
      <c r="D27" s="324"/>
      <c r="E27" s="324"/>
      <c r="F27" s="324"/>
    </row>
    <row r="28" spans="1:6">
      <c r="A28" s="1289" t="s">
        <v>18</v>
      </c>
      <c r="B28" s="1291">
        <v>5</v>
      </c>
      <c r="C28" s="324"/>
      <c r="D28" s="324"/>
      <c r="E28" s="324"/>
      <c r="F28" s="324"/>
    </row>
    <row r="29" spans="1:6">
      <c r="A29" s="1289" t="s">
        <v>716</v>
      </c>
      <c r="B29" s="1291">
        <v>163</v>
      </c>
      <c r="C29" s="324"/>
      <c r="D29" s="324"/>
      <c r="E29" s="324"/>
      <c r="F29" s="324"/>
    </row>
    <row r="30" spans="1:6">
      <c r="A30" s="1284" t="s">
        <v>717</v>
      </c>
      <c r="B30" s="1292">
        <v>71</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5</v>
      </c>
      <c r="F38" s="1290">
        <v>22274</v>
      </c>
    </row>
    <row r="39" spans="1:6">
      <c r="A39" s="1289" t="s">
        <v>29</v>
      </c>
      <c r="B39" s="1289" t="s">
        <v>30</v>
      </c>
      <c r="C39" s="1290">
        <v>8225</v>
      </c>
      <c r="D39" s="1290">
        <v>126412087.19893678</v>
      </c>
      <c r="E39" s="1290">
        <v>10223</v>
      </c>
      <c r="F39" s="1290">
        <v>34713393.944254681</v>
      </c>
    </row>
    <row r="40" spans="1:6">
      <c r="A40" s="1289" t="s">
        <v>29</v>
      </c>
      <c r="B40" s="1289" t="s">
        <v>28</v>
      </c>
      <c r="C40" s="1290">
        <v>0</v>
      </c>
      <c r="D40" s="1290">
        <v>0</v>
      </c>
      <c r="E40" s="1290">
        <v>0</v>
      </c>
      <c r="F40" s="1290">
        <v>0</v>
      </c>
    </row>
    <row r="41" spans="1:6">
      <c r="A41" s="1289" t="s">
        <v>31</v>
      </c>
      <c r="B41" s="1289" t="s">
        <v>32</v>
      </c>
      <c r="C41" s="1290">
        <v>126</v>
      </c>
      <c r="D41" s="1290">
        <v>2364676.5378056802</v>
      </c>
      <c r="E41" s="1290">
        <v>268</v>
      </c>
      <c r="F41" s="1290">
        <v>1665138.1570437001</v>
      </c>
    </row>
    <row r="42" spans="1:6">
      <c r="A42" s="1289" t="s">
        <v>31</v>
      </c>
      <c r="B42" s="1289" t="s">
        <v>33</v>
      </c>
      <c r="C42" s="1290">
        <v>0</v>
      </c>
      <c r="D42" s="1290">
        <v>0</v>
      </c>
      <c r="E42" s="1290">
        <v>3</v>
      </c>
      <c r="F42" s="1290">
        <v>89422.753257830002</v>
      </c>
    </row>
    <row r="43" spans="1:6">
      <c r="A43" s="1289" t="s">
        <v>31</v>
      </c>
      <c r="B43" s="1289" t="s">
        <v>34</v>
      </c>
      <c r="C43" s="1290">
        <v>0</v>
      </c>
      <c r="D43" s="1290">
        <v>0</v>
      </c>
      <c r="E43" s="1290">
        <v>0</v>
      </c>
      <c r="F43" s="1290">
        <v>0</v>
      </c>
    </row>
    <row r="44" spans="1:6">
      <c r="A44" s="1289" t="s">
        <v>31</v>
      </c>
      <c r="B44" s="1289" t="s">
        <v>35</v>
      </c>
      <c r="C44" s="1290">
        <v>10</v>
      </c>
      <c r="D44" s="1290">
        <v>254265.55674520301</v>
      </c>
      <c r="E44" s="1290">
        <v>28</v>
      </c>
      <c r="F44" s="1290">
        <v>1449840.6476790099</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9</v>
      </c>
      <c r="F47" s="1290">
        <v>148864.645147048</v>
      </c>
    </row>
    <row r="48" spans="1:6">
      <c r="A48" s="1289" t="s">
        <v>31</v>
      </c>
      <c r="B48" s="1289" t="s">
        <v>28</v>
      </c>
      <c r="C48" s="1290">
        <v>38</v>
      </c>
      <c r="D48" s="1290">
        <v>7789783.08005434</v>
      </c>
      <c r="E48" s="1290">
        <v>35</v>
      </c>
      <c r="F48" s="1290">
        <v>11068964.152527399</v>
      </c>
    </row>
    <row r="49" spans="1:6">
      <c r="A49" s="1289" t="s">
        <v>31</v>
      </c>
      <c r="B49" s="1289" t="s">
        <v>39</v>
      </c>
      <c r="C49" s="1290">
        <v>3</v>
      </c>
      <c r="D49" s="1290">
        <v>195958.816175085</v>
      </c>
      <c r="E49" s="1290">
        <v>7</v>
      </c>
      <c r="F49" s="1290">
        <v>2304259.86775595</v>
      </c>
    </row>
    <row r="50" spans="1:6">
      <c r="A50" s="1289" t="s">
        <v>31</v>
      </c>
      <c r="B50" s="1289" t="s">
        <v>40</v>
      </c>
      <c r="C50" s="1290">
        <v>6</v>
      </c>
      <c r="D50" s="1290">
        <v>529532.61251582997</v>
      </c>
      <c r="E50" s="1290">
        <v>10</v>
      </c>
      <c r="F50" s="1290">
        <v>539505.85786772706</v>
      </c>
    </row>
    <row r="51" spans="1:6">
      <c r="A51" s="1289" t="s">
        <v>41</v>
      </c>
      <c r="B51" s="1289" t="s">
        <v>42</v>
      </c>
      <c r="C51" s="1290">
        <v>24</v>
      </c>
      <c r="D51" s="1290">
        <v>25393338.539992101</v>
      </c>
      <c r="E51" s="1290">
        <v>103</v>
      </c>
      <c r="F51" s="1290">
        <v>1436405.46112584</v>
      </c>
    </row>
    <row r="52" spans="1:6">
      <c r="A52" s="1289" t="s">
        <v>41</v>
      </c>
      <c r="B52" s="1289" t="s">
        <v>28</v>
      </c>
      <c r="C52" s="1290">
        <v>3</v>
      </c>
      <c r="D52" s="1290">
        <v>55942.6808183393</v>
      </c>
      <c r="E52" s="1290">
        <v>4</v>
      </c>
      <c r="F52" s="1290">
        <v>32265.946429272601</v>
      </c>
    </row>
    <row r="53" spans="1:6">
      <c r="A53" s="1289" t="s">
        <v>43</v>
      </c>
      <c r="B53" s="1289" t="s">
        <v>44</v>
      </c>
      <c r="C53" s="1290">
        <v>206</v>
      </c>
      <c r="D53" s="1290">
        <v>4660546.9926733198</v>
      </c>
      <c r="E53" s="1290">
        <v>394</v>
      </c>
      <c r="F53" s="1290">
        <v>2260587.2259680298</v>
      </c>
    </row>
    <row r="54" spans="1:6">
      <c r="A54" s="1289" t="s">
        <v>45</v>
      </c>
      <c r="B54" s="1289" t="s">
        <v>46</v>
      </c>
      <c r="C54" s="1290">
        <v>0</v>
      </c>
      <c r="D54" s="1290">
        <v>0</v>
      </c>
      <c r="E54" s="1290">
        <v>1</v>
      </c>
      <c r="F54" s="1290">
        <v>1238076</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58</v>
      </c>
      <c r="D57" s="1290">
        <v>2011866.5672426701</v>
      </c>
      <c r="E57" s="1290">
        <v>84</v>
      </c>
      <c r="F57" s="1290">
        <v>2251047.6144956201</v>
      </c>
    </row>
    <row r="58" spans="1:6">
      <c r="A58" s="1289" t="s">
        <v>48</v>
      </c>
      <c r="B58" s="1289" t="s">
        <v>50</v>
      </c>
      <c r="C58" s="1290">
        <v>28</v>
      </c>
      <c r="D58" s="1290">
        <v>1385811.40512835</v>
      </c>
      <c r="E58" s="1290">
        <v>51</v>
      </c>
      <c r="F58" s="1290">
        <v>585099.10243201302</v>
      </c>
    </row>
    <row r="59" spans="1:6">
      <c r="A59" s="1289" t="s">
        <v>48</v>
      </c>
      <c r="B59" s="1289" t="s">
        <v>51</v>
      </c>
      <c r="C59" s="1290">
        <v>138</v>
      </c>
      <c r="D59" s="1290">
        <v>4443277.3287474299</v>
      </c>
      <c r="E59" s="1290">
        <v>286</v>
      </c>
      <c r="F59" s="1290">
        <v>7028372.83560332</v>
      </c>
    </row>
    <row r="60" spans="1:6">
      <c r="A60" s="1289" t="s">
        <v>48</v>
      </c>
      <c r="B60" s="1289" t="s">
        <v>52</v>
      </c>
      <c r="C60" s="1290">
        <v>87</v>
      </c>
      <c r="D60" s="1290">
        <v>3054783.1095868899</v>
      </c>
      <c r="E60" s="1290">
        <v>106</v>
      </c>
      <c r="F60" s="1290">
        <v>1885547.33064374</v>
      </c>
    </row>
    <row r="61" spans="1:6">
      <c r="A61" s="1289" t="s">
        <v>48</v>
      </c>
      <c r="B61" s="1289" t="s">
        <v>53</v>
      </c>
      <c r="C61" s="1290">
        <v>199</v>
      </c>
      <c r="D61" s="1290">
        <v>9365891.8654463198</v>
      </c>
      <c r="E61" s="1290">
        <v>380</v>
      </c>
      <c r="F61" s="1290">
        <v>3265110.9953895099</v>
      </c>
    </row>
    <row r="62" spans="1:6">
      <c r="A62" s="1289" t="s">
        <v>48</v>
      </c>
      <c r="B62" s="1289" t="s">
        <v>54</v>
      </c>
      <c r="C62" s="1290">
        <v>21</v>
      </c>
      <c r="D62" s="1290">
        <v>2718314.3125506002</v>
      </c>
      <c r="E62" s="1290">
        <v>28</v>
      </c>
      <c r="F62" s="1290">
        <v>863275.63998602703</v>
      </c>
    </row>
    <row r="63" spans="1:6">
      <c r="A63" s="1289" t="s">
        <v>48</v>
      </c>
      <c r="B63" s="1289" t="s">
        <v>28</v>
      </c>
      <c r="C63" s="1290">
        <v>103</v>
      </c>
      <c r="D63" s="1290">
        <v>6521019.2033903301</v>
      </c>
      <c r="E63" s="1290">
        <v>89</v>
      </c>
      <c r="F63" s="1290">
        <v>1801732.9500893699</v>
      </c>
    </row>
    <row r="64" spans="1:6">
      <c r="A64" s="1289" t="s">
        <v>55</v>
      </c>
      <c r="B64" s="1289" t="s">
        <v>56</v>
      </c>
      <c r="C64" s="1290">
        <v>0</v>
      </c>
      <c r="D64" s="1290">
        <v>0</v>
      </c>
      <c r="E64" s="1290">
        <v>0</v>
      </c>
      <c r="F64" s="1290">
        <v>0</v>
      </c>
    </row>
    <row r="65" spans="1:6">
      <c r="A65" s="1289" t="s">
        <v>55</v>
      </c>
      <c r="B65" s="1289" t="s">
        <v>28</v>
      </c>
      <c r="C65" s="1290">
        <v>2</v>
      </c>
      <c r="D65" s="1290">
        <v>59905.150390789699</v>
      </c>
      <c r="E65" s="1290">
        <v>3</v>
      </c>
      <c r="F65" s="1290">
        <v>15204.0621706824</v>
      </c>
    </row>
    <row r="66" spans="1:6">
      <c r="A66" s="1289" t="s">
        <v>55</v>
      </c>
      <c r="B66" s="1289" t="s">
        <v>57</v>
      </c>
      <c r="C66" s="1290">
        <v>0</v>
      </c>
      <c r="D66" s="1290">
        <v>0</v>
      </c>
      <c r="E66" s="1290">
        <v>8</v>
      </c>
      <c r="F66" s="1290">
        <v>183711</v>
      </c>
    </row>
    <row r="67" spans="1:6">
      <c r="A67" s="1289" t="s">
        <v>55</v>
      </c>
      <c r="B67" s="1289" t="s">
        <v>58</v>
      </c>
      <c r="C67" s="1290">
        <v>0</v>
      </c>
      <c r="D67" s="1290">
        <v>0</v>
      </c>
      <c r="E67" s="1290">
        <v>0</v>
      </c>
      <c r="F67" s="1290">
        <v>0</v>
      </c>
    </row>
    <row r="68" spans="1:6">
      <c r="A68" s="1284" t="s">
        <v>55</v>
      </c>
      <c r="B68" s="1284" t="s">
        <v>59</v>
      </c>
      <c r="C68" s="1292">
        <v>9</v>
      </c>
      <c r="D68" s="1292">
        <v>573449.20756921195</v>
      </c>
      <c r="E68" s="1292">
        <v>18</v>
      </c>
      <c r="F68" s="1292">
        <v>406825.32284223998</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58816941</v>
      </c>
      <c r="E73" s="441"/>
      <c r="F73" s="324"/>
    </row>
    <row r="74" spans="1:6">
      <c r="A74" s="1289" t="s">
        <v>63</v>
      </c>
      <c r="B74" s="1289" t="s">
        <v>642</v>
      </c>
      <c r="C74" s="1302" t="s">
        <v>644</v>
      </c>
      <c r="D74" s="1290">
        <v>6089446.5</v>
      </c>
      <c r="E74" s="441"/>
      <c r="F74" s="324"/>
    </row>
    <row r="75" spans="1:6">
      <c r="A75" s="1289" t="s">
        <v>64</v>
      </c>
      <c r="B75" s="1289" t="s">
        <v>641</v>
      </c>
      <c r="C75" s="1302" t="s">
        <v>645</v>
      </c>
      <c r="D75" s="1290">
        <v>43947168</v>
      </c>
      <c r="E75" s="441"/>
      <c r="F75" s="324"/>
    </row>
    <row r="76" spans="1:6">
      <c r="A76" s="1289" t="s">
        <v>64</v>
      </c>
      <c r="B76" s="1289" t="s">
        <v>642</v>
      </c>
      <c r="C76" s="1302" t="s">
        <v>646</v>
      </c>
      <c r="D76" s="1290">
        <v>658687.5</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328939</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7923.2613761713083</v>
      </c>
      <c r="C90" s="324"/>
      <c r="D90" s="324"/>
      <c r="E90" s="324"/>
      <c r="F90" s="324"/>
    </row>
    <row r="91" spans="1:6">
      <c r="A91" s="1289" t="s">
        <v>67</v>
      </c>
      <c r="B91" s="1290">
        <v>4444.9235940967656</v>
      </c>
      <c r="C91" s="324"/>
      <c r="D91" s="324"/>
      <c r="E91" s="324"/>
      <c r="F91" s="324"/>
    </row>
    <row r="92" spans="1:6">
      <c r="A92" s="1284" t="s">
        <v>68</v>
      </c>
      <c r="B92" s="1285">
        <v>1505.2927060660945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5114</v>
      </c>
      <c r="C97" s="324"/>
      <c r="D97" s="324"/>
      <c r="E97" s="324"/>
      <c r="F97" s="324"/>
    </row>
    <row r="98" spans="1:6">
      <c r="A98" s="1289" t="s">
        <v>71</v>
      </c>
      <c r="B98" s="1290">
        <v>0</v>
      </c>
      <c r="C98" s="324"/>
      <c r="D98" s="324"/>
      <c r="E98" s="324"/>
      <c r="F98" s="324"/>
    </row>
    <row r="99" spans="1:6">
      <c r="A99" s="1289" t="s">
        <v>72</v>
      </c>
      <c r="B99" s="1290">
        <v>68</v>
      </c>
      <c r="C99" s="324"/>
      <c r="D99" s="324"/>
      <c r="E99" s="324"/>
      <c r="F99" s="324"/>
    </row>
    <row r="100" spans="1:6">
      <c r="A100" s="1289" t="s">
        <v>73</v>
      </c>
      <c r="B100" s="1290">
        <v>557</v>
      </c>
      <c r="C100" s="324"/>
      <c r="D100" s="324"/>
      <c r="E100" s="324"/>
      <c r="F100" s="324"/>
    </row>
    <row r="101" spans="1:6">
      <c r="A101" s="1289" t="s">
        <v>74</v>
      </c>
      <c r="B101" s="1290">
        <v>137</v>
      </c>
      <c r="C101" s="324"/>
      <c r="D101" s="324"/>
      <c r="E101" s="324"/>
      <c r="F101" s="324"/>
    </row>
    <row r="102" spans="1:6">
      <c r="A102" s="1289" t="s">
        <v>75</v>
      </c>
      <c r="B102" s="1290">
        <v>190</v>
      </c>
      <c r="C102" s="324"/>
      <c r="D102" s="324"/>
      <c r="E102" s="324"/>
      <c r="F102" s="324"/>
    </row>
    <row r="103" spans="1:6">
      <c r="A103" s="1289" t="s">
        <v>76</v>
      </c>
      <c r="B103" s="1290">
        <v>369</v>
      </c>
      <c r="C103" s="324"/>
      <c r="D103" s="324"/>
      <c r="E103" s="324"/>
      <c r="F103" s="324"/>
    </row>
    <row r="104" spans="1:6">
      <c r="A104" s="1289" t="s">
        <v>77</v>
      </c>
      <c r="B104" s="1290">
        <v>2299</v>
      </c>
      <c r="C104" s="324"/>
      <c r="D104" s="324"/>
      <c r="E104" s="324"/>
      <c r="F104" s="324"/>
    </row>
    <row r="105" spans="1:6">
      <c r="A105" s="1284" t="s">
        <v>78</v>
      </c>
      <c r="B105" s="1292">
        <v>7</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19</v>
      </c>
      <c r="C123" s="1290">
        <v>25</v>
      </c>
      <c r="D123" s="324"/>
      <c r="E123" s="324"/>
      <c r="F123" s="324"/>
    </row>
    <row r="124" spans="1:6">
      <c r="A124" s="1289" t="s">
        <v>88</v>
      </c>
      <c r="B124" s="1290">
        <v>0</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152</v>
      </c>
      <c r="C129" s="324"/>
      <c r="D129" s="324"/>
      <c r="E129" s="324"/>
      <c r="F129" s="324"/>
    </row>
    <row r="130" spans="1:6">
      <c r="A130" s="1289" t="s">
        <v>283</v>
      </c>
      <c r="B130" s="1290">
        <v>0</v>
      </c>
      <c r="C130" s="324"/>
      <c r="D130" s="324"/>
      <c r="E130" s="324"/>
      <c r="F130" s="324"/>
    </row>
    <row r="131" spans="1:6">
      <c r="A131" s="1289" t="s">
        <v>284</v>
      </c>
      <c r="B131" s="1290">
        <v>0</v>
      </c>
      <c r="C131" s="324"/>
      <c r="D131" s="324"/>
      <c r="E131" s="324"/>
      <c r="F131" s="324"/>
    </row>
    <row r="132" spans="1:6">
      <c r="A132" s="1284" t="s">
        <v>285</v>
      </c>
      <c r="B132" s="1285">
        <v>13</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79141.409010655305</v>
      </c>
      <c r="C3" s="43" t="s">
        <v>163</v>
      </c>
      <c r="D3" s="43"/>
      <c r="E3" s="154"/>
      <c r="F3" s="43"/>
      <c r="G3" s="43"/>
      <c r="H3" s="43"/>
      <c r="I3" s="43"/>
      <c r="J3" s="43"/>
      <c r="K3" s="96"/>
    </row>
    <row r="4" spans="1:11">
      <c r="A4" s="350" t="s">
        <v>164</v>
      </c>
      <c r="B4" s="49">
        <f>IF(ISERROR('SEAP template'!B78+'SEAP template'!C78),0,'SEAP template'!B78+'SEAP template'!C78)</f>
        <v>21001.477676334169</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1693.9482352941175</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0.18375807610679629</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2419.9260504201679</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10182.857142857143</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0.23764705882352941</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1238.076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1238.076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0.18375807610679629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227.50646383399791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34713.393944254683</v>
      </c>
      <c r="C5" s="17">
        <f>IF(ISERROR('Eigen informatie GS &amp; warmtenet'!B57),0,'Eigen informatie GS &amp; warmtenet'!B57)</f>
        <v>0</v>
      </c>
      <c r="D5" s="30">
        <f>(SUM(HH_hh_gas_kWh,HH_rest_gas_kWh)/1000)*0.902</f>
        <v>114023.70265344097</v>
      </c>
      <c r="E5" s="17">
        <f>B32*B41</f>
        <v>1429.886881371239</v>
      </c>
      <c r="F5" s="17">
        <f>B36*B45</f>
        <v>36226.92407879341</v>
      </c>
      <c r="G5" s="18"/>
      <c r="H5" s="17"/>
      <c r="I5" s="17"/>
      <c r="J5" s="17">
        <f>B35*B44+C35*C44</f>
        <v>174.31989432497579</v>
      </c>
      <c r="K5" s="17"/>
      <c r="L5" s="17"/>
      <c r="M5" s="17"/>
      <c r="N5" s="17">
        <f>B34*B43+C34*C43</f>
        <v>14330.652127075033</v>
      </c>
      <c r="O5" s="17">
        <f>B52*B53*B54</f>
        <v>278.27333333333337</v>
      </c>
      <c r="P5" s="17">
        <f>B60*B61*B62/1000-B60*B61*B62/1000/B63</f>
        <v>610.13333333333333</v>
      </c>
    </row>
    <row r="6" spans="1:16">
      <c r="A6" s="16" t="s">
        <v>607</v>
      </c>
      <c r="B6" s="754">
        <f>kWh_PV_kleiner_dan_10kW</f>
        <v>4444.9235940967656</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39158.317538351446</v>
      </c>
      <c r="C8" s="21">
        <f>C5</f>
        <v>0</v>
      </c>
      <c r="D8" s="21">
        <f>D5</f>
        <v>114023.70265344097</v>
      </c>
      <c r="E8" s="21">
        <f>E5</f>
        <v>1429.886881371239</v>
      </c>
      <c r="F8" s="21">
        <f>F5</f>
        <v>36226.92407879341</v>
      </c>
      <c r="G8" s="21"/>
      <c r="H8" s="21"/>
      <c r="I8" s="21"/>
      <c r="J8" s="21">
        <f>J5</f>
        <v>174.31989432497579</v>
      </c>
      <c r="K8" s="21"/>
      <c r="L8" s="21">
        <f>L5</f>
        <v>0</v>
      </c>
      <c r="M8" s="21">
        <f>M5</f>
        <v>0</v>
      </c>
      <c r="N8" s="21">
        <f>N5</f>
        <v>14330.652127075033</v>
      </c>
      <c r="O8" s="21">
        <f>O5</f>
        <v>278.27333333333337</v>
      </c>
      <c r="P8" s="21">
        <f>P5</f>
        <v>610.13333333333333</v>
      </c>
    </row>
    <row r="9" spans="1:16">
      <c r="B9" s="19"/>
      <c r="C9" s="19"/>
      <c r="D9" s="254"/>
      <c r="E9" s="19"/>
      <c r="F9" s="19"/>
      <c r="G9" s="19"/>
      <c r="H9" s="19"/>
      <c r="I9" s="19"/>
      <c r="J9" s="19"/>
      <c r="K9" s="19"/>
      <c r="L9" s="19"/>
      <c r="M9" s="19"/>
      <c r="N9" s="19"/>
      <c r="O9" s="19"/>
      <c r="P9" s="19"/>
    </row>
    <row r="10" spans="1:16">
      <c r="A10" s="24" t="s">
        <v>207</v>
      </c>
      <c r="B10" s="25">
        <f ca="1">'EF ele_warmte'!B12</f>
        <v>0.18375807610679629</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7195.6570944264813</v>
      </c>
      <c r="C12" s="23">
        <f ca="1">C10*C8</f>
        <v>0</v>
      </c>
      <c r="D12" s="23">
        <f>D8*D10</f>
        <v>23032.787935995078</v>
      </c>
      <c r="E12" s="23">
        <f>E10*E8</f>
        <v>324.58432207127129</v>
      </c>
      <c r="F12" s="23">
        <f>F10*F8</f>
        <v>9672.5887290378414</v>
      </c>
      <c r="G12" s="23"/>
      <c r="H12" s="23"/>
      <c r="I12" s="23"/>
      <c r="J12" s="23">
        <f>J10*J8</f>
        <v>61.709242591041424</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10304</v>
      </c>
      <c r="C26" s="36"/>
      <c r="D26" s="225"/>
    </row>
    <row r="27" spans="1:5" s="15" customFormat="1">
      <c r="A27" s="227" t="s">
        <v>762</v>
      </c>
      <c r="B27" s="37">
        <f>SUM(HH_hh_gas_aantal,HH_rest_gas_aantal)</f>
        <v>8225</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7813.75</v>
      </c>
      <c r="C31" s="34" t="s">
        <v>104</v>
      </c>
      <c r="D31" s="171"/>
    </row>
    <row r="32" spans="1:5">
      <c r="A32" s="168" t="s">
        <v>72</v>
      </c>
      <c r="B32" s="33">
        <f>IF((B21*($B$26-($B$27-0.05*$B$27)-$B$60))&lt;0,0,B21*($B$26-($B$27-0.05*$B$27)-$B$60))</f>
        <v>27.041965111471374</v>
      </c>
      <c r="C32" s="34" t="s">
        <v>104</v>
      </c>
      <c r="D32" s="171"/>
    </row>
    <row r="33" spans="1:6">
      <c r="A33" s="168" t="s">
        <v>73</v>
      </c>
      <c r="B33" s="33">
        <f>IF((B22*($B$26-($B$27-0.05*$B$27)-$B$60))&lt;0,0,B22*($B$26-($B$27-0.05*$B$27)-$B$60))</f>
        <v>562.22516367915352</v>
      </c>
      <c r="C33" s="34" t="s">
        <v>104</v>
      </c>
      <c r="D33" s="171"/>
    </row>
    <row r="34" spans="1:6">
      <c r="A34" s="168" t="s">
        <v>74</v>
      </c>
      <c r="B34" s="33">
        <f>IF((B24*($B$26-($B$27-0.05*$B$27)-$B$60))&lt;0,0,B24*($B$26-($B$27-0.05*$B$27)-$B$60))</f>
        <v>111.80659831850627</v>
      </c>
      <c r="C34" s="33">
        <f>B26*C24</f>
        <v>2109.1829691625089</v>
      </c>
      <c r="D34" s="230"/>
    </row>
    <row r="35" spans="1:6">
      <c r="A35" s="168" t="s">
        <v>76</v>
      </c>
      <c r="B35" s="33">
        <f>IF((B19*($B$26-($B$27-0.05*$B$27)-$B$60))&lt;0,0,B19*($B$26-($B$27-0.05*$B$27)-$B$60))</f>
        <v>20.467851635965321</v>
      </c>
      <c r="C35" s="33">
        <f>B35/2</f>
        <v>10.23392581798266</v>
      </c>
      <c r="D35" s="230"/>
    </row>
    <row r="36" spans="1:6">
      <c r="A36" s="168" t="s">
        <v>77</v>
      </c>
      <c r="B36" s="33">
        <f>IF((B18*($B$26-($B$27-0.05*$B$27)-$B$60))&lt;0,0,B18*($B$26-($B$27-0.05*$B$27)-$B$60))</f>
        <v>1736.7084212549037</v>
      </c>
      <c r="C36" s="34" t="s">
        <v>104</v>
      </c>
      <c r="D36" s="171"/>
    </row>
    <row r="37" spans="1:6">
      <c r="A37" s="168" t="s">
        <v>78</v>
      </c>
      <c r="B37" s="33">
        <f>B60</f>
        <v>32</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178</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32</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17680.186468639597</v>
      </c>
      <c r="C5" s="17">
        <f>IF(ISERROR('Eigen informatie GS &amp; warmtenet'!B58),0,'Eigen informatie GS &amp; warmtenet'!B58)</f>
        <v>0</v>
      </c>
      <c r="D5" s="30">
        <f>SUM(D6:D12)</f>
        <v>26609.869340467514</v>
      </c>
      <c r="E5" s="17">
        <f>SUM(E6:E12)</f>
        <v>320.05853264499899</v>
      </c>
      <c r="F5" s="17">
        <f>SUM(F6:F12)</f>
        <v>3221.8793925763362</v>
      </c>
      <c r="G5" s="18"/>
      <c r="H5" s="17"/>
      <c r="I5" s="17"/>
      <c r="J5" s="17">
        <f>SUM(J6:J12)</f>
        <v>5.322436165580291E-2</v>
      </c>
      <c r="K5" s="17"/>
      <c r="L5" s="17"/>
      <c r="M5" s="17"/>
      <c r="N5" s="17">
        <f>SUM(N6:N12)</f>
        <v>2110.8777868785205</v>
      </c>
      <c r="O5" s="17">
        <f>B38*B39*B40</f>
        <v>0</v>
      </c>
      <c r="P5" s="17">
        <f>B46*B47*B48/1000-B46*B47*B48/1000/B49</f>
        <v>0</v>
      </c>
      <c r="R5" s="32"/>
    </row>
    <row r="6" spans="1:18">
      <c r="A6" s="32" t="s">
        <v>53</v>
      </c>
      <c r="B6" s="37">
        <f>B26</f>
        <v>3265.1109953895098</v>
      </c>
      <c r="C6" s="33"/>
      <c r="D6" s="37">
        <f>IF(ISERROR(TER_kantoor_gas_kWh/1000),0,TER_kantoor_gas_kWh/1000)*0.902</f>
        <v>8448.0344626325805</v>
      </c>
      <c r="E6" s="33">
        <f>$C$26*'E Balans VL '!I12/100/3.6*1000000</f>
        <v>2.0464629760197455E-2</v>
      </c>
      <c r="F6" s="33">
        <f>$C$26*('E Balans VL '!L12+'E Balans VL '!N12)/100/3.6*1000000</f>
        <v>490.65494670432071</v>
      </c>
      <c r="G6" s="34"/>
      <c r="H6" s="33"/>
      <c r="I6" s="33"/>
      <c r="J6" s="33">
        <f>$C$26*('E Balans VL '!D12+'E Balans VL '!E12)/100/3.6*1000000</f>
        <v>0</v>
      </c>
      <c r="K6" s="33"/>
      <c r="L6" s="33"/>
      <c r="M6" s="33"/>
      <c r="N6" s="33">
        <f>$C$26*'E Balans VL '!Y12/100/3.6*1000000</f>
        <v>3.1225945612572086</v>
      </c>
      <c r="O6" s="33"/>
      <c r="P6" s="33"/>
      <c r="R6" s="32"/>
    </row>
    <row r="7" spans="1:18">
      <c r="A7" s="32" t="s">
        <v>52</v>
      </c>
      <c r="B7" s="37">
        <f t="shared" ref="B7:B12" si="0">B27</f>
        <v>1885.54733064374</v>
      </c>
      <c r="C7" s="33"/>
      <c r="D7" s="37">
        <f>IF(ISERROR(TER_horeca_gas_kWh/1000),0,TER_horeca_gas_kWh/1000)*0.902</f>
        <v>2755.4143648473751</v>
      </c>
      <c r="E7" s="33">
        <f>$C$27*'E Balans VL '!I9/100/3.6*1000000</f>
        <v>27.000723702588868</v>
      </c>
      <c r="F7" s="33">
        <f>$C$27*('E Balans VL '!L9+'E Balans VL '!N9)/100/3.6*1000000</f>
        <v>238.7724798062988</v>
      </c>
      <c r="G7" s="34"/>
      <c r="H7" s="33"/>
      <c r="I7" s="33"/>
      <c r="J7" s="33">
        <f>$C$27*('E Balans VL '!D9+'E Balans VL '!E9)/100/3.6*1000000</f>
        <v>0</v>
      </c>
      <c r="K7" s="33"/>
      <c r="L7" s="33"/>
      <c r="M7" s="33"/>
      <c r="N7" s="33">
        <f>$C$27*'E Balans VL '!Y9/100/3.6*1000000</f>
        <v>0.54205328481002557</v>
      </c>
      <c r="O7" s="33"/>
      <c r="P7" s="33"/>
      <c r="R7" s="32"/>
    </row>
    <row r="8" spans="1:18">
      <c r="A8" s="6" t="s">
        <v>51</v>
      </c>
      <c r="B8" s="37">
        <f t="shared" si="0"/>
        <v>7028.3728356033198</v>
      </c>
      <c r="C8" s="33"/>
      <c r="D8" s="37">
        <f>IF(ISERROR(TER_handel_gas_kWh/1000),0,TER_handel_gas_kWh/1000)*0.902</f>
        <v>4007.8361505301823</v>
      </c>
      <c r="E8" s="33">
        <f>$C$28*'E Balans VL '!I13/100/3.6*1000000</f>
        <v>254.91821604722381</v>
      </c>
      <c r="F8" s="33">
        <f>$C$28*('E Balans VL '!L13+'E Balans VL '!N13)/100/3.6*1000000</f>
        <v>1353.7357749368039</v>
      </c>
      <c r="G8" s="34"/>
      <c r="H8" s="33"/>
      <c r="I8" s="33"/>
      <c r="J8" s="33">
        <f>$C$28*('E Balans VL '!D13+'E Balans VL '!E13)/100/3.6*1000000</f>
        <v>0</v>
      </c>
      <c r="K8" s="33"/>
      <c r="L8" s="33"/>
      <c r="M8" s="33"/>
      <c r="N8" s="33">
        <f>$C$28*'E Balans VL '!Y13/100/3.6*1000000</f>
        <v>9.735913533777051</v>
      </c>
      <c r="O8" s="33"/>
      <c r="P8" s="33"/>
      <c r="R8" s="32"/>
    </row>
    <row r="9" spans="1:18">
      <c r="A9" s="32" t="s">
        <v>50</v>
      </c>
      <c r="B9" s="37">
        <f t="shared" si="0"/>
        <v>585.09910243201307</v>
      </c>
      <c r="C9" s="33"/>
      <c r="D9" s="37">
        <f>IF(ISERROR(TER_gezond_gas_kWh/1000),0,TER_gezond_gas_kWh/1000)*0.902</f>
        <v>1250.0018874257719</v>
      </c>
      <c r="E9" s="33">
        <f>$C$29*'E Balans VL '!I10/100/3.6*1000000</f>
        <v>3.6632980622239471E-2</v>
      </c>
      <c r="F9" s="33">
        <f>$C$29*('E Balans VL '!L10+'E Balans VL '!N10)/100/3.6*1000000</f>
        <v>86.918253123385455</v>
      </c>
      <c r="G9" s="34"/>
      <c r="H9" s="33"/>
      <c r="I9" s="33"/>
      <c r="J9" s="33">
        <f>$C$29*('E Balans VL '!D10+'E Balans VL '!E10)/100/3.6*1000000</f>
        <v>0</v>
      </c>
      <c r="K9" s="33"/>
      <c r="L9" s="33"/>
      <c r="M9" s="33"/>
      <c r="N9" s="33">
        <f>$C$29*'E Balans VL '!Y10/100/3.6*1000000</f>
        <v>9.0503693736557889</v>
      </c>
      <c r="O9" s="33"/>
      <c r="P9" s="33"/>
      <c r="R9" s="32"/>
    </row>
    <row r="10" spans="1:18">
      <c r="A10" s="32" t="s">
        <v>49</v>
      </c>
      <c r="B10" s="37">
        <f t="shared" si="0"/>
        <v>2251.0476144956201</v>
      </c>
      <c r="C10" s="33"/>
      <c r="D10" s="37">
        <f>IF(ISERROR(TER_ander_gas_kWh/1000),0,TER_ander_gas_kWh/1000)*0.902</f>
        <v>1814.7036436528883</v>
      </c>
      <c r="E10" s="33">
        <f>$C$30*'E Balans VL '!I14/100/3.6*1000000</f>
        <v>2.6831683176288141</v>
      </c>
      <c r="F10" s="33">
        <f>$C$30*('E Balans VL '!L14+'E Balans VL '!N14)/100/3.6*1000000</f>
        <v>588.97412966889033</v>
      </c>
      <c r="G10" s="34"/>
      <c r="H10" s="33"/>
      <c r="I10" s="33"/>
      <c r="J10" s="33">
        <f>$C$30*('E Balans VL '!D14+'E Balans VL '!E14)/100/3.6*1000000</f>
        <v>4.886141984769523E-2</v>
      </c>
      <c r="K10" s="33"/>
      <c r="L10" s="33"/>
      <c r="M10" s="33"/>
      <c r="N10" s="33">
        <f>$C$30*'E Balans VL '!Y14/100/3.6*1000000</f>
        <v>1911.5345518698932</v>
      </c>
      <c r="O10" s="33"/>
      <c r="P10" s="33"/>
      <c r="R10" s="32"/>
    </row>
    <row r="11" spans="1:18">
      <c r="A11" s="32" t="s">
        <v>54</v>
      </c>
      <c r="B11" s="37">
        <f t="shared" si="0"/>
        <v>863.27563998602704</v>
      </c>
      <c r="C11" s="33"/>
      <c r="D11" s="37">
        <f>IF(ISERROR(TER_onderwijs_gas_kWh/1000),0,TER_onderwijs_gas_kWh/1000)*0.902</f>
        <v>2451.9195099206418</v>
      </c>
      <c r="E11" s="33">
        <f>$C$31*'E Balans VL '!I11/100/3.6*1000000</f>
        <v>13.025438969754662</v>
      </c>
      <c r="F11" s="33">
        <f>$C$31*('E Balans VL '!L11+'E Balans VL '!N11)/100/3.6*1000000</f>
        <v>151.25968336418543</v>
      </c>
      <c r="G11" s="34"/>
      <c r="H11" s="33"/>
      <c r="I11" s="33"/>
      <c r="J11" s="33">
        <f>$C$31*('E Balans VL '!D11+'E Balans VL '!E11)/100/3.6*1000000</f>
        <v>0</v>
      </c>
      <c r="K11" s="33"/>
      <c r="L11" s="33"/>
      <c r="M11" s="33"/>
      <c r="N11" s="33">
        <f>$C$31*'E Balans VL '!Y11/100/3.6*1000000</f>
        <v>2.429323279634096</v>
      </c>
      <c r="O11" s="33"/>
      <c r="P11" s="33"/>
      <c r="R11" s="32"/>
    </row>
    <row r="12" spans="1:18">
      <c r="A12" s="32" t="s">
        <v>248</v>
      </c>
      <c r="B12" s="37">
        <f t="shared" si="0"/>
        <v>1801.73295008937</v>
      </c>
      <c r="C12" s="33"/>
      <c r="D12" s="37">
        <f>IF(ISERROR(TER_rest_gas_kWh/1000),0,TER_rest_gas_kWh/1000)*0.902</f>
        <v>5881.9593214580782</v>
      </c>
      <c r="E12" s="33">
        <f>$C$32*'E Balans VL '!I8/100/3.6*1000000</f>
        <v>22.373887997420418</v>
      </c>
      <c r="F12" s="33">
        <f>$C$32*('E Balans VL '!L8+'E Balans VL '!N8)/100/3.6*1000000</f>
        <v>311.56412497245122</v>
      </c>
      <c r="G12" s="34"/>
      <c r="H12" s="33"/>
      <c r="I12" s="33"/>
      <c r="J12" s="33">
        <f>$C$32*('E Balans VL '!D8+'E Balans VL '!E8)/100/3.6*1000000</f>
        <v>4.3629418081076767E-3</v>
      </c>
      <c r="K12" s="33"/>
      <c r="L12" s="33"/>
      <c r="M12" s="33"/>
      <c r="N12" s="33">
        <f>$C$32*'E Balans VL '!Y8/100/3.6*1000000</f>
        <v>174.46298097549351</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17680.186468639597</v>
      </c>
      <c r="C16" s="21">
        <f t="shared" ca="1" si="1"/>
        <v>0</v>
      </c>
      <c r="D16" s="21">
        <f t="shared" ca="1" si="1"/>
        <v>26609.869340467514</v>
      </c>
      <c r="E16" s="21">
        <f t="shared" si="1"/>
        <v>320.05853264499899</v>
      </c>
      <c r="F16" s="21">
        <f t="shared" ca="1" si="1"/>
        <v>3221.8793925763362</v>
      </c>
      <c r="G16" s="21">
        <f t="shared" si="1"/>
        <v>0</v>
      </c>
      <c r="H16" s="21">
        <f t="shared" si="1"/>
        <v>0</v>
      </c>
      <c r="I16" s="21">
        <f t="shared" si="1"/>
        <v>0</v>
      </c>
      <c r="J16" s="21">
        <f t="shared" si="1"/>
        <v>5.322436165580291E-2</v>
      </c>
      <c r="K16" s="21">
        <f t="shared" si="1"/>
        <v>0</v>
      </c>
      <c r="L16" s="21">
        <f t="shared" ca="1" si="1"/>
        <v>0</v>
      </c>
      <c r="M16" s="21">
        <f t="shared" si="1"/>
        <v>0</v>
      </c>
      <c r="N16" s="21">
        <f t="shared" ca="1" si="1"/>
        <v>2110.8777868785205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0.18375807610679629</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3248.8770506866249</v>
      </c>
      <c r="C20" s="23">
        <f t="shared" ref="C20:P20" ca="1" si="2">C16*C18</f>
        <v>0</v>
      </c>
      <c r="D20" s="23">
        <f t="shared" ca="1" si="2"/>
        <v>5375.1936067744382</v>
      </c>
      <c r="E20" s="23">
        <f t="shared" si="2"/>
        <v>72.653286910414778</v>
      </c>
      <c r="F20" s="23">
        <f t="shared" ca="1" si="2"/>
        <v>860.24179781788177</v>
      </c>
      <c r="G20" s="23">
        <f t="shared" si="2"/>
        <v>0</v>
      </c>
      <c r="H20" s="23">
        <f t="shared" si="2"/>
        <v>0</v>
      </c>
      <c r="I20" s="23">
        <f t="shared" si="2"/>
        <v>0</v>
      </c>
      <c r="J20" s="23">
        <f t="shared" si="2"/>
        <v>1.8841424026154231E-2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3265.1109953895098</v>
      </c>
      <c r="C26" s="39">
        <f>IF(ISERROR(B26*3.6/1000000/'E Balans VL '!Z12*100),0,B26*3.6/1000000/'E Balans VL '!Z12*100)</f>
        <v>6.9019274088920307E-2</v>
      </c>
      <c r="D26" s="233" t="s">
        <v>726</v>
      </c>
      <c r="F26" s="6"/>
    </row>
    <row r="27" spans="1:18">
      <c r="A27" s="228" t="s">
        <v>52</v>
      </c>
      <c r="B27" s="33">
        <f>IF(ISERROR(TER_horeca_ele_kWh/1000),0,TER_horeca_ele_kWh/1000)</f>
        <v>1885.54733064374</v>
      </c>
      <c r="C27" s="39">
        <f>IF(ISERROR(B27*3.6/1000000/'E Balans VL '!Z9*100),0,B27*3.6/1000000/'E Balans VL '!Z9*100)</f>
        <v>0.14863699329527771</v>
      </c>
      <c r="D27" s="233" t="s">
        <v>726</v>
      </c>
      <c r="F27" s="6"/>
    </row>
    <row r="28" spans="1:18">
      <c r="A28" s="168" t="s">
        <v>51</v>
      </c>
      <c r="B28" s="33">
        <f>IF(ISERROR(TER_handel_ele_kWh/1000),0,TER_handel_ele_kWh/1000)</f>
        <v>7028.3728356033198</v>
      </c>
      <c r="C28" s="39">
        <f>IF(ISERROR(B28*3.6/1000000/'E Balans VL '!Z13*100),0,B28*3.6/1000000/'E Balans VL '!Z13*100)</f>
        <v>0.20399177749761196</v>
      </c>
      <c r="D28" s="233" t="s">
        <v>726</v>
      </c>
      <c r="F28" s="6"/>
    </row>
    <row r="29" spans="1:18">
      <c r="A29" s="228" t="s">
        <v>50</v>
      </c>
      <c r="B29" s="33">
        <f>IF(ISERROR(TER_gezond_ele_kWh/1000),0,TER_gezond_ele_kWh/1000)</f>
        <v>585.09910243201307</v>
      </c>
      <c r="C29" s="39">
        <f>IF(ISERROR(B29*3.6/1000000/'E Balans VL '!Z10*100),0,B29*3.6/1000000/'E Balans VL '!Z10*100)</f>
        <v>6.1620543066955913E-2</v>
      </c>
      <c r="D29" s="233" t="s">
        <v>726</v>
      </c>
      <c r="F29" s="6"/>
    </row>
    <row r="30" spans="1:18">
      <c r="A30" s="228" t="s">
        <v>49</v>
      </c>
      <c r="B30" s="33">
        <f>IF(ISERROR(TER_ander_ele_kWh/1000),0,TER_ander_ele_kWh/1000)</f>
        <v>2251.0476144956201</v>
      </c>
      <c r="C30" s="39">
        <f>IF(ISERROR(B30*3.6/1000000/'E Balans VL '!Z14*100),0,B30*3.6/1000000/'E Balans VL '!Z14*100)</f>
        <v>0.1660377609703067</v>
      </c>
      <c r="D30" s="233" t="s">
        <v>726</v>
      </c>
      <c r="F30" s="6"/>
    </row>
    <row r="31" spans="1:18">
      <c r="A31" s="228" t="s">
        <v>54</v>
      </c>
      <c r="B31" s="33">
        <f>IF(ISERROR(TER_onderwijs_ele_kWh/1000),0,TER_onderwijs_ele_kWh/1000)</f>
        <v>863.27563998602704</v>
      </c>
      <c r="C31" s="39">
        <f>IF(ISERROR(B31*3.6/1000000/'E Balans VL '!Z11*100),0,B31*3.6/1000000/'E Balans VL '!Z11*100)</f>
        <v>0.21439177962099706</v>
      </c>
      <c r="D31" s="233" t="s">
        <v>726</v>
      </c>
    </row>
    <row r="32" spans="1:18">
      <c r="A32" s="228" t="s">
        <v>248</v>
      </c>
      <c r="B32" s="33">
        <f>IF(ISERROR(TER_rest_ele_kWh/1000),0,TER_rest_ele_kWh/1000)</f>
        <v>1801.73295008937</v>
      </c>
      <c r="C32" s="39">
        <f>IF(ISERROR(B32*3.6/1000000/'E Balans VL '!Z8*100),0,B32*3.6/1000000/'E Balans VL '!Z8*100)</f>
        <v>1.4825870621852392E-2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0</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0</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17265.996081278667</v>
      </c>
      <c r="C5" s="17">
        <f>IF(ISERROR('Eigen informatie GS &amp; warmtenet'!B59),0,'Eigen informatie GS &amp; warmtenet'!B59)</f>
        <v>0</v>
      </c>
      <c r="D5" s="30">
        <f>SUM(D6:D15)</f>
        <v>10043.063376173117</v>
      </c>
      <c r="E5" s="17">
        <f>SUM(E6:E15)</f>
        <v>1119.6815829357972</v>
      </c>
      <c r="F5" s="17">
        <f>SUM(F6:F15)</f>
        <v>3938.1295520916378</v>
      </c>
      <c r="G5" s="18"/>
      <c r="H5" s="17"/>
      <c r="I5" s="17"/>
      <c r="J5" s="17">
        <f>SUM(J6:J15)</f>
        <v>39.649704497744466</v>
      </c>
      <c r="K5" s="17"/>
      <c r="L5" s="17"/>
      <c r="M5" s="17"/>
      <c r="N5" s="17">
        <f>SUM(N6:N15)</f>
        <v>1155.4164765694613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1449.8406476790099</v>
      </c>
      <c r="C8" s="33"/>
      <c r="D8" s="37">
        <f>IF( ISERROR(IND_metaal_Gas_kWH/1000),0,IND_metaal_Gas_kWH/1000)*0.902</f>
        <v>229.34753218417313</v>
      </c>
      <c r="E8" s="33">
        <f>C30*'E Balans VL '!I18/100/3.6*1000000</f>
        <v>13.329884485994363</v>
      </c>
      <c r="F8" s="33">
        <f>C30*'E Balans VL '!L18/100/3.6*1000000+C30*'E Balans VL '!N18/100/3.6*1000000</f>
        <v>135.94678267101096</v>
      </c>
      <c r="G8" s="34"/>
      <c r="H8" s="33"/>
      <c r="I8" s="33"/>
      <c r="J8" s="40">
        <f>C30*'E Balans VL '!D18/100/3.6*1000000+C30*'E Balans VL '!E18/100/3.6*1000000</f>
        <v>0</v>
      </c>
      <c r="K8" s="33"/>
      <c r="L8" s="33"/>
      <c r="M8" s="33"/>
      <c r="N8" s="33">
        <f>C30*'E Balans VL '!Y18/100/3.6*1000000</f>
        <v>20.684372801707863</v>
      </c>
      <c r="O8" s="33"/>
      <c r="P8" s="33"/>
      <c r="R8" s="32"/>
    </row>
    <row r="9" spans="1:18">
      <c r="A9" s="6" t="s">
        <v>32</v>
      </c>
      <c r="B9" s="37">
        <f t="shared" si="0"/>
        <v>1665.1381570437002</v>
      </c>
      <c r="C9" s="33"/>
      <c r="D9" s="37">
        <f>IF( ISERROR(IND_andere_gas_kWh/1000),0,IND_andere_gas_kWh/1000)*0.902</f>
        <v>2132.9382371007237</v>
      </c>
      <c r="E9" s="33">
        <f>C31*'E Balans VL '!I19/100/3.6*1000000</f>
        <v>486.75229972029689</v>
      </c>
      <c r="F9" s="33">
        <f>C31*'E Balans VL '!L19/100/3.6*1000000+C31*'E Balans VL '!N19/100/3.6*1000000</f>
        <v>1338.0645485618568</v>
      </c>
      <c r="G9" s="34"/>
      <c r="H9" s="33"/>
      <c r="I9" s="33"/>
      <c r="J9" s="40">
        <f>C31*'E Balans VL '!D19/100/3.6*1000000+C31*'E Balans VL '!E19/100/3.6*1000000</f>
        <v>0</v>
      </c>
      <c r="K9" s="33"/>
      <c r="L9" s="33"/>
      <c r="M9" s="33"/>
      <c r="N9" s="33">
        <f>C31*'E Balans VL '!Y19/100/3.6*1000000</f>
        <v>130.61117549969842</v>
      </c>
      <c r="O9" s="33"/>
      <c r="P9" s="33"/>
      <c r="R9" s="32"/>
    </row>
    <row r="10" spans="1:18">
      <c r="A10" s="6" t="s">
        <v>40</v>
      </c>
      <c r="B10" s="37">
        <f t="shared" si="0"/>
        <v>539.50585786772706</v>
      </c>
      <c r="C10" s="33"/>
      <c r="D10" s="37">
        <f>IF( ISERROR(IND_voed_gas_kWh/1000),0,IND_voed_gas_kWh/1000)*0.902</f>
        <v>477.63841648927865</v>
      </c>
      <c r="E10" s="33">
        <f>C32*'E Balans VL '!I20/100/3.6*1000000</f>
        <v>1.1413330074565784</v>
      </c>
      <c r="F10" s="33">
        <f>C32*'E Balans VL '!L20/100/3.6*1000000+C32*'E Balans VL '!N20/100/3.6*1000000</f>
        <v>34.302333532303464</v>
      </c>
      <c r="G10" s="34"/>
      <c r="H10" s="33"/>
      <c r="I10" s="33"/>
      <c r="J10" s="40">
        <f>C32*'E Balans VL '!D20/100/3.6*1000000+C32*'E Balans VL '!E20/100/3.6*1000000</f>
        <v>0</v>
      </c>
      <c r="K10" s="33"/>
      <c r="L10" s="33"/>
      <c r="M10" s="33"/>
      <c r="N10" s="33">
        <f>C32*'E Balans VL '!Y20/100/3.6*1000000</f>
        <v>37.231228166767686</v>
      </c>
      <c r="O10" s="33"/>
      <c r="P10" s="33"/>
      <c r="R10" s="32"/>
    </row>
    <row r="11" spans="1:18">
      <c r="A11" s="6" t="s">
        <v>39</v>
      </c>
      <c r="B11" s="37">
        <f t="shared" si="0"/>
        <v>2304.2598677559499</v>
      </c>
      <c r="C11" s="33"/>
      <c r="D11" s="37">
        <f>IF( ISERROR(IND_textiel_gas_kWh/1000),0,IND_textiel_gas_kWh/1000)*0.902</f>
        <v>176.75485218992668</v>
      </c>
      <c r="E11" s="33">
        <f>C33*'E Balans VL '!I21/100/3.6*1000000</f>
        <v>6.8434531418426241</v>
      </c>
      <c r="F11" s="33">
        <f>C33*'E Balans VL '!L21/100/3.6*1000000+C33*'E Balans VL '!N21/100/3.6*1000000</f>
        <v>232.7935080624668</v>
      </c>
      <c r="G11" s="34"/>
      <c r="H11" s="33"/>
      <c r="I11" s="33"/>
      <c r="J11" s="40">
        <f>C33*'E Balans VL '!D21/100/3.6*1000000+C33*'E Balans VL '!E21/100/3.6*1000000</f>
        <v>0</v>
      </c>
      <c r="K11" s="33"/>
      <c r="L11" s="33"/>
      <c r="M11" s="33"/>
      <c r="N11" s="33">
        <f>C33*'E Balans VL '!Y21/100/3.6*1000000</f>
        <v>127.08728541626564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148.86464514704801</v>
      </c>
      <c r="C13" s="33"/>
      <c r="D13" s="37">
        <f>IF( ISERROR(IND_papier_gas_kWh/1000),0,IND_papier_gas_kWh/1000)*0.902</f>
        <v>0</v>
      </c>
      <c r="E13" s="33">
        <f>C35*'E Balans VL '!I23/100/3.6*1000000</f>
        <v>0.21120488638360729</v>
      </c>
      <c r="F13" s="33">
        <f>C35*'E Balans VL '!L23/100/3.6*1000000+C35*'E Balans VL '!N23/100/3.6*1000000</f>
        <v>3.6343457551958518</v>
      </c>
      <c r="G13" s="34"/>
      <c r="H13" s="33"/>
      <c r="I13" s="33"/>
      <c r="J13" s="40">
        <f>C35*'E Balans VL '!D23/100/3.6*1000000+C35*'E Balans VL '!E23/100/3.6*1000000</f>
        <v>2.3023314998447415E-2</v>
      </c>
      <c r="K13" s="33"/>
      <c r="L13" s="33"/>
      <c r="M13" s="33"/>
      <c r="N13" s="33">
        <f>C35*'E Balans VL '!Y23/100/3.6*1000000</f>
        <v>60.823935614484014</v>
      </c>
      <c r="O13" s="33"/>
      <c r="P13" s="33"/>
      <c r="R13" s="32"/>
    </row>
    <row r="14" spans="1:18">
      <c r="A14" s="6" t="s">
        <v>33</v>
      </c>
      <c r="B14" s="37">
        <f t="shared" si="0"/>
        <v>89.422753257829996</v>
      </c>
      <c r="C14" s="33"/>
      <c r="D14" s="37">
        <f>IF( ISERROR(IND_chemie_gas_kWh/1000),0,IND_chemie_gas_kWh/1000)*0.902</f>
        <v>0</v>
      </c>
      <c r="E14" s="33">
        <f>C36*'E Balans VL '!I24/100/3.6*1000000</f>
        <v>0.22013319722028887</v>
      </c>
      <c r="F14" s="33">
        <f>C36*'E Balans VL '!L24/100/3.6*1000000+C36*'E Balans VL '!N24/100/3.6*1000000</f>
        <v>0.95753464787844633</v>
      </c>
      <c r="G14" s="34"/>
      <c r="H14" s="33"/>
      <c r="I14" s="33"/>
      <c r="J14" s="40">
        <f>C36*'E Balans VL '!D24/100/3.6*1000000+C36*'E Balans VL '!E24/100/3.6*1000000</f>
        <v>0</v>
      </c>
      <c r="K14" s="33"/>
      <c r="L14" s="33"/>
      <c r="M14" s="33"/>
      <c r="N14" s="33">
        <f>C36*'E Balans VL '!Y24/100/3.6*1000000</f>
        <v>1.9970308223899098</v>
      </c>
      <c r="O14" s="33"/>
      <c r="P14" s="33"/>
      <c r="R14" s="32"/>
    </row>
    <row r="15" spans="1:18">
      <c r="A15" s="6" t="s">
        <v>258</v>
      </c>
      <c r="B15" s="37">
        <f t="shared" si="0"/>
        <v>11068.9641525274</v>
      </c>
      <c r="C15" s="33"/>
      <c r="D15" s="37">
        <f>IF( ISERROR(IND_rest_gas_kWh/1000),0,IND_rest_gas_kWh/1000)*0.902</f>
        <v>7026.3843382090145</v>
      </c>
      <c r="E15" s="33">
        <f>C37*'E Balans VL '!I15/100/3.6*1000000</f>
        <v>611.18327449660296</v>
      </c>
      <c r="F15" s="33">
        <f>C37*'E Balans VL '!L15/100/3.6*1000000+C37*'E Balans VL '!N15/100/3.6*1000000</f>
        <v>2192.4304988609256</v>
      </c>
      <c r="G15" s="34"/>
      <c r="H15" s="33"/>
      <c r="I15" s="33"/>
      <c r="J15" s="40">
        <f>C37*'E Balans VL '!D15/100/3.6*1000000+C37*'E Balans VL '!E15/100/3.6*1000000</f>
        <v>39.626681182746019</v>
      </c>
      <c r="K15" s="33"/>
      <c r="L15" s="33"/>
      <c r="M15" s="33"/>
      <c r="N15" s="33">
        <f>C37*'E Balans VL '!Y15/100/3.6*1000000</f>
        <v>776.98144824814779</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17265.996081278667</v>
      </c>
      <c r="C18" s="21">
        <f>C5+C16</f>
        <v>0</v>
      </c>
      <c r="D18" s="21">
        <f>MAX((D5+D16),0)</f>
        <v>10043.063376173117</v>
      </c>
      <c r="E18" s="21">
        <f>MAX((E5+E16),0)</f>
        <v>1119.6815829357972</v>
      </c>
      <c r="F18" s="21">
        <f>MAX((F5+F16),0)</f>
        <v>3938.1295520916378</v>
      </c>
      <c r="G18" s="21"/>
      <c r="H18" s="21"/>
      <c r="I18" s="21"/>
      <c r="J18" s="21">
        <f>MAX((J5+J16),0)</f>
        <v>39.649704497744466</v>
      </c>
      <c r="K18" s="21"/>
      <c r="L18" s="21">
        <f>MAX((L5+L16),0)</f>
        <v>0</v>
      </c>
      <c r="M18" s="21"/>
      <c r="N18" s="21">
        <f>MAX((N5+N16),0)</f>
        <v>1155.4164765694613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0.18375807610679629</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3172.7662219632516</v>
      </c>
      <c r="C22" s="23">
        <f ca="1">C18*C20</f>
        <v>0</v>
      </c>
      <c r="D22" s="23">
        <f>D18*D20</f>
        <v>2028.6988019869698</v>
      </c>
      <c r="E22" s="23">
        <f>E18*E20</f>
        <v>254.16771932642598</v>
      </c>
      <c r="F22" s="23">
        <f>F18*F20</f>
        <v>1051.4805904084674</v>
      </c>
      <c r="G22" s="23"/>
      <c r="H22" s="23"/>
      <c r="I22" s="23"/>
      <c r="J22" s="23">
        <f>J18*J20</f>
        <v>14.03599539220154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1449.8406476790099</v>
      </c>
      <c r="C30" s="39">
        <f>IF(ISERROR(B30*3.6/1000000/'E Balans VL '!Z18*100),0,B30*3.6/1000000/'E Balans VL '!Z18*100)</f>
        <v>8.216618713854143E-2</v>
      </c>
      <c r="D30" s="233" t="s">
        <v>726</v>
      </c>
    </row>
    <row r="31" spans="1:18">
      <c r="A31" s="6" t="s">
        <v>32</v>
      </c>
      <c r="B31" s="37">
        <f>IF( ISERROR(IND_ander_ele_kWh/1000),0,IND_ander_ele_kWh/1000)</f>
        <v>1665.1381570437002</v>
      </c>
      <c r="C31" s="39">
        <f>IF(ISERROR(B31*3.6/1000000/'E Balans VL '!Z19*100),0,B31*3.6/1000000/'E Balans VL '!Z19*100)</f>
        <v>7.5523733288892003E-2</v>
      </c>
      <c r="D31" s="233" t="s">
        <v>726</v>
      </c>
    </row>
    <row r="32" spans="1:18">
      <c r="A32" s="168" t="s">
        <v>40</v>
      </c>
      <c r="B32" s="37">
        <f>IF( ISERROR(IND_voed_ele_kWh/1000),0,IND_voed_ele_kWh/1000)</f>
        <v>539.50585786772706</v>
      </c>
      <c r="C32" s="39">
        <f>IF(ISERROR(B32*3.6/1000000/'E Balans VL '!Z20*100),0,B32*3.6/1000000/'E Balans VL '!Z20*100)</f>
        <v>1.6689365333648346E-2</v>
      </c>
      <c r="D32" s="233" t="s">
        <v>726</v>
      </c>
    </row>
    <row r="33" spans="1:5">
      <c r="A33" s="168" t="s">
        <v>39</v>
      </c>
      <c r="B33" s="37">
        <f>IF( ISERROR(IND_textiel_ele_kWh/1000),0,IND_textiel_ele_kWh/1000)</f>
        <v>2304.2598677559499</v>
      </c>
      <c r="C33" s="39">
        <f>IF(ISERROR(B33*3.6/1000000/'E Balans VL '!Z21*100),0,B33*3.6/1000000/'E Balans VL '!Z21*100)</f>
        <v>0.30044987360272052</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148.86464514704801</v>
      </c>
      <c r="C35" s="39">
        <f>IF(ISERROR(B35*3.6/1000000/'E Balans VL '!Z22*100),0,B35*3.6/1000000/'E Balans VL '!Z22*100)</f>
        <v>2.6776105138515936E-2</v>
      </c>
      <c r="D35" s="233" t="s">
        <v>726</v>
      </c>
    </row>
    <row r="36" spans="1:5">
      <c r="A36" s="168" t="s">
        <v>33</v>
      </c>
      <c r="B36" s="37">
        <f>IF( ISERROR(IND_chemie_ele_kWh/1000),0,IND_chemie_ele_kWh/1000)</f>
        <v>89.422753257829996</v>
      </c>
      <c r="C36" s="39">
        <f>IF(ISERROR(B36*3.6/1000000/'E Balans VL '!Z24*100),0,B36*3.6/1000000/'E Balans VL '!Z24*100)</f>
        <v>2.726859661595641E-3</v>
      </c>
      <c r="D36" s="233" t="s">
        <v>726</v>
      </c>
    </row>
    <row r="37" spans="1:5">
      <c r="A37" s="168" t="s">
        <v>258</v>
      </c>
      <c r="B37" s="37">
        <f>IF( ISERROR(IND_rest_ele_kWh/1000),0,IND_rest_ele_kWh/1000)</f>
        <v>11068.9641525274</v>
      </c>
      <c r="C37" s="39">
        <f>IF(ISERROR(B37*3.6/1000000/'E Balans VL '!Z15*100),0,B37*3.6/1000000/'E Balans VL '!Z15*100)</f>
        <v>8.7735134889611946E-2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1468.6714075551126</v>
      </c>
      <c r="C5" s="17">
        <f>'Eigen informatie GS &amp; warmtenet'!B60</f>
        <v>0</v>
      </c>
      <c r="D5" s="30">
        <f>IF(ISERROR(SUM(LB_lb_gas_kWh,LB_rest_gas_kWh)/1000),0,SUM(LB_lb_gas_kWh,LB_rest_gas_kWh)/1000)*0.902</f>
        <v>22955.25166117102</v>
      </c>
      <c r="E5" s="17">
        <f>B17*'E Balans VL '!I25/3.6*1000000/100</f>
        <v>43.168738508285834</v>
      </c>
      <c r="F5" s="17">
        <f>B17*('E Balans VL '!L25/3.6*1000000+'E Balans VL '!N25/3.6*1000000)/100</f>
        <v>6118.4057210373048</v>
      </c>
      <c r="G5" s="18"/>
      <c r="H5" s="17"/>
      <c r="I5" s="17"/>
      <c r="J5" s="17">
        <f>('E Balans VL '!D25+'E Balans VL '!E25)/3.6*1000000*landbouw!B17/100</f>
        <v>212.77894687522283</v>
      </c>
      <c r="K5" s="17"/>
      <c r="L5" s="17">
        <f>L6*(-1)</f>
        <v>0</v>
      </c>
      <c r="M5" s="17"/>
      <c r="N5" s="17">
        <f>N6*(-1)</f>
        <v>0</v>
      </c>
      <c r="O5" s="17"/>
      <c r="P5" s="17"/>
      <c r="R5" s="32"/>
    </row>
    <row r="6" spans="1:18">
      <c r="A6" s="16" t="s">
        <v>474</v>
      </c>
      <c r="B6" s="17" t="s">
        <v>204</v>
      </c>
      <c r="C6" s="17">
        <f>'lokale energieproductie'!O39+'lokale energieproductie'!O32</f>
        <v>10182.857142857143</v>
      </c>
      <c r="D6" s="302">
        <f>('lokale energieproductie'!P32+'lokale energieproductie'!P39)*(-1)</f>
        <v>-20365.714285714286</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1468.6714075551126</v>
      </c>
      <c r="C8" s="21">
        <f>C5+C6</f>
        <v>10182.857142857143</v>
      </c>
      <c r="D8" s="21">
        <f>MAX((D5+D6),0)</f>
        <v>2589.5373754567336</v>
      </c>
      <c r="E8" s="21">
        <f>MAX((E5+E6),0)</f>
        <v>43.168738508285834</v>
      </c>
      <c r="F8" s="21">
        <f>MAX((F5+F6),0)</f>
        <v>6118.4057210373048</v>
      </c>
      <c r="G8" s="21"/>
      <c r="H8" s="21"/>
      <c r="I8" s="21"/>
      <c r="J8" s="21">
        <f>MAX((J5+J6),0)</f>
        <v>212.77894687522283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0.18375807610679629</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269.88023228538799</v>
      </c>
      <c r="C12" s="23">
        <f ca="1">C8*C10</f>
        <v>2419.9260504201679</v>
      </c>
      <c r="D12" s="23">
        <f>D8*D10</f>
        <v>523.08654984226018</v>
      </c>
      <c r="E12" s="23">
        <f>E8*E10</f>
        <v>9.7993036413808845</v>
      </c>
      <c r="F12" s="23">
        <f>F8*F10</f>
        <v>1633.6143275169604</v>
      </c>
      <c r="G12" s="23"/>
      <c r="H12" s="23"/>
      <c r="I12" s="23"/>
      <c r="J12" s="23">
        <f>J8*J10</f>
        <v>75.323747193828879</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0.20840908054808763</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228.12908480566094</v>
      </c>
      <c r="C26" s="243">
        <f>B26*'GWP N2O_CH4'!B5</f>
        <v>4790.7107809188801</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71.307962889700946</v>
      </c>
      <c r="C27" s="243">
        <f>B27*'GWP N2O_CH4'!B5</f>
        <v>1497.4672206837199</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3.3175533602831884</v>
      </c>
      <c r="C28" s="243">
        <f>B28*'GWP N2O_CH4'!B4</f>
        <v>1028.4415416877885</v>
      </c>
      <c r="D28" s="50"/>
    </row>
    <row r="29" spans="1:4">
      <c r="A29" s="41" t="s">
        <v>265</v>
      </c>
      <c r="B29" s="243">
        <f>B34*'ha_N2O bodem landbouw'!B4</f>
        <v>10.528983752672803</v>
      </c>
      <c r="C29" s="243">
        <f>B29*'GWP N2O_CH4'!B4</f>
        <v>3263.9849633285689</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2.4026778078677308E-3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2.0708098893306874E-4</v>
      </c>
      <c r="C5" s="429" t="s">
        <v>204</v>
      </c>
      <c r="D5" s="414">
        <f>SUM(D6:D11)</f>
        <v>3.9318781516034312E-4</v>
      </c>
      <c r="E5" s="414">
        <f>SUM(E6:E11)</f>
        <v>6.7541960065999323E-4</v>
      </c>
      <c r="F5" s="427" t="s">
        <v>204</v>
      </c>
      <c r="G5" s="414">
        <f>SUM(G6:G11)</f>
        <v>0.25784718794271355</v>
      </c>
      <c r="H5" s="414">
        <f>SUM(H6:H11)</f>
        <v>6.2795935341099507E-2</v>
      </c>
      <c r="I5" s="429" t="s">
        <v>204</v>
      </c>
      <c r="J5" s="429" t="s">
        <v>204</v>
      </c>
      <c r="K5" s="429" t="s">
        <v>204</v>
      </c>
      <c r="L5" s="429" t="s">
        <v>204</v>
      </c>
      <c r="M5" s="414">
        <f>SUM(M6:M11)</f>
        <v>1.6913578921946035E-2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1.0316762797885098E-4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1.7344292458820949E-4</v>
      </c>
      <c r="E6" s="857">
        <f>vkm_GW_PW*SUMIFS(TableVerdeelsleutelVkm[LPG],TableVerdeelsleutelVkm[Voertuigtype],"Lichte voertuigen")*SUMIFS(TableECFTransport[EnergieConsumptieFactor (PJ per km)],TableECFTransport[Index],CONCATENATE($A6,"_LPG_LPG"))</f>
        <v>3.0517431166373281E-4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9.0544334684470332E-2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2.8022063791265057E-2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6.1150852946463283E-3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1.7810743596536312E-6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5.7208853994762547E-2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9.3339601847782832E-7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3.3424584088062614E-3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1.0193963009987709E-4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2.1974489057213361E-4</v>
      </c>
      <c r="E8" s="417">
        <f>vkm_NGW_PW*SUMIFS(TableVerdeelsleutelVkm[LPG],TableVerdeelsleutelVkm[Voertuigtype],"Lichte voertuigen")*SUMIFS(TableECFTransport[EnergieConsumptieFactor (PJ per km)],TableECFTransport[Index],CONCATENATE($A8,"_LPG_LPG"))</f>
        <v>3.7024528899626041E-4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0.10215411965702009</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3.4772816287412932E-2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6.9921436602641248E-3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1.926564946870543E-7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7.9398796064605939E-3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1.2186640303974537E-7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4.6389155822932184E-4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57.522496925852423</v>
      </c>
      <c r="C14" s="21"/>
      <c r="D14" s="21">
        <f t="shared" ref="D14:M14" si="0">((D5)*10^9/3600)+D12</f>
        <v>109.21883754453975</v>
      </c>
      <c r="E14" s="21">
        <f t="shared" si="0"/>
        <v>187.616555738887</v>
      </c>
      <c r="F14" s="21"/>
      <c r="G14" s="21">
        <f t="shared" si="0"/>
        <v>71624.218872975995</v>
      </c>
      <c r="H14" s="21">
        <f t="shared" si="0"/>
        <v>17443.315372527642</v>
      </c>
      <c r="I14" s="21"/>
      <c r="J14" s="21"/>
      <c r="K14" s="21"/>
      <c r="L14" s="21"/>
      <c r="M14" s="21">
        <f t="shared" si="0"/>
        <v>4698.216367207232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0.18375807610679629</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10.570223367953744</v>
      </c>
      <c r="C18" s="23"/>
      <c r="D18" s="23">
        <f t="shared" ref="D18:M18" si="1">D14*D16</f>
        <v>22.06220518399703</v>
      </c>
      <c r="E18" s="23">
        <f t="shared" si="1"/>
        <v>42.588958152727351</v>
      </c>
      <c r="F18" s="23"/>
      <c r="G18" s="23">
        <f t="shared" si="1"/>
        <v>19123.666439084591</v>
      </c>
      <c r="H18" s="23">
        <f t="shared" si="1"/>
        <v>4343.385527759383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4.3386450971758432E-5</v>
      </c>
      <c r="C50" s="313">
        <f t="shared" ref="C50:P50" si="2">SUM(C51:C52)</f>
        <v>0</v>
      </c>
      <c r="D50" s="313">
        <f t="shared" si="2"/>
        <v>0</v>
      </c>
      <c r="E50" s="313">
        <f t="shared" si="2"/>
        <v>0</v>
      </c>
      <c r="F50" s="313">
        <f t="shared" si="2"/>
        <v>0</v>
      </c>
      <c r="G50" s="313">
        <f t="shared" si="2"/>
        <v>4.0757264193895734E-3</v>
      </c>
      <c r="H50" s="313">
        <f t="shared" si="2"/>
        <v>0</v>
      </c>
      <c r="I50" s="313">
        <f t="shared" si="2"/>
        <v>0</v>
      </c>
      <c r="J50" s="313">
        <f t="shared" si="2"/>
        <v>0</v>
      </c>
      <c r="K50" s="313">
        <f t="shared" si="2"/>
        <v>0</v>
      </c>
      <c r="L50" s="313">
        <f t="shared" si="2"/>
        <v>0</v>
      </c>
      <c r="M50" s="313">
        <f t="shared" si="2"/>
        <v>2.3470884705875384E-4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4.3386450971758432E-5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4.0757264193895734E-3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2.3470884705875384E-4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12.051791936599564</v>
      </c>
      <c r="C54" s="21">
        <f t="shared" ref="C54:P54" si="3">(C50)*10^9/3600</f>
        <v>0</v>
      </c>
      <c r="D54" s="21">
        <f t="shared" si="3"/>
        <v>0</v>
      </c>
      <c r="E54" s="21">
        <f t="shared" si="3"/>
        <v>0</v>
      </c>
      <c r="F54" s="21">
        <f t="shared" si="3"/>
        <v>0</v>
      </c>
      <c r="G54" s="21">
        <f t="shared" si="3"/>
        <v>1132.1462276082148</v>
      </c>
      <c r="H54" s="21">
        <f t="shared" si="3"/>
        <v>0</v>
      </c>
      <c r="I54" s="21">
        <f t="shared" si="3"/>
        <v>0</v>
      </c>
      <c r="J54" s="21">
        <f t="shared" si="3"/>
        <v>0</v>
      </c>
      <c r="K54" s="21">
        <f t="shared" si="3"/>
        <v>0</v>
      </c>
      <c r="L54" s="21">
        <f t="shared" si="3"/>
        <v>0</v>
      </c>
      <c r="M54" s="21">
        <f t="shared" si="3"/>
        <v>65.196901960764947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0.18375807610679629</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2.2146140999089363</v>
      </c>
      <c r="C58" s="23">
        <f t="shared" ref="C58:P58" ca="1" si="4">C54*C56</f>
        <v>0</v>
      </c>
      <c r="D58" s="23">
        <f t="shared" si="4"/>
        <v>0</v>
      </c>
      <c r="E58" s="23">
        <f t="shared" si="4"/>
        <v>0</v>
      </c>
      <c r="F58" s="23">
        <f t="shared" si="4"/>
        <v>0</v>
      </c>
      <c r="G58" s="23">
        <f t="shared" si="4"/>
        <v>302.28304277139335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7923.2613761713083</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5950.2163001628596</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7128</v>
      </c>
      <c r="C8" s="536">
        <f>B48</f>
        <v>8385.8823529411748</v>
      </c>
      <c r="D8" s="1002"/>
      <c r="E8" s="1002">
        <f>E48</f>
        <v>0</v>
      </c>
      <c r="F8" s="1003"/>
      <c r="G8" s="537"/>
      <c r="H8" s="1002">
        <f>I48</f>
        <v>0</v>
      </c>
      <c r="I8" s="1002">
        <f>G48+F48</f>
        <v>0</v>
      </c>
      <c r="J8" s="1002">
        <f>H48+D48+C48</f>
        <v>0</v>
      </c>
      <c r="K8" s="1002"/>
      <c r="L8" s="1002"/>
      <c r="M8" s="1002"/>
      <c r="N8" s="538"/>
      <c r="O8" s="539">
        <f>C8*$C$12+D8*$D$12+E8*$E$12+F8*$F$12+G8*$G$12+H8*$H$12+I8*$I$12+J8*$J$12</f>
        <v>1693.9482352941175</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21001.477676334169</v>
      </c>
      <c r="C10" s="549">
        <f t="shared" ref="C10:L10" si="0">SUM(C8:C9)</f>
        <v>8385.8823529411748</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1693.9482352941175</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10182.857142857143</v>
      </c>
      <c r="C17" s="561">
        <f>B49</f>
        <v>11979.831932773108</v>
      </c>
      <c r="D17" s="562"/>
      <c r="E17" s="562">
        <f>E49</f>
        <v>0</v>
      </c>
      <c r="F17" s="1008"/>
      <c r="G17" s="563"/>
      <c r="H17" s="561">
        <f>I49</f>
        <v>0</v>
      </c>
      <c r="I17" s="562">
        <f>G49+F49</f>
        <v>0</v>
      </c>
      <c r="J17" s="562">
        <f>H49+D49+C49</f>
        <v>0</v>
      </c>
      <c r="K17" s="562"/>
      <c r="L17" s="562"/>
      <c r="M17" s="562"/>
      <c r="N17" s="1009"/>
      <c r="O17" s="564">
        <f>C17*$C$22+E17*$E$22+H17*$H$22+I17*$I$22+J17*$J$22+D17*$D$22+F17*$F$22+G17*$G$22+K17*$K$22+L17*$L$22</f>
        <v>2419.9260504201679</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10182.857142857143</v>
      </c>
      <c r="C20" s="548">
        <f>SUM(C17:C19)</f>
        <v>11979.831932773108</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2419.9260504201679</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42008</v>
      </c>
      <c r="C28" s="762">
        <v>9220</v>
      </c>
      <c r="D28" s="619"/>
      <c r="E28" s="618"/>
      <c r="F28" s="618"/>
      <c r="G28" s="618" t="s">
        <v>896</v>
      </c>
      <c r="H28" s="618" t="s">
        <v>897</v>
      </c>
      <c r="I28" s="618"/>
      <c r="J28" s="761"/>
      <c r="K28" s="761"/>
      <c r="L28" s="618" t="s">
        <v>898</v>
      </c>
      <c r="M28" s="618">
        <v>1584</v>
      </c>
      <c r="N28" s="618">
        <v>7128</v>
      </c>
      <c r="O28" s="618">
        <v>10182.857142857143</v>
      </c>
      <c r="P28" s="618">
        <v>20365.714285714286</v>
      </c>
      <c r="Q28" s="618">
        <v>0</v>
      </c>
      <c r="R28" s="618">
        <v>0</v>
      </c>
      <c r="S28" s="618">
        <v>0</v>
      </c>
      <c r="T28" s="618">
        <v>0</v>
      </c>
      <c r="U28" s="618">
        <v>0</v>
      </c>
      <c r="V28" s="618">
        <v>0</v>
      </c>
      <c r="W28" s="618">
        <v>0</v>
      </c>
      <c r="X28" s="618">
        <v>10</v>
      </c>
      <c r="Y28" s="618" t="s">
        <v>105</v>
      </c>
      <c r="Z28" s="620" t="s">
        <v>105</v>
      </c>
    </row>
    <row r="29" spans="1:26" s="556" customFormat="1" hidden="1">
      <c r="A29" s="574" t="s">
        <v>268</v>
      </c>
      <c r="B29" s="575"/>
      <c r="C29" s="575"/>
      <c r="D29" s="575"/>
      <c r="E29" s="575"/>
      <c r="F29" s="575"/>
      <c r="G29" s="575"/>
      <c r="H29" s="575"/>
      <c r="I29" s="575"/>
      <c r="J29" s="575"/>
      <c r="K29" s="575"/>
      <c r="L29" s="576"/>
      <c r="M29" s="576">
        <f>SUM(M28:M28)</f>
        <v>1584</v>
      </c>
      <c r="N29" s="576">
        <f>SUM(N28:N28)</f>
        <v>7128</v>
      </c>
      <c r="O29" s="576">
        <f>SUM(O28:O28)</f>
        <v>10182.857142857143</v>
      </c>
      <c r="P29" s="576">
        <f>SUM(P28:P28)</f>
        <v>20365.714285714286</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1584</v>
      </c>
      <c r="N32" s="581">
        <f>SUMIF($Z$28:$Z$28,"landbouw",N28:N28)</f>
        <v>7128</v>
      </c>
      <c r="O32" s="581">
        <f>SUMIF($Z$28:$Z$28,"landbouw",O28:O28)</f>
        <v>10182.857142857143</v>
      </c>
      <c r="P32" s="581">
        <f>SUMIF($Z$28:$Z$28,"landbouw",P28:P28)</f>
        <v>20365.714285714286</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0.58823529411764697</v>
      </c>
      <c r="C45" s="601">
        <f>IF(ISERROR(N29/(O29+N29)),0,N29/(N29+O29))</f>
        <v>0.41176470588235287</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8385.8823529411748</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11979.831932773108</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2021-11-11T12:50:54Z</dcterms:modified>
</cp:coreProperties>
</file>