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F2290A45-6B97-4433-AB81-01D6808EF585}"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P27" i="48" l="1"/>
  <c r="C45"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8" i="22" s="1"/>
  <c r="A4" i="23"/>
  <c r="B51" i="22" s="1"/>
  <c r="A7" i="23"/>
  <c r="A8" i="23"/>
  <c r="A9" i="23"/>
  <c r="A10" i="23"/>
  <c r="A11" i="23"/>
  <c r="A12" i="23"/>
  <c r="A13" i="23"/>
  <c r="A14" i="23"/>
  <c r="A15" i="23"/>
  <c r="A16" i="23"/>
  <c r="A17" i="23"/>
  <c r="A18" i="23"/>
  <c r="A19" i="23"/>
  <c r="A20" i="23"/>
  <c r="A21" i="23"/>
  <c r="A22" i="23"/>
  <c r="A23" i="23"/>
  <c r="A24" i="23"/>
  <c r="A25" i="23"/>
  <c r="A26" i="23"/>
  <c r="A27" i="23"/>
  <c r="A28" i="23"/>
  <c r="A29" i="23"/>
  <c r="A30" i="23"/>
  <c r="B52" i="22" l="1"/>
  <c r="D6" i="22"/>
  <c r="D10"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<sst xmlns="http://schemas.openxmlformats.org/spreadsheetml/2006/main" count="2469" uniqueCount="899">
  <si>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</si>
  <si>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</si>
  <si>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</si>
  <si>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</si>
  <si>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</si>
  <si>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</si>
  <si>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</si>
  <si>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</si>
  <si>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</si>
  <si>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</si>
  <si>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</si>
  <si>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</si>
  <si>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</si>
  <si>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</si>
  <si>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</si>
  <si>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</si>
  <si>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</si>
  <si>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</si>
  <si>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</si>
  <si>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</si>
  <si>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</si>
  <si>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</si>
  <si>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</si>
  <si>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</si>
  <si>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</si>
  <si>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</si>
  <si>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</si>
  <si>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</si>
  <si>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</si>
  <si>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</si>
  <si>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</si>
  <si>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</si>
  <si>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</si>
  <si>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</si>
  <si>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</si>
  <si>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</si>
  <si>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</si>
  <si>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</si>
  <si>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</si>
  <si>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</si>
  <si>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</si>
  <si>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</si>
  <si>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</si>
  <si>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</si>
  <si>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</si>
  <si>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</si>
  <si>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</si>
  <si>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</si>
  <si>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</si>
  <si>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</si>
  <si>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</si>
  <si>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</si>
  <si>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</si>
  <si>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</si>
  <si>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</si>
  <si>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</si>
  <si>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</si>
  <si>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</si>
  <si>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</si>
  <si>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</si>
  <si>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</si>
  <si>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</si>
  <si>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</si>
  <si>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</si>
  <si>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</si>
  <si>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</si>
  <si>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</si>
  <si>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</si>
  <si>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</si>
  <si>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</si>
  <si>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</si>
  <si>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</si>
  <si>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</si>
  <si>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</si>
  <si>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</si>
  <si>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</si>
  <si>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</si>
  <si>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</si>
  <si>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</si>
  <si>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</si>
  <si>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</si>
  <si>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</si>
  <si>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</si>
  <si>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</si>
  <si>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</si>
  <si>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</si>
  <si>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</si>
  <si>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</si>
  <si>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</si>
  <si>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</si>
  <si>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</si>
  <si>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</si>
  <si>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</si>
  <si>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</si>
  <si>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</si>
  <si>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</si>
  <si>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</si>
  <si>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</si>
  <si>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</si>
  <si>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</si>
  <si>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</si>
  <si>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</si>
  <si>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</si>
  <si>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</si>
  <si>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</si>
  <si>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</si>
  <si>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</si>
  <si>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</si>
  <si>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</si>
  <si>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</si>
  <si>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</si>
  <si>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</si>
  <si>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</si>
  <si>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</si>
  <si>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</si>
  <si>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</si>
  <si>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</si>
  <si>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</si>
  <si>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</si>
  <si>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</si>
  <si>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</si>
  <si>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</si>
  <si>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</si>
  <si>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</si>
  <si>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</si>
  <si>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</si>
  <si>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</si>
  <si>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</si>
  <si>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</si>
  <si>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</si>
  <si>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</si>
  <si>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</si>
  <si>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</si>
  <si>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</si>
  <si>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</si>
  <si>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</si>
  <si>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</si>
  <si>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</si>
  <si>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</si>
  <si>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</si>
  <si>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</si>
  <si>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</si>
  <si>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</si>
  <si>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</si>
  <si>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</si>
  <si>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</si>
  <si>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</si>
  <si>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</si>
  <si>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</si>
  <si>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</si>
  <si>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</si>
  <si>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</si>
  <si>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</si>
  <si>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</si>
  <si>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</si>
  <si>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</si>
  <si>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</si>
  <si>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</si>
  <si>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</si>
  <si>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</si>
  <si>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</si>
  <si>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</si>
  <si>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</si>
  <si>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</si>
  <si>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</si>
  <si>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</si>
  <si>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</si>
  <si>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</si>
  <si>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</si>
  <si>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</si>
  <si>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</si>
  <si>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</si>
  <si>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</si>
  <si>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</si>
  <si>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</si>
  <si>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</si>
  <si>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</si>
  <si>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</si>
  <si>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</si>
  <si>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</si>
  <si>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</si>
  <si>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</si>
  <si>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</si>
  <si>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</si>
  <si>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</si>
  <si>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</si>
  <si>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</si>
  <si>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</si>
  <si>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</si>
  <si>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</si>
  <si>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</si>
  <si>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</si>
  <si>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</si>
  <si>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</si>
  <si>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</si>
  <si>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</si>
  <si>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</si>
  <si>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</si>
  <si>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</si>
  <si>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</si>
  <si>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</si>
  <si>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</si>
  <si>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</si>
  <si>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</si>
  <si>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</si>
  <si>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</si>
  <si>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</si>
  <si>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</si>
  <si>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</si>
  <si>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</si>
  <si>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</si>
  <si>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</si>
  <si>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</si>
  <si>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</si>
  <si>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</si>
  <si>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</si>
  <si>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</si>
  <si>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</si>
  <si>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</si>
  <si>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</si>
  <si>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</si>
  <si>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</si>
  <si>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</si>
  <si>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</si>
  <si>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</si>
  <si>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</si>
  <si>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</si>
  <si>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</si>
  <si>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</si>
  <si>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</si>
  <si>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</si>
  <si>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</si>
  <si>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</si>
  <si>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</si>
  <si>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</si>
  <si>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</si>
  <si>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</si>
  <si>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</si>
  <si>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</si>
  <si>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</si>
  <si>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</si>
  <si>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</si>
  <si>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</si>
  <si>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</si>
  <si>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</si>
  <si>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</si>
  <si>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</si>
  <si>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</si>
  <si>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</si>
  <si>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</si>
  <si>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</si>
  <si>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</si>
  <si>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</si>
  <si>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</si>
  <si>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</si>
  <si>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</si>
  <si>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</si>
  <si>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</si>
  <si>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</si>
  <si>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</si>
  <si>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</si>
  <si>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</si>
  <si>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</si>
  <si>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</si>
  <si>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</si>
  <si>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</si>
  <si>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</si>
  <si>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</si>
  <si>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</si>
  <si>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</si>
  <si>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</si>
  <si>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</si>
  <si>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</si>
  <si>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</si>
  <si>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</si>
  <si>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</si>
  <si>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</si>
  <si>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</si>
  <si>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</si>
  <si>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</si>
  <si>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</si>
  <si>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</si>
  <si>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</si>
  <si>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</si>
  <si>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</si>
  <si>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</si>
  <si>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</si>
  <si>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</si>
  <si>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</si>
  <si>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</si>
  <si>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</si>
  <si>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</si>
  <si>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</si>
  <si>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</si>
  <si>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</si>
  <si>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</si>
  <si>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</si>
  <si>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</si>
  <si>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</si>
  <si>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</si>
  <si>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</si>
  <si>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</si>
  <si>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</si>
  <si>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</si>
  <si>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</si>
  <si>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</si>
  <si>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</si>
  <si>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</si>
  <si>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</si>
  <si>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</si>
  <si>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</si>
  <si>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</si>
  <si>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</si>
  <si>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</si>
  <si>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</si>
  <si>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</si>
  <si>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</si>
  <si>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</si>
  <si>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</si>
  <si>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</si>
  <si>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</si>
  <si>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</si>
  <si>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</si>
  <si>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</si>
  <si>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</si>
  <si>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</si>
  <si>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</si>
  <si>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</si>
  <si>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</si>
  <si>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</si>
  <si>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</si>
  <si>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</si>
  <si>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</si>
  <si>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</si>
  <si>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</si>
  <si>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</si>
  <si>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</si>
  <si>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</si>
  <si>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</si>
  <si>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</si>
  <si>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</si>
  <si>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</si>
  <si>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</si>
  <si>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</si>
  <si>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</si>
  <si>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</si>
  <si>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</si>
  <si>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</si>
  <si>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</si>
  <si>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</si>
  <si>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</si>
  <si>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</si>
  <si>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</si>
  <si>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</si>
  <si>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</si>
  <si>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</si>
  <si>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</si>
  <si>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</si>
  <si>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</si>
  <si>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</si>
  <si>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</si>
  <si>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</si>
  <si>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</si>
  <si>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</si>
  <si>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</si>
  <si>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</si>
  <si>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</si>
  <si>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</si>
  <si>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</si>
  <si>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</si>
  <si>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</si>
  <si>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</si>
  <si>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</si>
  <si>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</si>
  <si>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</si>
  <si>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</si>
  <si>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</si>
  <si>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</si>
  <si>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</si>
  <si>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</si>
  <si>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</si>
  <si>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</si>
  <si>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</si>
  <si>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</si>
  <si>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</si>
  <si>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</si>
  <si>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</si>
  <si>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</si>
  <si>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</si>
  <si>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</si>
  <si>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</si>
  <si>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</si>
  <si>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</si>
  <si>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</si>
  <si>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</si>
  <si>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</si>
  <si>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</si>
  <si>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</si>
  <si>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</si>
  <si>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</si>
  <si>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</si>
  <si>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</si>
  <si>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</si>
  <si>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</si>
  <si>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</si>
  <si>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</si>
  <si>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</si>
  <si>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</si>
  <si>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</si>
  <si>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</si>
  <si>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</si>
  <si>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</si>
  <si>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</si>
  <si>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</si>
  <si>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</si>
  <si>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</si>
  <si>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</si>
  <si>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</si>
  <si>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</si>
  <si>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</si>
  <si>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</si>
  <si>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</si>
  <si>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</si>
  <si>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</si>
  <si>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</si>
  <si>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</si>
  <si>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</si>
  <si>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</si>
  <si>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</si>
  <si>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</si>
  <si>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</si>
  <si>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</si>
  <si>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</si>
  <si>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</si>
  <si>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</si>
  <si>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</si>
  <si>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</si>
  <si>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</si>
  <si>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</si>
  <si>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</si>
  <si>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</si>
  <si>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</si>
  <si>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</si>
  <si>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</si>
  <si>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</si>
  <si>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</si>
  <si>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</si>
  <si>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</si>
  <si>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</si>
  <si>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</si>
  <si>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</si>
  <si>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</si>
  <si>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</si>
  <si>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</si>
  <si>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</si>
  <si>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</si>
  <si>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</si>
  <si>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</si>
  <si>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</si>
  <si>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</si>
  <si>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</si>
  <si>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</si>
  <si>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</si>
  <si>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</si>
  <si>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</si>
  <si>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</si>
  <si>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</si>
  <si>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</si>
  <si>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</si>
  <si>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</si>
  <si>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</si>
  <si>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</si>
  <si>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</si>
  <si>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</si>
  <si>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</si>
  <si>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</si>
  <si>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</si>
  <si>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</si>
  <si>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</si>
  <si>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</si>
  <si>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</si>
  <si>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</si>
  <si>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</si>
  <si>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</si>
  <si>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</si>
  <si>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</si>
  <si>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</si>
  <si>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</si>
  <si>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</si>
  <si>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</si>
  <si>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</si>
  <si>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</si>
  <si>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</si>
  <si>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</si>
  <si>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</si>
  <si>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</si>
  <si>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</si>
  <si>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</si>
  <si>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</si>
  <si>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</si>
  <si>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</si>
  <si>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</si>
  <si>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</si>
  <si>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</si>
  <si>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</si>
  <si>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</si>
  <si>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</si>
  <si>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</si>
  <si>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</si>
  <si>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</si>
  <si>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</si>
  <si>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</si>
  <si>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</si>
  <si>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</si>
  <si>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</si>
  <si>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</si>
  <si>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</si>
  <si>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</si>
  <si>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</si>
  <si>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</si>
  <si>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</si>
  <si>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</si>
  <si>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</si>
  <si>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</si>
  <si>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</si>
  <si>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</si>
  <si>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</si>
  <si>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</si>
  <si>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</si>
  <si>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</si>
  <si>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</si>
  <si>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</si>
  <si>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</si>
  <si>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</si>
  <si>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</si>
  <si>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</si>
  <si>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</si>
  <si>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</si>
  <si>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</si>
  <si>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</si>
  <si>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</si>
  <si>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</si>
  <si>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</si>
  <si>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</si>
  <si>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</si>
  <si>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</si>
  <si>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</si>
  <si>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</si>
  <si>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</si>
  <si>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</si>
  <si>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</si>
  <si>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</si>
  <si>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</si>
  <si>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</si>
  <si>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</si>
  <si>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</si>
  <si>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</si>
  <si>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</si>
  <si>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</si>
  <si>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</si>
  <si>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</si>
  <si>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</si>
  <si>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</si>
  <si>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</si>
  <si>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</si>
  <si>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</si>
  <si>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</si>
  <si>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</si>
  <si>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</si>
  <si>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</si>
  <si>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</si>
  <si>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</si>
  <si>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</si>
  <si>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</si>
  <si>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</si>
  <si>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</si>
  <si>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</si>
  <si>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</si>
  <si>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</si>
  <si>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</si>
  <si>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</si>
  <si>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</si>
  <si>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</si>
  <si>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</si>
  <si>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</si>
  <si>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</si>
  <si>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</si>
  <si>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</si>
  <si>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</si>
  <si>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</si>
  <si>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</si>
  <si>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</si>
  <si>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</si>
  <si>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</si>
  <si>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</si>
  <si>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</si>
  <si>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</si>
  <si>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</si>
  <si>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</si>
  <si>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</si>
  <si>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</si>
  <si>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</si>
  <si>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</si>
  <si>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</si>
  <si>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</si>
  <si>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</si>
  <si>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</si>
  <si>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</si>
  <si>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</si>
  <si>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</si>
  <si>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</si>
  <si>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</si>
  <si>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</si>
  <si>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</si>
  <si>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</si>
  <si>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</si>
  <si>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</si>
  <si>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</si>
  <si>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</si>
  <si>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</si>
  <si>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</si>
  <si>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</si>
  <si>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</si>
  <si>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</si>
  <si>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</si>
  <si>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</si>
  <si>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</si>
  <si>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</si>
  <si>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</si>
  <si>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</si>
  <si>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</si>
  <si>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</si>
  <si>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</si>
  <si>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</si>
  <si>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</si>
  <si>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</si>
  <si>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</si>
  <si>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</si>
  <si>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</si>
  <si>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</si>
  <si>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</si>
  <si>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</si>
  <si>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</si>
  <si>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</si>
  <si>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</si>
  <si>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</si>
  <si>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</si>
  <si>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</si>
  <si>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</si>
  <si>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</si>
  <si>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</si>
  <si>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</si>
  <si>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</si>
  <si>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</si>
  <si>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</si>
  <si>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</si>
  <si>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</si>
  <si>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</si>
  <si>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</si>
  <si>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</si>
  <si>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</si>
  <si>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</si>
  <si>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</si>
  <si>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</si>
  <si>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</si>
  <si>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</si>
  <si>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</si>
  <si>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</si>
  <si>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</si>
  <si>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</si>
  <si>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</si>
  <si>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</si>
  <si>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</si>
  <si>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</si>
  <si>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</si>
  <si>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</si>
  <si>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</si>
  <si>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</si>
  <si>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</si>
  <si>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</si>
  <si>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</si>
  <si>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</si>
  <si>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</si>
  <si>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</si>
  <si>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</si>
  <si>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</si>
  <si>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</si>
  <si>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</si>
  <si>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</si>
  <si>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</si>
  <si>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</si>
  <si>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</si>
  <si>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</si>
  <si>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</si>
  <si>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</si>
  <si>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</si>
  <si>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</si>
  <si>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</si>
  <si>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</si>
  <si>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</si>
  <si>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</si>
  <si>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</si>
  <si>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</si>
  <si>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</si>
  <si>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</si>
  <si>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</si>
  <si>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</si>
  <si>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</si>
  <si>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</si>
  <si>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</si>
  <si>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</si>
  <si>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</si>
  <si>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</si>
  <si>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</si>
  <si>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</si>
  <si>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</si>
  <si>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</si>
  <si>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</si>
  <si>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</si>
  <si>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</si>
  <si>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</si>
  <si>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</si>
  <si>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</si>
  <si>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</si>
  <si>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</si>
  <si>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</si>
  <si>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</si>
  <si>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</si>
  <si>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</si>
  <si>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</si>
  <si>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</si>
  <si>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</si>
  <si>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</si>
  <si>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</si>
  <si>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</si>
  <si>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</si>
  <si>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</si>
  <si>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</si>
  <si>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</si>
  <si>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</si>
  <si>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</si>
  <si>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</si>
  <si>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</si>
  <si>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</si>
  <si>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</si>
  <si>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</si>
  <si>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</si>
  <si>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</si>
  <si>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</si>
  <si>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</si>
  <si>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</si>
  <si>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</si>
  <si>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</si>
  <si>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</si>
  <si>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</si>
  <si>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</si>
  <si>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</si>
  <si>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</si>
  <si>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</si>
  <si>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</si>
  <si>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</si>
  <si>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</si>
  <si>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</si>
  <si>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</si>
  <si>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</si>
  <si>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</si>
  <si>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</si>
  <si>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</si>
  <si>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</si>
  <si>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</si>
  <si>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</si>
  <si>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</si>
  <si>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</si>
  <si>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</si>
  <si>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</si>
  <si>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</si>
  <si>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</si>
  <si>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</si>
  <si>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</si>
  <si>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</si>
  <si>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</si>
  <si>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</si>
  <si>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</si>
  <si>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</si>
  <si>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</si>
  <si>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</si>
  <si>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</si>
  <si>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</si>
  <si>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</si>
  <si>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</si>
  <si>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</si>
  <si>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</si>
  <si>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</si>
  <si>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</si>
  <si>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</si>
  <si>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</si>
  <si>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</si>
  <si>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</si>
  <si>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</si>
  <si>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</si>
  <si>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</si>
  <si>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</si>
  <si>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</si>
  <si>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</si>
  <si>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</si>
  <si>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</si>
  <si>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</si>
  <si>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</si>
  <si>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</si>
  <si>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</si>
  <si>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</si>
  <si>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</si>
  <si>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</si>
  <si>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</si>
  <si>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</si>
  <si>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</si>
  <si>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</si>
  <si>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</si>
  <si>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</si>
  <si>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</si>
  <si>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</si>
  <si>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</si>
  <si>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</si>
  <si>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</si>
  <si>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</si>
  <si>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</si>
  <si>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</si>
  <si>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</si>
  <si>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</si>
  <si>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</si>
  <si>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</si>
  <si>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</si>
  <si>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</si>
  <si>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</si>
  <si>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</si>
  <si>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</si>
  <si>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</si>
  <si>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</si>
  <si>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</si>
  <si>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</si>
  <si>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</si>
  <si>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</si>
  <si>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</si>
  <si>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</si>
  <si>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</si>
  <si>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</si>
  <si>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</si>
  <si>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</si>
  <si>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</si>
  <si>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</si>
  <si>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</si>
  <si>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</si>
  <si>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</si>
  <si>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</si>
  <si>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</si>
  <si>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</si>
  <si>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</si>
  <si>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</si>
  <si>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</si>
  <si>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</si>
  <si>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</si>
  <si>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</si>
  <si>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</si>
  <si>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</si>
  <si>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</si>
  <si>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</si>
  <si>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</si>
  <si>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</si>
  <si>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</si>
  <si>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</si>
  <si>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</si>
  <si>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</si>
  <si>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</si>
  <si>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</si>
  <si>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</si>
  <si>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</si>
  <si>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</si>
  <si>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</si>
  <si>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</si>
  <si>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</si>
  <si>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</si>
  <si>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</si>
  <si>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</si>
  <si>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</si>
  <si>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</si>
  <si>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</si>
  <si>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</si>
  <si>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</si>
  <si>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</si>
  <si>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</si>
  <si>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</si>
  <si>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</si>
  <si>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41081</t>
  </si>
  <si>
    <t>ZOTTEGEM</t>
  </si>
  <si>
    <t>Fluvius</t>
  </si>
  <si>
    <t>referentietaak LNE (2017); Jaarverslag De Lijn</t>
  </si>
  <si>
    <t>interne verbrandingsmotor</t>
  </si>
  <si>
    <t>WKK interne verbrandinsgmotor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</si>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</sst>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A8A63A61-0D04-4AAB-BCAB-7B82FE817A04}"/>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240341.04512066717</c:v>
                </c:pt>
                <c:pt idx="1">
                  <c:v>89465.878077427667</c:v>
                </c:pt>
                <c:pt idx="2">
                  <c:v>1836.367</c:v>
                </c:pt>
                <c:pt idx="3">
                  <c:v>5961.3213245026964</c:v>
                </c:pt>
                <c:pt idx="4">
                  <c:v>63857.402637952466</c:v>
                </c:pt>
                <c:pt idx="5">
                  <c:v>126936.35171703088</c:v>
                </c:pt>
                <c:pt idx="6">
                  <c:v>2234.70712575981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240341.04512066717</c:v>
                </c:pt>
                <c:pt idx="1">
                  <c:v>89465.878077427667</c:v>
                </c:pt>
                <c:pt idx="2">
                  <c:v>1836.367</c:v>
                </c:pt>
                <c:pt idx="3">
                  <c:v>5961.3213245026964</c:v>
                </c:pt>
                <c:pt idx="4">
                  <c:v>63857.402637952466</c:v>
                </c:pt>
                <c:pt idx="5">
                  <c:v>126936.35171703088</c:v>
                </c:pt>
                <c:pt idx="6">
                  <c:v>2234.70712575981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50375.832892553881</c:v>
                </c:pt>
                <c:pt idx="2">
                  <c:v>18398.969868715478</c:v>
                </c:pt>
                <c:pt idx="3">
                  <c:v>382.26925350624077</c:v>
                </c:pt>
                <c:pt idx="4">
                  <c:v>1530.2508076483227</c:v>
                </c:pt>
                <c:pt idx="5">
                  <c:v>13735.508977309395</c:v>
                </c:pt>
                <c:pt idx="6">
                  <c:v>31767.603276198432</c:v>
                </c:pt>
                <c:pt idx="7">
                  <c:v>563.19109032411473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50375.832892553881</c:v>
                </c:pt>
                <c:pt idx="2">
                  <c:v>18398.969868715478</c:v>
                </c:pt>
                <c:pt idx="3">
                  <c:v>382.26925350624077</c:v>
                </c:pt>
                <c:pt idx="4">
                  <c:v>1530.2508076483227</c:v>
                </c:pt>
                <c:pt idx="5">
                  <c:v>13735.508977309395</c:v>
                </c:pt>
                <c:pt idx="6">
                  <c:v>31767.603276198432</c:v>
                </c:pt>
                <c:pt idx="7">
                  <c:v>563.19109032411473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41081</v>
      </c>
      <c r="B6" s="382"/>
      <c r="C6" s="383"/>
    </row>
    <row r="7" spans="1:7" s="380" customFormat="1" ht="15.75" customHeight="1">
      <c r="A7" s="384" t="str">
        <f>txtMunicipality</f>
        <v>ZOTTEGEM</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41412.683175490958</v>
      </c>
      <c r="D10" s="971">
        <f ca="1">tertiair!C16</f>
        <v>1928.5714285714287</v>
      </c>
      <c r="E10" s="971">
        <f ca="1">tertiair!D16</f>
        <v>38681.022929914601</v>
      </c>
      <c r="F10" s="971">
        <f>tertiair!E16</f>
        <v>609.75280217333557</v>
      </c>
      <c r="G10" s="971">
        <f ca="1">tertiair!F16</f>
        <v>6555.0866442515653</v>
      </c>
      <c r="H10" s="971">
        <f>tertiair!G16</f>
        <v>0</v>
      </c>
      <c r="I10" s="971">
        <f>tertiair!H16</f>
        <v>0</v>
      </c>
      <c r="J10" s="971">
        <f>tertiair!I16</f>
        <v>0</v>
      </c>
      <c r="K10" s="971">
        <f>tertiair!J16</f>
        <v>4.7229777021110433E-2</v>
      </c>
      <c r="L10" s="971">
        <f>tertiair!K16</f>
        <v>0</v>
      </c>
      <c r="M10" s="971">
        <f ca="1">tertiair!L16</f>
        <v>0</v>
      </c>
      <c r="N10" s="971">
        <f>tertiair!M16</f>
        <v>0</v>
      </c>
      <c r="O10" s="971">
        <f ca="1">tertiair!N16</f>
        <v>2056.3175339154195</v>
      </c>
      <c r="P10" s="971">
        <f>tertiair!O16</f>
        <v>1.5633333333333335</v>
      </c>
      <c r="Q10" s="972">
        <f>tertiair!P16</f>
        <v>57.2</v>
      </c>
      <c r="R10" s="666">
        <f ca="1">SUM(C10:Q10)</f>
        <v>91302.245077427666</v>
      </c>
      <c r="S10" s="67"/>
    </row>
    <row r="11" spans="1:19" s="439" customFormat="1">
      <c r="A11" s="775" t="s">
        <v>213</v>
      </c>
      <c r="B11" s="780"/>
      <c r="C11" s="971">
        <f>huishoudens!B8</f>
        <v>50721.154882107847</v>
      </c>
      <c r="D11" s="971">
        <f>huishoudens!C8</f>
        <v>0</v>
      </c>
      <c r="E11" s="971">
        <f>huishoudens!D8</f>
        <v>84354.01053938322</v>
      </c>
      <c r="F11" s="971">
        <f>huishoudens!E8</f>
        <v>3237.9165316144167</v>
      </c>
      <c r="G11" s="971">
        <f>huishoudens!F8</f>
        <v>82034.29088864493</v>
      </c>
      <c r="H11" s="971">
        <f>huishoudens!G8</f>
        <v>0</v>
      </c>
      <c r="I11" s="971">
        <f>huishoudens!H8</f>
        <v>0</v>
      </c>
      <c r="J11" s="971">
        <f>huishoudens!I8</f>
        <v>0</v>
      </c>
      <c r="K11" s="971">
        <f>huishoudens!J8</f>
        <v>394.73980423041206</v>
      </c>
      <c r="L11" s="971">
        <f>huishoudens!K8</f>
        <v>0</v>
      </c>
      <c r="M11" s="971">
        <f>huishoudens!L8</f>
        <v>0</v>
      </c>
      <c r="N11" s="971">
        <f>huishoudens!M8</f>
        <v>0</v>
      </c>
      <c r="O11" s="971">
        <f>huishoudens!N8</f>
        <v>17252.939141353017</v>
      </c>
      <c r="P11" s="971">
        <f>huishoudens!O8</f>
        <v>534.66000000000008</v>
      </c>
      <c r="Q11" s="972">
        <f>huishoudens!P8</f>
        <v>1811.3333333333335</v>
      </c>
      <c r="R11" s="666">
        <f>SUM(C11:Q11)</f>
        <v>240341.04512066717</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31816.673223472058</v>
      </c>
      <c r="D13" s="971">
        <f>industrie!C18</f>
        <v>0</v>
      </c>
      <c r="E13" s="971">
        <f>industrie!D18</f>
        <v>8818.0374085742224</v>
      </c>
      <c r="F13" s="971">
        <f>industrie!E18</f>
        <v>5308.5325946921448</v>
      </c>
      <c r="G13" s="971">
        <f>industrie!F18</f>
        <v>15412.759095393425</v>
      </c>
      <c r="H13" s="971">
        <f>industrie!G18</f>
        <v>0</v>
      </c>
      <c r="I13" s="971">
        <f>industrie!H18</f>
        <v>0</v>
      </c>
      <c r="J13" s="971">
        <f>industrie!I18</f>
        <v>0</v>
      </c>
      <c r="K13" s="971">
        <f>industrie!J18</f>
        <v>30.70861266134499</v>
      </c>
      <c r="L13" s="971">
        <f>industrie!K18</f>
        <v>0</v>
      </c>
      <c r="M13" s="971">
        <f>industrie!L18</f>
        <v>0</v>
      </c>
      <c r="N13" s="971">
        <f>industrie!M18</f>
        <v>0</v>
      </c>
      <c r="O13" s="971">
        <f>industrie!N18</f>
        <v>2470.6917031592775</v>
      </c>
      <c r="P13" s="971">
        <f>industrie!O18</f>
        <v>0</v>
      </c>
      <c r="Q13" s="972">
        <f>industrie!P18</f>
        <v>0</v>
      </c>
      <c r="R13" s="666">
        <f>SUM(C13:Q13)</f>
        <v>63857.402637952466</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123950.51128107085</v>
      </c>
      <c r="D16" s="698">
        <f t="shared" ref="D16:R16" ca="1" si="0">SUM(D9:D15)</f>
        <v>1928.5714285714287</v>
      </c>
      <c r="E16" s="698">
        <f t="shared" ca="1" si="0"/>
        <v>131853.07087787206</v>
      </c>
      <c r="F16" s="698">
        <f t="shared" si="0"/>
        <v>9156.2019284798971</v>
      </c>
      <c r="G16" s="698">
        <f t="shared" ca="1" si="0"/>
        <v>104002.13662828993</v>
      </c>
      <c r="H16" s="698">
        <f t="shared" si="0"/>
        <v>0</v>
      </c>
      <c r="I16" s="698">
        <f t="shared" si="0"/>
        <v>0</v>
      </c>
      <c r="J16" s="698">
        <f t="shared" si="0"/>
        <v>0</v>
      </c>
      <c r="K16" s="698">
        <f t="shared" si="0"/>
        <v>425.49564666877819</v>
      </c>
      <c r="L16" s="698">
        <f t="shared" si="0"/>
        <v>0</v>
      </c>
      <c r="M16" s="698">
        <f t="shared" ca="1" si="0"/>
        <v>0</v>
      </c>
      <c r="N16" s="698">
        <f t="shared" si="0"/>
        <v>0</v>
      </c>
      <c r="O16" s="698">
        <f t="shared" ca="1" si="0"/>
        <v>21779.948378427714</v>
      </c>
      <c r="P16" s="698">
        <f t="shared" si="0"/>
        <v>536.22333333333347</v>
      </c>
      <c r="Q16" s="698">
        <f t="shared" si="0"/>
        <v>1868.5333333333335</v>
      </c>
      <c r="R16" s="698">
        <f t="shared" ca="1" si="0"/>
        <v>395500.69283604732</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22.269173485006586</v>
      </c>
      <c r="D19" s="971">
        <f>transport!C54</f>
        <v>0</v>
      </c>
      <c r="E19" s="971">
        <f>transport!D54</f>
        <v>0</v>
      </c>
      <c r="F19" s="971">
        <f>transport!E54</f>
        <v>0</v>
      </c>
      <c r="G19" s="971">
        <f>transport!F54</f>
        <v>0</v>
      </c>
      <c r="H19" s="971">
        <f>transport!G54</f>
        <v>2091.9678074127696</v>
      </c>
      <c r="I19" s="971">
        <f>transport!H54</f>
        <v>0</v>
      </c>
      <c r="J19" s="971">
        <f>transport!I54</f>
        <v>0</v>
      </c>
      <c r="K19" s="971">
        <f>transport!J54</f>
        <v>0</v>
      </c>
      <c r="L19" s="971">
        <f>transport!K54</f>
        <v>0</v>
      </c>
      <c r="M19" s="971">
        <f>transport!L54</f>
        <v>0</v>
      </c>
      <c r="N19" s="971">
        <f>transport!M54</f>
        <v>120.47014486203382</v>
      </c>
      <c r="O19" s="971">
        <f>transport!N54</f>
        <v>0</v>
      </c>
      <c r="P19" s="971">
        <f>transport!O54</f>
        <v>0</v>
      </c>
      <c r="Q19" s="972">
        <f>transport!P54</f>
        <v>0</v>
      </c>
      <c r="R19" s="666">
        <f>SUM(C19:Q19)</f>
        <v>2234.70712575981</v>
      </c>
      <c r="S19" s="67"/>
    </row>
    <row r="20" spans="1:19" s="439" customFormat="1">
      <c r="A20" s="775" t="s">
        <v>295</v>
      </c>
      <c r="B20" s="780"/>
      <c r="C20" s="971">
        <f>transport!B14</f>
        <v>75.287060235916655</v>
      </c>
      <c r="D20" s="971">
        <f>transport!C14</f>
        <v>0</v>
      </c>
      <c r="E20" s="971">
        <f>transport!D14</f>
        <v>138.63188690126876</v>
      </c>
      <c r="F20" s="971">
        <f>transport!E14</f>
        <v>239.34447589144514</v>
      </c>
      <c r="G20" s="971">
        <f>transport!F14</f>
        <v>0</v>
      </c>
      <c r="H20" s="971">
        <f>transport!G14</f>
        <v>97914.503082829528</v>
      </c>
      <c r="I20" s="971">
        <f>transport!H14</f>
        <v>22194.473519745712</v>
      </c>
      <c r="J20" s="971">
        <f>transport!I14</f>
        <v>0</v>
      </c>
      <c r="K20" s="971">
        <f>transport!J14</f>
        <v>0</v>
      </c>
      <c r="L20" s="971">
        <f>transport!K14</f>
        <v>0</v>
      </c>
      <c r="M20" s="971">
        <f>transport!L14</f>
        <v>0</v>
      </c>
      <c r="N20" s="971">
        <f>transport!M14</f>
        <v>6374.1116914269915</v>
      </c>
      <c r="O20" s="971">
        <f>transport!N14</f>
        <v>0</v>
      </c>
      <c r="P20" s="971">
        <f>transport!O14</f>
        <v>0</v>
      </c>
      <c r="Q20" s="972">
        <f>transport!P14</f>
        <v>0</v>
      </c>
      <c r="R20" s="666">
        <f>SUM(C20:Q20)</f>
        <v>126936.35171703088</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97.556233720923245</v>
      </c>
      <c r="D22" s="778">
        <f t="shared" ref="D22:R22" si="1">SUM(D18:D21)</f>
        <v>0</v>
      </c>
      <c r="E22" s="778">
        <f t="shared" si="1"/>
        <v>138.63188690126876</v>
      </c>
      <c r="F22" s="778">
        <f t="shared" si="1"/>
        <v>239.34447589144514</v>
      </c>
      <c r="G22" s="778">
        <f t="shared" si="1"/>
        <v>0</v>
      </c>
      <c r="H22" s="778">
        <f t="shared" si="1"/>
        <v>100006.4708902423</v>
      </c>
      <c r="I22" s="778">
        <f t="shared" si="1"/>
        <v>22194.473519745712</v>
      </c>
      <c r="J22" s="778">
        <f t="shared" si="1"/>
        <v>0</v>
      </c>
      <c r="K22" s="778">
        <f t="shared" si="1"/>
        <v>0</v>
      </c>
      <c r="L22" s="778">
        <f t="shared" si="1"/>
        <v>0</v>
      </c>
      <c r="M22" s="778">
        <f t="shared" si="1"/>
        <v>0</v>
      </c>
      <c r="N22" s="778">
        <f t="shared" si="1"/>
        <v>6494.581836289025</v>
      </c>
      <c r="O22" s="778">
        <f t="shared" si="1"/>
        <v>0</v>
      </c>
      <c r="P22" s="778">
        <f t="shared" si="1"/>
        <v>0</v>
      </c>
      <c r="Q22" s="778">
        <f t="shared" si="1"/>
        <v>0</v>
      </c>
      <c r="R22" s="778">
        <f t="shared" si="1"/>
        <v>129171.05884279069</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1087.9353501826783</v>
      </c>
      <c r="D24" s="971">
        <f>+landbouw!C8</f>
        <v>0</v>
      </c>
      <c r="E24" s="971">
        <f>+landbouw!D8</f>
        <v>151.50988295725887</v>
      </c>
      <c r="F24" s="971">
        <f>+landbouw!E8</f>
        <v>31.977742879966872</v>
      </c>
      <c r="G24" s="971">
        <f>+landbouw!F8</f>
        <v>4532.2798799204083</v>
      </c>
      <c r="H24" s="971">
        <f>+landbouw!G8</f>
        <v>0</v>
      </c>
      <c r="I24" s="971">
        <f>+landbouw!H8</f>
        <v>0</v>
      </c>
      <c r="J24" s="971">
        <f>+landbouw!I8</f>
        <v>0</v>
      </c>
      <c r="K24" s="971">
        <f>+landbouw!J8</f>
        <v>157.61846856238353</v>
      </c>
      <c r="L24" s="971">
        <f>+landbouw!K8</f>
        <v>0</v>
      </c>
      <c r="M24" s="971">
        <f>+landbouw!L8</f>
        <v>0</v>
      </c>
      <c r="N24" s="971">
        <f>+landbouw!M8</f>
        <v>0</v>
      </c>
      <c r="O24" s="971">
        <f>+landbouw!N8</f>
        <v>0</v>
      </c>
      <c r="P24" s="971">
        <f>+landbouw!O8</f>
        <v>0</v>
      </c>
      <c r="Q24" s="972">
        <f>+landbouw!P8</f>
        <v>0</v>
      </c>
      <c r="R24" s="666">
        <f>SUM(C24:Q24)</f>
        <v>5961.3213245026964</v>
      </c>
      <c r="S24" s="67"/>
    </row>
    <row r="25" spans="1:19" s="439" customFormat="1" ht="15" thickBot="1">
      <c r="A25" s="797" t="s">
        <v>802</v>
      </c>
      <c r="B25" s="974"/>
      <c r="C25" s="975">
        <f>IF(Onbekend_ele_kWh="---",0,Onbekend_ele_kWh)/1000+IF(REST_rest_ele_kWh="---",0,REST_rest_ele_kWh)/1000</f>
        <v>1527.95425399646</v>
      </c>
      <c r="D25" s="975"/>
      <c r="E25" s="975">
        <f>IF(onbekend_gas_kWh="---",0,onbekend_gas_kWh)/1000+IF(REST_rest_gas_kWh="---",0,REST_rest_gas_kWh)/1000</f>
        <v>4887.00642595319</v>
      </c>
      <c r="F25" s="975"/>
      <c r="G25" s="975"/>
      <c r="H25" s="975"/>
      <c r="I25" s="975"/>
      <c r="J25" s="975"/>
      <c r="K25" s="975"/>
      <c r="L25" s="975"/>
      <c r="M25" s="975"/>
      <c r="N25" s="975"/>
      <c r="O25" s="975"/>
      <c r="P25" s="975"/>
      <c r="Q25" s="976"/>
      <c r="R25" s="666">
        <f>SUM(C25:Q25)</f>
        <v>6414.9606799496505</v>
      </c>
      <c r="S25" s="67"/>
    </row>
    <row r="26" spans="1:19" s="439" customFormat="1" ht="15.75" thickBot="1">
      <c r="A26" s="671" t="s">
        <v>803</v>
      </c>
      <c r="B26" s="783"/>
      <c r="C26" s="778">
        <f>SUM(C24:C25)</f>
        <v>2615.8896041791386</v>
      </c>
      <c r="D26" s="778">
        <f t="shared" ref="D26:R26" si="2">SUM(D24:D25)</f>
        <v>0</v>
      </c>
      <c r="E26" s="778">
        <f t="shared" si="2"/>
        <v>5038.516308910449</v>
      </c>
      <c r="F26" s="778">
        <f t="shared" si="2"/>
        <v>31.977742879966872</v>
      </c>
      <c r="G26" s="778">
        <f t="shared" si="2"/>
        <v>4532.2798799204083</v>
      </c>
      <c r="H26" s="778">
        <f t="shared" si="2"/>
        <v>0</v>
      </c>
      <c r="I26" s="778">
        <f t="shared" si="2"/>
        <v>0</v>
      </c>
      <c r="J26" s="778">
        <f t="shared" si="2"/>
        <v>0</v>
      </c>
      <c r="K26" s="778">
        <f t="shared" si="2"/>
        <v>157.61846856238353</v>
      </c>
      <c r="L26" s="778">
        <f t="shared" si="2"/>
        <v>0</v>
      </c>
      <c r="M26" s="778">
        <f t="shared" si="2"/>
        <v>0</v>
      </c>
      <c r="N26" s="778">
        <f t="shared" si="2"/>
        <v>0</v>
      </c>
      <c r="O26" s="778">
        <f t="shared" si="2"/>
        <v>0</v>
      </c>
      <c r="P26" s="778">
        <f t="shared" si="2"/>
        <v>0</v>
      </c>
      <c r="Q26" s="778">
        <f t="shared" si="2"/>
        <v>0</v>
      </c>
      <c r="R26" s="778">
        <f t="shared" si="2"/>
        <v>12376.282004452347</v>
      </c>
      <c r="S26" s="67"/>
    </row>
    <row r="27" spans="1:19" s="439" customFormat="1" ht="17.25" thickTop="1" thickBot="1">
      <c r="A27" s="672" t="s">
        <v>109</v>
      </c>
      <c r="B27" s="771"/>
      <c r="C27" s="673">
        <f ca="1">C22+C16+C26</f>
        <v>126663.95711897092</v>
      </c>
      <c r="D27" s="673">
        <f t="shared" ref="D27:R27" ca="1" si="3">D22+D16+D26</f>
        <v>1928.5714285714287</v>
      </c>
      <c r="E27" s="673">
        <f t="shared" ca="1" si="3"/>
        <v>137030.21907368378</v>
      </c>
      <c r="F27" s="673">
        <f t="shared" si="3"/>
        <v>9427.524147251308</v>
      </c>
      <c r="G27" s="673">
        <f t="shared" ca="1" si="3"/>
        <v>108534.41650821033</v>
      </c>
      <c r="H27" s="673">
        <f t="shared" si="3"/>
        <v>100006.4708902423</v>
      </c>
      <c r="I27" s="673">
        <f t="shared" si="3"/>
        <v>22194.473519745712</v>
      </c>
      <c r="J27" s="673">
        <f t="shared" si="3"/>
        <v>0</v>
      </c>
      <c r="K27" s="673">
        <f t="shared" si="3"/>
        <v>583.11411523116169</v>
      </c>
      <c r="L27" s="673">
        <f t="shared" si="3"/>
        <v>0</v>
      </c>
      <c r="M27" s="673">
        <f t="shared" ca="1" si="3"/>
        <v>0</v>
      </c>
      <c r="N27" s="673">
        <f t="shared" si="3"/>
        <v>6494.581836289025</v>
      </c>
      <c r="O27" s="673">
        <f t="shared" ca="1" si="3"/>
        <v>21779.948378427714</v>
      </c>
      <c r="P27" s="673">
        <f t="shared" si="3"/>
        <v>536.22333333333347</v>
      </c>
      <c r="Q27" s="673">
        <f t="shared" si="3"/>
        <v>1868.5333333333335</v>
      </c>
      <c r="R27" s="673">
        <f t="shared" ca="1" si="3"/>
        <v>537048.03368329036</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8620.7144231982984</v>
      </c>
      <c r="D40" s="971">
        <f ca="1">tertiair!C20</f>
        <v>458.31932773109253</v>
      </c>
      <c r="E40" s="971">
        <f ca="1">tertiair!D20</f>
        <v>7813.5666318427502</v>
      </c>
      <c r="F40" s="971">
        <f>tertiair!E20</f>
        <v>138.41388609334717</v>
      </c>
      <c r="G40" s="971">
        <f ca="1">tertiair!F20</f>
        <v>1750.2081340151681</v>
      </c>
      <c r="H40" s="971">
        <f>tertiair!G20</f>
        <v>0</v>
      </c>
      <c r="I40" s="971">
        <f>tertiair!H20</f>
        <v>0</v>
      </c>
      <c r="J40" s="971">
        <f>tertiair!I20</f>
        <v>0</v>
      </c>
      <c r="K40" s="971">
        <f>tertiair!J20</f>
        <v>1.6719341065473091E-2</v>
      </c>
      <c r="L40" s="971">
        <f>tertiair!K20</f>
        <v>0</v>
      </c>
      <c r="M40" s="971">
        <f ca="1">tertiair!L20</f>
        <v>0</v>
      </c>
      <c r="N40" s="971">
        <f>tertiair!M20</f>
        <v>0</v>
      </c>
      <c r="O40" s="971">
        <f ca="1">tertiair!N20</f>
        <v>0</v>
      </c>
      <c r="P40" s="971">
        <f>tertiair!O20</f>
        <v>0</v>
      </c>
      <c r="Q40" s="740">
        <f>tertiair!P20</f>
        <v>0</v>
      </c>
      <c r="R40" s="816">
        <f t="shared" ca="1" si="4"/>
        <v>18781.239122221723</v>
      </c>
    </row>
    <row r="41" spans="1:18">
      <c r="A41" s="788" t="s">
        <v>213</v>
      </c>
      <c r="B41" s="795"/>
      <c r="C41" s="971">
        <f ca="1">huishoudens!B12</f>
        <v>10558.422152956238</v>
      </c>
      <c r="D41" s="971">
        <f ca="1">huishoudens!C12</f>
        <v>0</v>
      </c>
      <c r="E41" s="971">
        <f>huishoudens!D12</f>
        <v>17039.510128955411</v>
      </c>
      <c r="F41" s="971">
        <f>huishoudens!E12</f>
        <v>735.00705267647265</v>
      </c>
      <c r="G41" s="971">
        <f>huishoudens!F12</f>
        <v>21903.155667268198</v>
      </c>
      <c r="H41" s="971">
        <f>huishoudens!G12</f>
        <v>0</v>
      </c>
      <c r="I41" s="971">
        <f>huishoudens!H12</f>
        <v>0</v>
      </c>
      <c r="J41" s="971">
        <f>huishoudens!I12</f>
        <v>0</v>
      </c>
      <c r="K41" s="971">
        <f>huishoudens!J12</f>
        <v>139.73789069756586</v>
      </c>
      <c r="L41" s="971">
        <f>huishoudens!K12</f>
        <v>0</v>
      </c>
      <c r="M41" s="971">
        <f>huishoudens!L12</f>
        <v>0</v>
      </c>
      <c r="N41" s="971">
        <f>huishoudens!M12</f>
        <v>0</v>
      </c>
      <c r="O41" s="971">
        <f>huishoudens!N12</f>
        <v>0</v>
      </c>
      <c r="P41" s="971">
        <f>huishoudens!O12</f>
        <v>0</v>
      </c>
      <c r="Q41" s="740">
        <f>huishoudens!P12</f>
        <v>0</v>
      </c>
      <c r="R41" s="816">
        <f t="shared" ca="1" si="4"/>
        <v>50375.832892553881</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6623.1509944301242</v>
      </c>
      <c r="D43" s="971">
        <f ca="1">industrie!C22</f>
        <v>0</v>
      </c>
      <c r="E43" s="971">
        <f>industrie!D22</f>
        <v>1781.2435565319931</v>
      </c>
      <c r="F43" s="971">
        <f>industrie!E22</f>
        <v>1205.0368989951169</v>
      </c>
      <c r="G43" s="971">
        <f>industrie!F22</f>
        <v>4115.2066784700446</v>
      </c>
      <c r="H43" s="971">
        <f>industrie!G22</f>
        <v>0</v>
      </c>
      <c r="I43" s="971">
        <f>industrie!H22</f>
        <v>0</v>
      </c>
      <c r="J43" s="971">
        <f>industrie!I22</f>
        <v>0</v>
      </c>
      <c r="K43" s="971">
        <f>industrie!J22</f>
        <v>10.870848882116126</v>
      </c>
      <c r="L43" s="971">
        <f>industrie!K22</f>
        <v>0</v>
      </c>
      <c r="M43" s="971">
        <f>industrie!L22</f>
        <v>0</v>
      </c>
      <c r="N43" s="971">
        <f>industrie!M22</f>
        <v>0</v>
      </c>
      <c r="O43" s="971">
        <f>industrie!N22</f>
        <v>0</v>
      </c>
      <c r="P43" s="971">
        <f>industrie!O22</f>
        <v>0</v>
      </c>
      <c r="Q43" s="740">
        <f>industrie!P22</f>
        <v>0</v>
      </c>
      <c r="R43" s="815">
        <f t="shared" ca="1" si="4"/>
        <v>13735.508977309395</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25802.287570584664</v>
      </c>
      <c r="D46" s="698">
        <f t="shared" ref="D46:Q46" ca="1" si="5">SUM(D39:D45)</f>
        <v>458.31932773109253</v>
      </c>
      <c r="E46" s="698">
        <f t="shared" ca="1" si="5"/>
        <v>26634.320317330155</v>
      </c>
      <c r="F46" s="698">
        <f t="shared" si="5"/>
        <v>2078.4578377649368</v>
      </c>
      <c r="G46" s="698">
        <f t="shared" ca="1" si="5"/>
        <v>27768.570479753409</v>
      </c>
      <c r="H46" s="698">
        <f t="shared" si="5"/>
        <v>0</v>
      </c>
      <c r="I46" s="698">
        <f t="shared" si="5"/>
        <v>0</v>
      </c>
      <c r="J46" s="698">
        <f t="shared" si="5"/>
        <v>0</v>
      </c>
      <c r="K46" s="698">
        <f t="shared" si="5"/>
        <v>150.62545892074746</v>
      </c>
      <c r="L46" s="698">
        <f t="shared" si="5"/>
        <v>0</v>
      </c>
      <c r="M46" s="698">
        <f t="shared" ca="1" si="5"/>
        <v>0</v>
      </c>
      <c r="N46" s="698">
        <f t="shared" si="5"/>
        <v>0</v>
      </c>
      <c r="O46" s="698">
        <f t="shared" ca="1" si="5"/>
        <v>0</v>
      </c>
      <c r="P46" s="698">
        <f t="shared" si="5"/>
        <v>0</v>
      </c>
      <c r="Q46" s="698">
        <f t="shared" si="5"/>
        <v>0</v>
      </c>
      <c r="R46" s="698">
        <f ca="1">SUM(R39:R45)</f>
        <v>82892.580992085001</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4.6356857449052606</v>
      </c>
      <c r="D49" s="971">
        <f ca="1">transport!C58</f>
        <v>0</v>
      </c>
      <c r="E49" s="971">
        <f>transport!D58</f>
        <v>0</v>
      </c>
      <c r="F49" s="971">
        <f>transport!E58</f>
        <v>0</v>
      </c>
      <c r="G49" s="971">
        <f>transport!F58</f>
        <v>0</v>
      </c>
      <c r="H49" s="971">
        <f>transport!G58</f>
        <v>558.55540457920949</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563.19109032411473</v>
      </c>
    </row>
    <row r="50" spans="1:18">
      <c r="A50" s="791" t="s">
        <v>295</v>
      </c>
      <c r="B50" s="801"/>
      <c r="C50" s="669">
        <f ca="1">transport!B18</f>
        <v>15.67220948484875</v>
      </c>
      <c r="D50" s="669">
        <f>transport!C18</f>
        <v>0</v>
      </c>
      <c r="E50" s="669">
        <f>transport!D18</f>
        <v>28.00364115405629</v>
      </c>
      <c r="F50" s="669">
        <f>transport!E18</f>
        <v>54.331196027358047</v>
      </c>
      <c r="G50" s="669">
        <f>transport!F18</f>
        <v>0</v>
      </c>
      <c r="H50" s="669">
        <f>transport!G18</f>
        <v>26143.172323115487</v>
      </c>
      <c r="I50" s="669">
        <f>transport!H18</f>
        <v>5526.4239064166823</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31767.603276198432</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20.30789522975401</v>
      </c>
      <c r="D52" s="698">
        <f t="shared" ref="D52:Q52" ca="1" si="6">SUM(D48:D51)</f>
        <v>0</v>
      </c>
      <c r="E52" s="698">
        <f t="shared" si="6"/>
        <v>28.00364115405629</v>
      </c>
      <c r="F52" s="698">
        <f t="shared" si="6"/>
        <v>54.331196027358047</v>
      </c>
      <c r="G52" s="698">
        <f t="shared" si="6"/>
        <v>0</v>
      </c>
      <c r="H52" s="698">
        <f t="shared" si="6"/>
        <v>26701.727727694695</v>
      </c>
      <c r="I52" s="698">
        <f t="shared" si="6"/>
        <v>5526.4239064166823</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32330.794366522547</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226.471197847371</v>
      </c>
      <c r="D54" s="669">
        <f ca="1">+landbouw!C12</f>
        <v>0</v>
      </c>
      <c r="E54" s="669">
        <f>+landbouw!D12</f>
        <v>30.604996357366293</v>
      </c>
      <c r="F54" s="669">
        <f>+landbouw!E12</f>
        <v>7.2589476337524799</v>
      </c>
      <c r="G54" s="669">
        <f>+landbouw!F12</f>
        <v>1210.1187279387491</v>
      </c>
      <c r="H54" s="669">
        <f>+landbouw!G12</f>
        <v>0</v>
      </c>
      <c r="I54" s="669">
        <f>+landbouw!H12</f>
        <v>0</v>
      </c>
      <c r="J54" s="669">
        <f>+landbouw!I12</f>
        <v>0</v>
      </c>
      <c r="K54" s="669">
        <f>+landbouw!J12</f>
        <v>55.796937871083763</v>
      </c>
      <c r="L54" s="669">
        <f>+landbouw!K12</f>
        <v>0</v>
      </c>
      <c r="M54" s="669">
        <f>+landbouw!L12</f>
        <v>0</v>
      </c>
      <c r="N54" s="669">
        <f>+landbouw!M12</f>
        <v>0</v>
      </c>
      <c r="O54" s="669">
        <f>+landbouw!N12</f>
        <v>0</v>
      </c>
      <c r="P54" s="669">
        <f>+landbouw!O12</f>
        <v>0</v>
      </c>
      <c r="Q54" s="670">
        <f>+landbouw!P12</f>
        <v>0</v>
      </c>
      <c r="R54" s="697">
        <f ca="1">SUM(C54:Q54)</f>
        <v>1530.2508076483227</v>
      </c>
    </row>
    <row r="55" spans="1:18" ht="15" thickBot="1">
      <c r="A55" s="791" t="s">
        <v>802</v>
      </c>
      <c r="B55" s="801"/>
      <c r="C55" s="669">
        <f ca="1">C25*'EF ele_warmte'!B12</f>
        <v>318.06819228776811</v>
      </c>
      <c r="D55" s="669"/>
      <c r="E55" s="669">
        <f>E25*EF_CO2_aardgas</f>
        <v>987.17529804254445</v>
      </c>
      <c r="F55" s="669"/>
      <c r="G55" s="669"/>
      <c r="H55" s="669"/>
      <c r="I55" s="669"/>
      <c r="J55" s="669"/>
      <c r="K55" s="669"/>
      <c r="L55" s="669"/>
      <c r="M55" s="669"/>
      <c r="N55" s="669"/>
      <c r="O55" s="669"/>
      <c r="P55" s="669"/>
      <c r="Q55" s="670"/>
      <c r="R55" s="697">
        <f ca="1">SUM(C55:Q55)</f>
        <v>1305.2434903303126</v>
      </c>
    </row>
    <row r="56" spans="1:18" ht="15.75" thickBot="1">
      <c r="A56" s="789" t="s">
        <v>803</v>
      </c>
      <c r="B56" s="802"/>
      <c r="C56" s="698">
        <f ca="1">SUM(C54:C55)</f>
        <v>544.53939013513912</v>
      </c>
      <c r="D56" s="698">
        <f t="shared" ref="D56:Q56" ca="1" si="7">SUM(D54:D55)</f>
        <v>0</v>
      </c>
      <c r="E56" s="698">
        <f t="shared" si="7"/>
        <v>1017.7802943999108</v>
      </c>
      <c r="F56" s="698">
        <f t="shared" si="7"/>
        <v>7.2589476337524799</v>
      </c>
      <c r="G56" s="698">
        <f t="shared" si="7"/>
        <v>1210.1187279387491</v>
      </c>
      <c r="H56" s="698">
        <f t="shared" si="7"/>
        <v>0</v>
      </c>
      <c r="I56" s="698">
        <f t="shared" si="7"/>
        <v>0</v>
      </c>
      <c r="J56" s="698">
        <f t="shared" si="7"/>
        <v>0</v>
      </c>
      <c r="K56" s="698">
        <f t="shared" si="7"/>
        <v>55.796937871083763</v>
      </c>
      <c r="L56" s="698">
        <f t="shared" si="7"/>
        <v>0</v>
      </c>
      <c r="M56" s="698">
        <f t="shared" si="7"/>
        <v>0</v>
      </c>
      <c r="N56" s="698">
        <f t="shared" si="7"/>
        <v>0</v>
      </c>
      <c r="O56" s="698">
        <f t="shared" si="7"/>
        <v>0</v>
      </c>
      <c r="P56" s="698">
        <f t="shared" si="7"/>
        <v>0</v>
      </c>
      <c r="Q56" s="699">
        <f t="shared" si="7"/>
        <v>0</v>
      </c>
      <c r="R56" s="700">
        <f ca="1">SUM(R54:R55)</f>
        <v>2835.4942979786356</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26367.134855949556</v>
      </c>
      <c r="D61" s="706">
        <f t="shared" ref="D61:Q61" ca="1" si="8">D46+D52+D56</f>
        <v>458.31932773109253</v>
      </c>
      <c r="E61" s="706">
        <f t="shared" ca="1" si="8"/>
        <v>27680.104252884124</v>
      </c>
      <c r="F61" s="706">
        <f t="shared" si="8"/>
        <v>2140.0479814260475</v>
      </c>
      <c r="G61" s="706">
        <f t="shared" ca="1" si="8"/>
        <v>28978.689207692158</v>
      </c>
      <c r="H61" s="706">
        <f t="shared" si="8"/>
        <v>26701.727727694695</v>
      </c>
      <c r="I61" s="706">
        <f t="shared" si="8"/>
        <v>5526.4239064166823</v>
      </c>
      <c r="J61" s="706">
        <f t="shared" si="8"/>
        <v>0</v>
      </c>
      <c r="K61" s="706">
        <f t="shared" si="8"/>
        <v>206.42239679183123</v>
      </c>
      <c r="L61" s="706">
        <f t="shared" si="8"/>
        <v>0</v>
      </c>
      <c r="M61" s="706">
        <f t="shared" ca="1" si="8"/>
        <v>0</v>
      </c>
      <c r="N61" s="706">
        <f t="shared" si="8"/>
        <v>0</v>
      </c>
      <c r="O61" s="706">
        <f t="shared" ca="1" si="8"/>
        <v>0</v>
      </c>
      <c r="P61" s="706">
        <f t="shared" si="8"/>
        <v>0</v>
      </c>
      <c r="Q61" s="706">
        <f t="shared" si="8"/>
        <v>0</v>
      </c>
      <c r="R61" s="706">
        <f ca="1">R46+R52+R56</f>
        <v>118058.86965658618</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0.20816604388242702</v>
      </c>
      <c r="D63" s="747">
        <f t="shared" ca="1" si="9"/>
        <v>0.23764705882352943</v>
      </c>
      <c r="E63" s="982">
        <f t="shared" ca="1" si="9"/>
        <v>0.20200000000000001</v>
      </c>
      <c r="F63" s="747">
        <f t="shared" si="9"/>
        <v>0.22700000000000006</v>
      </c>
      <c r="G63" s="747">
        <f t="shared" ca="1" si="9"/>
        <v>0.26700000000000002</v>
      </c>
      <c r="H63" s="747">
        <f t="shared" si="9"/>
        <v>0.26700000000000002</v>
      </c>
      <c r="I63" s="747">
        <f t="shared" si="9"/>
        <v>0.249</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8.7953100204778156</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7448.5494716753947</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1350</v>
      </c>
      <c r="D76" s="992">
        <f>'lokale energieproductie'!C8</f>
        <v>1588.2352941176473</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320.82352941176475</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7457.3447816958724</v>
      </c>
      <c r="C78" s="721">
        <f>SUM(C72:C77)</f>
        <v>1350</v>
      </c>
      <c r="D78" s="722">
        <f t="shared" ref="D78:H78" si="10">SUM(D76:D77)</f>
        <v>1588.2352941176473</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320.82352941176475</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1928.5714285714287</v>
      </c>
      <c r="D87" s="743">
        <f>'lokale energieproductie'!C17</f>
        <v>2268.9075630252105</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458.31932773109253</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1928.5714285714287</v>
      </c>
      <c r="D90" s="721">
        <f t="shared" ref="D90:H90" si="12">SUM(D87:D89)</f>
        <v>2268.9075630252105</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458.31932773109253</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50721.154882107847</v>
      </c>
      <c r="C4" s="443">
        <f>huishoudens!C8</f>
        <v>0</v>
      </c>
      <c r="D4" s="443">
        <f>huishoudens!D8</f>
        <v>84354.01053938322</v>
      </c>
      <c r="E4" s="443">
        <f>huishoudens!E8</f>
        <v>3237.9165316144167</v>
      </c>
      <c r="F4" s="443">
        <f>huishoudens!F8</f>
        <v>82034.29088864493</v>
      </c>
      <c r="G4" s="443">
        <f>huishoudens!G8</f>
        <v>0</v>
      </c>
      <c r="H4" s="443">
        <f>huishoudens!H8</f>
        <v>0</v>
      </c>
      <c r="I4" s="443">
        <f>huishoudens!I8</f>
        <v>0</v>
      </c>
      <c r="J4" s="443">
        <f>huishoudens!J8</f>
        <v>394.73980423041206</v>
      </c>
      <c r="K4" s="443">
        <f>huishoudens!K8</f>
        <v>0</v>
      </c>
      <c r="L4" s="443">
        <f>huishoudens!L8</f>
        <v>0</v>
      </c>
      <c r="M4" s="443">
        <f>huishoudens!M8</f>
        <v>0</v>
      </c>
      <c r="N4" s="443">
        <f>huishoudens!N8</f>
        <v>17252.939141353017</v>
      </c>
      <c r="O4" s="443">
        <f>huishoudens!O8</f>
        <v>534.66000000000008</v>
      </c>
      <c r="P4" s="444">
        <f>huishoudens!P8</f>
        <v>1811.3333333333335</v>
      </c>
      <c r="Q4" s="445">
        <f>SUM(B4:P4)</f>
        <v>240341.04512066717</v>
      </c>
    </row>
    <row r="5" spans="1:17">
      <c r="A5" s="442" t="s">
        <v>149</v>
      </c>
      <c r="B5" s="443">
        <f ca="1">tertiair!B16</f>
        <v>39576.31617549096</v>
      </c>
      <c r="C5" s="443">
        <f ca="1">tertiair!C16</f>
        <v>1928.5714285714287</v>
      </c>
      <c r="D5" s="443">
        <f ca="1">tertiair!D16</f>
        <v>38681.022929914601</v>
      </c>
      <c r="E5" s="443">
        <f>tertiair!E16</f>
        <v>609.75280217333557</v>
      </c>
      <c r="F5" s="443">
        <f ca="1">tertiair!F16</f>
        <v>6555.0866442515653</v>
      </c>
      <c r="G5" s="443">
        <f>tertiair!G16</f>
        <v>0</v>
      </c>
      <c r="H5" s="443">
        <f>tertiair!H16</f>
        <v>0</v>
      </c>
      <c r="I5" s="443">
        <f>tertiair!I16</f>
        <v>0</v>
      </c>
      <c r="J5" s="443">
        <f>tertiair!J16</f>
        <v>4.7229777021110433E-2</v>
      </c>
      <c r="K5" s="443">
        <f>tertiair!K16</f>
        <v>0</v>
      </c>
      <c r="L5" s="443">
        <f ca="1">tertiair!L16</f>
        <v>0</v>
      </c>
      <c r="M5" s="443">
        <f>tertiair!M16</f>
        <v>0</v>
      </c>
      <c r="N5" s="443">
        <f ca="1">tertiair!N16</f>
        <v>2056.3175339154195</v>
      </c>
      <c r="O5" s="443">
        <f>tertiair!O16</f>
        <v>1.5633333333333335</v>
      </c>
      <c r="P5" s="444">
        <f>tertiair!P16</f>
        <v>57.2</v>
      </c>
      <c r="Q5" s="442">
        <f t="shared" ref="Q5:Q14" ca="1" si="0">SUM(B5:P5)</f>
        <v>89465.878077427667</v>
      </c>
    </row>
    <row r="6" spans="1:17">
      <c r="A6" s="442" t="s">
        <v>187</v>
      </c>
      <c r="B6" s="443">
        <f>'openbare verlichting'!B8</f>
        <v>1836.367</v>
      </c>
      <c r="C6" s="443"/>
      <c r="D6" s="443"/>
      <c r="E6" s="443"/>
      <c r="F6" s="443"/>
      <c r="G6" s="443"/>
      <c r="H6" s="443"/>
      <c r="I6" s="443"/>
      <c r="J6" s="443"/>
      <c r="K6" s="443"/>
      <c r="L6" s="443"/>
      <c r="M6" s="443"/>
      <c r="N6" s="443"/>
      <c r="O6" s="443"/>
      <c r="P6" s="444"/>
      <c r="Q6" s="442">
        <f t="shared" si="0"/>
        <v>1836.367</v>
      </c>
    </row>
    <row r="7" spans="1:17">
      <c r="A7" s="442" t="s">
        <v>105</v>
      </c>
      <c r="B7" s="443">
        <f>landbouw!B8</f>
        <v>1087.9353501826783</v>
      </c>
      <c r="C7" s="443">
        <f>landbouw!C8</f>
        <v>0</v>
      </c>
      <c r="D7" s="443">
        <f>landbouw!D8</f>
        <v>151.50988295725887</v>
      </c>
      <c r="E7" s="443">
        <f>landbouw!E8</f>
        <v>31.977742879966872</v>
      </c>
      <c r="F7" s="443">
        <f>landbouw!F8</f>
        <v>4532.2798799204083</v>
      </c>
      <c r="G7" s="443">
        <f>landbouw!G8</f>
        <v>0</v>
      </c>
      <c r="H7" s="443">
        <f>landbouw!H8</f>
        <v>0</v>
      </c>
      <c r="I7" s="443">
        <f>landbouw!I8</f>
        <v>0</v>
      </c>
      <c r="J7" s="443">
        <f>landbouw!J8</f>
        <v>157.61846856238353</v>
      </c>
      <c r="K7" s="443">
        <f>landbouw!K8</f>
        <v>0</v>
      </c>
      <c r="L7" s="443">
        <f>landbouw!L8</f>
        <v>0</v>
      </c>
      <c r="M7" s="443">
        <f>landbouw!M8</f>
        <v>0</v>
      </c>
      <c r="N7" s="443">
        <f>landbouw!N8</f>
        <v>0</v>
      </c>
      <c r="O7" s="443">
        <f>landbouw!O8</f>
        <v>0</v>
      </c>
      <c r="P7" s="444">
        <f>landbouw!P8</f>
        <v>0</v>
      </c>
      <c r="Q7" s="442">
        <f t="shared" si="0"/>
        <v>5961.3213245026964</v>
      </c>
    </row>
    <row r="8" spans="1:17">
      <c r="A8" s="442" t="s">
        <v>621</v>
      </c>
      <c r="B8" s="443">
        <f>industrie!B18</f>
        <v>31816.673223472058</v>
      </c>
      <c r="C8" s="443">
        <f>industrie!C18</f>
        <v>0</v>
      </c>
      <c r="D8" s="443">
        <f>industrie!D18</f>
        <v>8818.0374085742224</v>
      </c>
      <c r="E8" s="443">
        <f>industrie!E18</f>
        <v>5308.5325946921448</v>
      </c>
      <c r="F8" s="443">
        <f>industrie!F18</f>
        <v>15412.759095393425</v>
      </c>
      <c r="G8" s="443">
        <f>industrie!G18</f>
        <v>0</v>
      </c>
      <c r="H8" s="443">
        <f>industrie!H18</f>
        <v>0</v>
      </c>
      <c r="I8" s="443">
        <f>industrie!I18</f>
        <v>0</v>
      </c>
      <c r="J8" s="443">
        <f>industrie!J18</f>
        <v>30.70861266134499</v>
      </c>
      <c r="K8" s="443">
        <f>industrie!K18</f>
        <v>0</v>
      </c>
      <c r="L8" s="443">
        <f>industrie!L18</f>
        <v>0</v>
      </c>
      <c r="M8" s="443">
        <f>industrie!M18</f>
        <v>0</v>
      </c>
      <c r="N8" s="443">
        <f>industrie!N18</f>
        <v>2470.6917031592775</v>
      </c>
      <c r="O8" s="443">
        <f>industrie!O18</f>
        <v>0</v>
      </c>
      <c r="P8" s="444">
        <f>industrie!P18</f>
        <v>0</v>
      </c>
      <c r="Q8" s="442">
        <f t="shared" si="0"/>
        <v>63857.402637952466</v>
      </c>
    </row>
    <row r="9" spans="1:17" s="448" customFormat="1">
      <c r="A9" s="446" t="s">
        <v>547</v>
      </c>
      <c r="B9" s="447">
        <f>transport!B14</f>
        <v>75.287060235916655</v>
      </c>
      <c r="C9" s="447">
        <f>transport!C14</f>
        <v>0</v>
      </c>
      <c r="D9" s="447">
        <f>transport!D14</f>
        <v>138.63188690126876</v>
      </c>
      <c r="E9" s="447">
        <f>transport!E14</f>
        <v>239.34447589144514</v>
      </c>
      <c r="F9" s="447">
        <f>transport!F14</f>
        <v>0</v>
      </c>
      <c r="G9" s="447">
        <f>transport!G14</f>
        <v>97914.503082829528</v>
      </c>
      <c r="H9" s="447">
        <f>transport!H14</f>
        <v>22194.473519745712</v>
      </c>
      <c r="I9" s="447">
        <f>transport!I14</f>
        <v>0</v>
      </c>
      <c r="J9" s="447">
        <f>transport!J14</f>
        <v>0</v>
      </c>
      <c r="K9" s="447">
        <f>transport!K14</f>
        <v>0</v>
      </c>
      <c r="L9" s="447">
        <f>transport!L14</f>
        <v>0</v>
      </c>
      <c r="M9" s="447">
        <f>transport!M14</f>
        <v>6374.1116914269915</v>
      </c>
      <c r="N9" s="447">
        <f>transport!N14</f>
        <v>0</v>
      </c>
      <c r="O9" s="447">
        <f>transport!O14</f>
        <v>0</v>
      </c>
      <c r="P9" s="447">
        <f>transport!P14</f>
        <v>0</v>
      </c>
      <c r="Q9" s="446">
        <f>SUM(B9:P9)</f>
        <v>126936.35171703088</v>
      </c>
    </row>
    <row r="10" spans="1:17">
      <c r="A10" s="442" t="s">
        <v>537</v>
      </c>
      <c r="B10" s="443">
        <f>transport!B54</f>
        <v>22.269173485006586</v>
      </c>
      <c r="C10" s="443">
        <f>transport!C54</f>
        <v>0</v>
      </c>
      <c r="D10" s="443">
        <f>transport!D54</f>
        <v>0</v>
      </c>
      <c r="E10" s="443">
        <f>transport!E54</f>
        <v>0</v>
      </c>
      <c r="F10" s="443">
        <f>transport!F54</f>
        <v>0</v>
      </c>
      <c r="G10" s="443">
        <f>transport!G54</f>
        <v>2091.9678074127696</v>
      </c>
      <c r="H10" s="443">
        <f>transport!H54</f>
        <v>0</v>
      </c>
      <c r="I10" s="443">
        <f>transport!I54</f>
        <v>0</v>
      </c>
      <c r="J10" s="443">
        <f>transport!J54</f>
        <v>0</v>
      </c>
      <c r="K10" s="443">
        <f>transport!K54</f>
        <v>0</v>
      </c>
      <c r="L10" s="443">
        <f>transport!L54</f>
        <v>0</v>
      </c>
      <c r="M10" s="443">
        <f>transport!M54</f>
        <v>120.47014486203382</v>
      </c>
      <c r="N10" s="443">
        <f>transport!N54</f>
        <v>0</v>
      </c>
      <c r="O10" s="443">
        <f>transport!O54</f>
        <v>0</v>
      </c>
      <c r="P10" s="444">
        <f>transport!P54</f>
        <v>0</v>
      </c>
      <c r="Q10" s="442">
        <f t="shared" si="0"/>
        <v>2234.70712575981</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1527.95425399646</v>
      </c>
      <c r="C14" s="450"/>
      <c r="D14" s="450">
        <f>'SEAP template'!E25</f>
        <v>4887.00642595319</v>
      </c>
      <c r="E14" s="450"/>
      <c r="F14" s="450"/>
      <c r="G14" s="450"/>
      <c r="H14" s="450"/>
      <c r="I14" s="450"/>
      <c r="J14" s="450"/>
      <c r="K14" s="450"/>
      <c r="L14" s="450"/>
      <c r="M14" s="450"/>
      <c r="N14" s="450"/>
      <c r="O14" s="450"/>
      <c r="P14" s="451"/>
      <c r="Q14" s="442">
        <f t="shared" si="0"/>
        <v>6414.9606799496505</v>
      </c>
    </row>
    <row r="15" spans="1:17" s="452" customFormat="1">
      <c r="A15" s="997" t="s">
        <v>541</v>
      </c>
      <c r="B15" s="945">
        <f ca="1">SUM(B4:B14)</f>
        <v>126663.95711897092</v>
      </c>
      <c r="C15" s="945">
        <f t="shared" ref="C15:Q15" ca="1" si="1">SUM(C4:C14)</f>
        <v>1928.5714285714287</v>
      </c>
      <c r="D15" s="945">
        <f t="shared" ca="1" si="1"/>
        <v>137030.21907368375</v>
      </c>
      <c r="E15" s="945">
        <f t="shared" si="1"/>
        <v>9427.524147251308</v>
      </c>
      <c r="F15" s="945">
        <f t="shared" ca="1" si="1"/>
        <v>108534.41650821033</v>
      </c>
      <c r="G15" s="945">
        <f t="shared" si="1"/>
        <v>100006.4708902423</v>
      </c>
      <c r="H15" s="945">
        <f t="shared" si="1"/>
        <v>22194.473519745712</v>
      </c>
      <c r="I15" s="945">
        <f t="shared" si="1"/>
        <v>0</v>
      </c>
      <c r="J15" s="945">
        <f t="shared" si="1"/>
        <v>583.11411523116169</v>
      </c>
      <c r="K15" s="945">
        <f t="shared" si="1"/>
        <v>0</v>
      </c>
      <c r="L15" s="945">
        <f t="shared" ca="1" si="1"/>
        <v>0</v>
      </c>
      <c r="M15" s="945">
        <f t="shared" si="1"/>
        <v>6494.581836289025</v>
      </c>
      <c r="N15" s="945">
        <f t="shared" ca="1" si="1"/>
        <v>21779.948378427714</v>
      </c>
      <c r="O15" s="945">
        <f t="shared" si="1"/>
        <v>536.22333333333347</v>
      </c>
      <c r="P15" s="945">
        <f t="shared" si="1"/>
        <v>1868.5333333333335</v>
      </c>
      <c r="Q15" s="945">
        <f t="shared" ca="1" si="1"/>
        <v>537048.03368329036</v>
      </c>
    </row>
    <row r="17" spans="1:17">
      <c r="A17" s="453" t="s">
        <v>542</v>
      </c>
      <c r="B17" s="752">
        <f ca="1">huishoudens!B10</f>
        <v>0.20816604388242699</v>
      </c>
      <c r="C17" s="752">
        <f ca="1">huishoudens!C10</f>
        <v>0.23764705882352943</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10558.422152956238</v>
      </c>
      <c r="C22" s="443">
        <f t="shared" ref="C22:C32" ca="1" si="3">C4*$C$17</f>
        <v>0</v>
      </c>
      <c r="D22" s="443">
        <f t="shared" ref="D22:D32" si="4">D4*$D$17</f>
        <v>17039.510128955411</v>
      </c>
      <c r="E22" s="443">
        <f t="shared" ref="E22:E32" si="5">E4*$E$17</f>
        <v>735.00705267647265</v>
      </c>
      <c r="F22" s="443">
        <f t="shared" ref="F22:F32" si="6">F4*$F$17</f>
        <v>21903.155667268198</v>
      </c>
      <c r="G22" s="443">
        <f t="shared" ref="G22:G32" si="7">G4*$G$17</f>
        <v>0</v>
      </c>
      <c r="H22" s="443">
        <f t="shared" ref="H22:H32" si="8">H4*$H$17</f>
        <v>0</v>
      </c>
      <c r="I22" s="443">
        <f t="shared" ref="I22:I32" si="9">I4*$I$17</f>
        <v>0</v>
      </c>
      <c r="J22" s="443">
        <f t="shared" ref="J22:J32" si="10">J4*$J$17</f>
        <v>139.73789069756586</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50375.832892553881</v>
      </c>
    </row>
    <row r="23" spans="1:17">
      <c r="A23" s="442" t="s">
        <v>149</v>
      </c>
      <c r="B23" s="443">
        <f t="shared" ca="1" si="2"/>
        <v>8238.4451696920569</v>
      </c>
      <c r="C23" s="443">
        <f t="shared" ca="1" si="3"/>
        <v>458.31932773109253</v>
      </c>
      <c r="D23" s="443">
        <f t="shared" ca="1" si="4"/>
        <v>7813.5666318427502</v>
      </c>
      <c r="E23" s="443">
        <f t="shared" si="5"/>
        <v>138.41388609334717</v>
      </c>
      <c r="F23" s="443">
        <f t="shared" ca="1" si="6"/>
        <v>1750.2081340151681</v>
      </c>
      <c r="G23" s="443">
        <f t="shared" si="7"/>
        <v>0</v>
      </c>
      <c r="H23" s="443">
        <f t="shared" si="8"/>
        <v>0</v>
      </c>
      <c r="I23" s="443">
        <f t="shared" si="9"/>
        <v>0</v>
      </c>
      <c r="J23" s="443">
        <f t="shared" si="10"/>
        <v>1.6719341065473091E-2</v>
      </c>
      <c r="K23" s="443">
        <f t="shared" si="11"/>
        <v>0</v>
      </c>
      <c r="L23" s="443">
        <f t="shared" ca="1" si="12"/>
        <v>0</v>
      </c>
      <c r="M23" s="443">
        <f t="shared" si="13"/>
        <v>0</v>
      </c>
      <c r="N23" s="443">
        <f t="shared" ca="1" si="14"/>
        <v>0</v>
      </c>
      <c r="O23" s="443">
        <f t="shared" si="15"/>
        <v>0</v>
      </c>
      <c r="P23" s="444">
        <f t="shared" si="16"/>
        <v>0</v>
      </c>
      <c r="Q23" s="442">
        <f t="shared" ref="Q23:Q32" ca="1" si="17">SUM(B23:P23)</f>
        <v>18398.969868715478</v>
      </c>
    </row>
    <row r="24" spans="1:17">
      <c r="A24" s="442" t="s">
        <v>187</v>
      </c>
      <c r="B24" s="443">
        <f t="shared" ca="1" si="2"/>
        <v>382.26925350624077</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382.26925350624077</v>
      </c>
    </row>
    <row r="25" spans="1:17">
      <c r="A25" s="442" t="s">
        <v>105</v>
      </c>
      <c r="B25" s="443">
        <f t="shared" ca="1" si="2"/>
        <v>226.471197847371</v>
      </c>
      <c r="C25" s="443">
        <f t="shared" ca="1" si="3"/>
        <v>0</v>
      </c>
      <c r="D25" s="443">
        <f t="shared" si="4"/>
        <v>30.604996357366293</v>
      </c>
      <c r="E25" s="443">
        <f t="shared" si="5"/>
        <v>7.2589476337524799</v>
      </c>
      <c r="F25" s="443">
        <f t="shared" si="6"/>
        <v>1210.1187279387491</v>
      </c>
      <c r="G25" s="443">
        <f t="shared" si="7"/>
        <v>0</v>
      </c>
      <c r="H25" s="443">
        <f t="shared" si="8"/>
        <v>0</v>
      </c>
      <c r="I25" s="443">
        <f t="shared" si="9"/>
        <v>0</v>
      </c>
      <c r="J25" s="443">
        <f t="shared" si="10"/>
        <v>55.796937871083763</v>
      </c>
      <c r="K25" s="443">
        <f t="shared" si="11"/>
        <v>0</v>
      </c>
      <c r="L25" s="443">
        <f t="shared" si="12"/>
        <v>0</v>
      </c>
      <c r="M25" s="443">
        <f t="shared" si="13"/>
        <v>0</v>
      </c>
      <c r="N25" s="443">
        <f t="shared" si="14"/>
        <v>0</v>
      </c>
      <c r="O25" s="443">
        <f t="shared" si="15"/>
        <v>0</v>
      </c>
      <c r="P25" s="444">
        <f t="shared" si="16"/>
        <v>0</v>
      </c>
      <c r="Q25" s="442">
        <f t="shared" ca="1" si="17"/>
        <v>1530.2508076483227</v>
      </c>
    </row>
    <row r="26" spans="1:17">
      <c r="A26" s="442" t="s">
        <v>621</v>
      </c>
      <c r="B26" s="443">
        <f t="shared" ca="1" si="2"/>
        <v>6623.1509944301242</v>
      </c>
      <c r="C26" s="443">
        <f t="shared" ca="1" si="3"/>
        <v>0</v>
      </c>
      <c r="D26" s="443">
        <f t="shared" si="4"/>
        <v>1781.2435565319931</v>
      </c>
      <c r="E26" s="443">
        <f t="shared" si="5"/>
        <v>1205.0368989951169</v>
      </c>
      <c r="F26" s="443">
        <f t="shared" si="6"/>
        <v>4115.2066784700446</v>
      </c>
      <c r="G26" s="443">
        <f t="shared" si="7"/>
        <v>0</v>
      </c>
      <c r="H26" s="443">
        <f t="shared" si="8"/>
        <v>0</v>
      </c>
      <c r="I26" s="443">
        <f t="shared" si="9"/>
        <v>0</v>
      </c>
      <c r="J26" s="443">
        <f t="shared" si="10"/>
        <v>10.870848882116126</v>
      </c>
      <c r="K26" s="443">
        <f t="shared" si="11"/>
        <v>0</v>
      </c>
      <c r="L26" s="443">
        <f t="shared" si="12"/>
        <v>0</v>
      </c>
      <c r="M26" s="443">
        <f t="shared" si="13"/>
        <v>0</v>
      </c>
      <c r="N26" s="443">
        <f t="shared" si="14"/>
        <v>0</v>
      </c>
      <c r="O26" s="443">
        <f t="shared" si="15"/>
        <v>0</v>
      </c>
      <c r="P26" s="444">
        <f t="shared" si="16"/>
        <v>0</v>
      </c>
      <c r="Q26" s="442">
        <f t="shared" ca="1" si="17"/>
        <v>13735.508977309395</v>
      </c>
    </row>
    <row r="27" spans="1:17" s="448" customFormat="1">
      <c r="A27" s="446" t="s">
        <v>547</v>
      </c>
      <c r="B27" s="746">
        <f t="shared" ca="1" si="2"/>
        <v>15.67220948484875</v>
      </c>
      <c r="C27" s="447">
        <f t="shared" ca="1" si="3"/>
        <v>0</v>
      </c>
      <c r="D27" s="447">
        <f t="shared" si="4"/>
        <v>28.00364115405629</v>
      </c>
      <c r="E27" s="447">
        <f t="shared" si="5"/>
        <v>54.331196027358047</v>
      </c>
      <c r="F27" s="447">
        <f t="shared" si="6"/>
        <v>0</v>
      </c>
      <c r="G27" s="447">
        <f t="shared" si="7"/>
        <v>26143.172323115487</v>
      </c>
      <c r="H27" s="447">
        <f t="shared" si="8"/>
        <v>5526.4239064166823</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31767.603276198432</v>
      </c>
    </row>
    <row r="28" spans="1:17">
      <c r="A28" s="442" t="s">
        <v>537</v>
      </c>
      <c r="B28" s="443">
        <f t="shared" ca="1" si="2"/>
        <v>4.6356857449052606</v>
      </c>
      <c r="C28" s="443">
        <f t="shared" ca="1" si="3"/>
        <v>0</v>
      </c>
      <c r="D28" s="443">
        <f t="shared" si="4"/>
        <v>0</v>
      </c>
      <c r="E28" s="443">
        <f t="shared" si="5"/>
        <v>0</v>
      </c>
      <c r="F28" s="443">
        <f t="shared" si="6"/>
        <v>0</v>
      </c>
      <c r="G28" s="443">
        <f t="shared" si="7"/>
        <v>558.55540457920949</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563.19109032411473</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318.06819228776811</v>
      </c>
      <c r="C32" s="443">
        <f t="shared" ca="1" si="3"/>
        <v>0</v>
      </c>
      <c r="D32" s="443">
        <f t="shared" si="4"/>
        <v>987.17529804254445</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1305.2434903303126</v>
      </c>
    </row>
    <row r="33" spans="1:17" s="452" customFormat="1">
      <c r="A33" s="997" t="s">
        <v>541</v>
      </c>
      <c r="B33" s="945">
        <f ca="1">SUM(B22:B32)</f>
        <v>26367.134855949553</v>
      </c>
      <c r="C33" s="945">
        <f t="shared" ref="C33:Q33" ca="1" si="18">SUM(C22:C32)</f>
        <v>458.31932773109253</v>
      </c>
      <c r="D33" s="945">
        <f t="shared" ca="1" si="18"/>
        <v>27680.104252884124</v>
      </c>
      <c r="E33" s="945">
        <f t="shared" si="18"/>
        <v>2140.0479814260475</v>
      </c>
      <c r="F33" s="945">
        <f t="shared" ca="1" si="18"/>
        <v>28978.689207692158</v>
      </c>
      <c r="G33" s="945">
        <f t="shared" si="18"/>
        <v>26701.727727694695</v>
      </c>
      <c r="H33" s="945">
        <f t="shared" si="18"/>
        <v>5526.4239064166823</v>
      </c>
      <c r="I33" s="945">
        <f t="shared" si="18"/>
        <v>0</v>
      </c>
      <c r="J33" s="945">
        <f t="shared" si="18"/>
        <v>206.42239679183123</v>
      </c>
      <c r="K33" s="945">
        <f t="shared" si="18"/>
        <v>0</v>
      </c>
      <c r="L33" s="945">
        <f t="shared" ca="1" si="18"/>
        <v>0</v>
      </c>
      <c r="M33" s="945">
        <f t="shared" si="18"/>
        <v>0</v>
      </c>
      <c r="N33" s="945">
        <f t="shared" ca="1" si="18"/>
        <v>0</v>
      </c>
      <c r="O33" s="945">
        <f t="shared" si="18"/>
        <v>0</v>
      </c>
      <c r="P33" s="945">
        <f t="shared" si="18"/>
        <v>0</v>
      </c>
      <c r="Q33" s="945">
        <f t="shared" ca="1" si="18"/>
        <v>118058.86965658616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8.7953100204778156</v>
      </c>
      <c r="C5" s="1014"/>
      <c r="D5" s="1014"/>
      <c r="E5" s="1014"/>
      <c r="F5" s="1014"/>
      <c r="G5" s="1014"/>
      <c r="H5" s="1014"/>
      <c r="I5" s="1014"/>
      <c r="J5" s="1014"/>
      <c r="K5" s="1014"/>
      <c r="L5" s="1014"/>
      <c r="M5" s="1014"/>
      <c r="N5" s="1014"/>
      <c r="O5" s="1014"/>
      <c r="P5" s="1015">
        <f>'SEAP template'!Q73</f>
        <v>0</v>
      </c>
    </row>
    <row r="6" spans="1:16">
      <c r="A6" s="1016" t="s">
        <v>239</v>
      </c>
      <c r="B6" s="1014">
        <f>'SEAP template'!B74</f>
        <v>7448.5494716753947</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1350</v>
      </c>
      <c r="D8" s="1014">
        <f>'SEAP template'!D76</f>
        <v>1588.2352941176473</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320.82352941176475</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7457.3447816958724</v>
      </c>
      <c r="C10" s="1018">
        <f>SUM(C4:C9)</f>
        <v>1350</v>
      </c>
      <c r="D10" s="1018">
        <f t="shared" ref="D10:H10" si="0">SUM(D8:D9)</f>
        <v>1588.2352941176473</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320.82352941176475</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0.20816604388242699</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1928.5714285714287</v>
      </c>
      <c r="D17" s="1015">
        <f>'SEAP template'!D87</f>
        <v>2268.9075630252105</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458.31932773109253</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1928.5714285714287</v>
      </c>
      <c r="D20" s="1018">
        <f t="shared" ref="D20:H20" si="2">SUM(D17:D19)</f>
        <v>2268.9075630252105</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458.31932773109253</v>
      </c>
    </row>
    <row r="22" spans="1:16">
      <c r="A22" s="453" t="s">
        <v>827</v>
      </c>
      <c r="B22" s="752" t="s">
        <v>821</v>
      </c>
      <c r="C22" s="752">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0.20816604388242699</v>
      </c>
      <c r="C17" s="490">
        <f ca="1">'EF ele_warmte'!B22</f>
        <v>0.23764705882352943</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1</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1.5633333333333335</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0.20816604388242699</v>
      </c>
      <c r="C17" s="490">
        <f ca="1">'EF ele_warmte'!B22</f>
        <v>0.23764705882352943</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0.20816604388242699</v>
      </c>
      <c r="C29" s="491">
        <f ca="1">'EF ele_warmte'!B22</f>
        <v>0.23764705882352943</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11430</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3179.15</v>
      </c>
      <c r="C14" s="324"/>
      <c r="D14" s="324"/>
      <c r="E14" s="324"/>
      <c r="F14" s="324"/>
    </row>
    <row r="15" spans="1:6">
      <c r="A15" s="1289" t="s">
        <v>177</v>
      </c>
      <c r="B15" s="1290">
        <v>26</v>
      </c>
      <c r="C15" s="324"/>
      <c r="D15" s="324"/>
      <c r="E15" s="324"/>
      <c r="F15" s="324"/>
    </row>
    <row r="16" spans="1:6">
      <c r="A16" s="1289" t="s">
        <v>6</v>
      </c>
      <c r="B16" s="1290">
        <v>961</v>
      </c>
      <c r="C16" s="324"/>
      <c r="D16" s="324"/>
      <c r="E16" s="324"/>
      <c r="F16" s="324"/>
    </row>
    <row r="17" spans="1:6">
      <c r="A17" s="1289" t="s">
        <v>7</v>
      </c>
      <c r="B17" s="1290">
        <v>712</v>
      </c>
      <c r="C17" s="324"/>
      <c r="D17" s="324"/>
      <c r="E17" s="324"/>
      <c r="F17" s="324"/>
    </row>
    <row r="18" spans="1:6">
      <c r="A18" s="1289" t="s">
        <v>8</v>
      </c>
      <c r="B18" s="1290">
        <v>1111</v>
      </c>
      <c r="C18" s="324"/>
      <c r="D18" s="324"/>
      <c r="E18" s="324"/>
      <c r="F18" s="324"/>
    </row>
    <row r="19" spans="1:6">
      <c r="A19" s="1289" t="s">
        <v>9</v>
      </c>
      <c r="B19" s="1290">
        <v>964</v>
      </c>
      <c r="C19" s="324"/>
      <c r="D19" s="324"/>
      <c r="E19" s="324"/>
      <c r="F19" s="324"/>
    </row>
    <row r="20" spans="1:6">
      <c r="A20" s="1289" t="s">
        <v>10</v>
      </c>
      <c r="B20" s="1290">
        <v>835</v>
      </c>
      <c r="C20" s="324"/>
      <c r="D20" s="324"/>
      <c r="E20" s="324"/>
      <c r="F20" s="324"/>
    </row>
    <row r="21" spans="1:6">
      <c r="A21" s="1289" t="s">
        <v>11</v>
      </c>
      <c r="B21" s="1290">
        <v>0</v>
      </c>
      <c r="C21" s="324"/>
      <c r="D21" s="324"/>
      <c r="E21" s="324"/>
      <c r="F21" s="324"/>
    </row>
    <row r="22" spans="1:6">
      <c r="A22" s="1289" t="s">
        <v>12</v>
      </c>
      <c r="B22" s="1290">
        <v>2</v>
      </c>
      <c r="C22" s="324"/>
      <c r="D22" s="324"/>
      <c r="E22" s="324"/>
      <c r="F22" s="324"/>
    </row>
    <row r="23" spans="1:6">
      <c r="A23" s="1289" t="s">
        <v>13</v>
      </c>
      <c r="B23" s="1290">
        <v>0</v>
      </c>
      <c r="C23" s="324"/>
      <c r="D23" s="324"/>
      <c r="E23" s="324"/>
      <c r="F23" s="324"/>
    </row>
    <row r="24" spans="1:6">
      <c r="A24" s="1289" t="s">
        <v>14</v>
      </c>
      <c r="B24" s="1290">
        <v>0</v>
      </c>
      <c r="C24" s="324"/>
      <c r="D24" s="324"/>
      <c r="E24" s="324"/>
      <c r="F24" s="324"/>
    </row>
    <row r="25" spans="1:6">
      <c r="A25" s="1289" t="s">
        <v>15</v>
      </c>
      <c r="B25" s="1290">
        <v>0</v>
      </c>
      <c r="C25" s="324"/>
      <c r="D25" s="324"/>
      <c r="E25" s="324"/>
      <c r="F25" s="324"/>
    </row>
    <row r="26" spans="1:6">
      <c r="A26" s="1289" t="s">
        <v>16</v>
      </c>
      <c r="B26" s="1290">
        <v>106</v>
      </c>
      <c r="C26" s="324"/>
      <c r="D26" s="324"/>
      <c r="E26" s="324"/>
      <c r="F26" s="324"/>
    </row>
    <row r="27" spans="1:6">
      <c r="A27" s="1289" t="s">
        <v>17</v>
      </c>
      <c r="B27" s="1290">
        <v>0</v>
      </c>
      <c r="C27" s="324"/>
      <c r="D27" s="324"/>
      <c r="E27" s="324"/>
      <c r="F27" s="324"/>
    </row>
    <row r="28" spans="1:6">
      <c r="A28" s="1289" t="s">
        <v>18</v>
      </c>
      <c r="B28" s="1291">
        <v>4</v>
      </c>
      <c r="C28" s="324"/>
      <c r="D28" s="324"/>
      <c r="E28" s="324"/>
      <c r="F28" s="324"/>
    </row>
    <row r="29" spans="1:6">
      <c r="A29" s="1289" t="s">
        <v>716</v>
      </c>
      <c r="B29" s="1291">
        <v>182</v>
      </c>
      <c r="C29" s="324"/>
      <c r="D29" s="324"/>
      <c r="E29" s="324"/>
      <c r="F29" s="324"/>
    </row>
    <row r="30" spans="1:6">
      <c r="A30" s="1284" t="s">
        <v>717</v>
      </c>
      <c r="B30" s="1292">
        <v>29</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0</v>
      </c>
      <c r="D38" s="1290">
        <v>0</v>
      </c>
      <c r="E38" s="1290">
        <v>1</v>
      </c>
      <c r="F38" s="1290">
        <v>3537</v>
      </c>
    </row>
    <row r="39" spans="1:6">
      <c r="A39" s="1289" t="s">
        <v>29</v>
      </c>
      <c r="B39" s="1289" t="s">
        <v>30</v>
      </c>
      <c r="C39" s="1290">
        <v>6072</v>
      </c>
      <c r="D39" s="1290">
        <v>93518858.691112205</v>
      </c>
      <c r="E39" s="1290">
        <v>11476</v>
      </c>
      <c r="F39" s="1290">
        <v>45957024.818332396</v>
      </c>
    </row>
    <row r="40" spans="1:6">
      <c r="A40" s="1289" t="s">
        <v>29</v>
      </c>
      <c r="B40" s="1289" t="s">
        <v>28</v>
      </c>
      <c r="C40" s="1290">
        <v>0</v>
      </c>
      <c r="D40" s="1290">
        <v>0</v>
      </c>
      <c r="E40" s="1290">
        <v>2</v>
      </c>
      <c r="F40" s="1290">
        <v>25040</v>
      </c>
    </row>
    <row r="41" spans="1:6">
      <c r="A41" s="1289" t="s">
        <v>31</v>
      </c>
      <c r="B41" s="1289" t="s">
        <v>32</v>
      </c>
      <c r="C41" s="1290">
        <v>80</v>
      </c>
      <c r="D41" s="1290">
        <v>1715644.7535258499</v>
      </c>
      <c r="E41" s="1290">
        <v>224</v>
      </c>
      <c r="F41" s="1290">
        <v>16483994.693928201</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0</v>
      </c>
      <c r="D44" s="1290">
        <v>0</v>
      </c>
      <c r="E44" s="1290">
        <v>17</v>
      </c>
      <c r="F44" s="1290">
        <v>341403.73343787802</v>
      </c>
    </row>
    <row r="45" spans="1:6">
      <c r="A45" s="1289" t="s">
        <v>31</v>
      </c>
      <c r="B45" s="1289" t="s">
        <v>36</v>
      </c>
      <c r="C45" s="1290">
        <v>0</v>
      </c>
      <c r="D45" s="1290">
        <v>0</v>
      </c>
      <c r="E45" s="1290">
        <v>14</v>
      </c>
      <c r="F45" s="1290">
        <v>178372.281550107</v>
      </c>
    </row>
    <row r="46" spans="1:6">
      <c r="A46" s="1289" t="s">
        <v>31</v>
      </c>
      <c r="B46" s="1289" t="s">
        <v>37</v>
      </c>
      <c r="C46" s="1290">
        <v>0</v>
      </c>
      <c r="D46" s="1290">
        <v>0</v>
      </c>
      <c r="E46" s="1290">
        <v>0</v>
      </c>
      <c r="F46" s="1290">
        <v>0</v>
      </c>
    </row>
    <row r="47" spans="1:6">
      <c r="A47" s="1289" t="s">
        <v>31</v>
      </c>
      <c r="B47" s="1289" t="s">
        <v>38</v>
      </c>
      <c r="C47" s="1290">
        <v>3</v>
      </c>
      <c r="D47" s="1290">
        <v>491459.27999185002</v>
      </c>
      <c r="E47" s="1290">
        <v>3</v>
      </c>
      <c r="F47" s="1290">
        <v>301537.46711295203</v>
      </c>
    </row>
    <row r="48" spans="1:6">
      <c r="A48" s="1289" t="s">
        <v>31</v>
      </c>
      <c r="B48" s="1289" t="s">
        <v>28</v>
      </c>
      <c r="C48" s="1290">
        <v>31</v>
      </c>
      <c r="D48" s="1290">
        <v>5350311.5982871298</v>
      </c>
      <c r="E48" s="1290">
        <v>36</v>
      </c>
      <c r="F48" s="1290">
        <v>8482966.1898617409</v>
      </c>
    </row>
    <row r="49" spans="1:6">
      <c r="A49" s="1289" t="s">
        <v>31</v>
      </c>
      <c r="B49" s="1289" t="s">
        <v>39</v>
      </c>
      <c r="C49" s="1290">
        <v>0</v>
      </c>
      <c r="D49" s="1290">
        <v>0</v>
      </c>
      <c r="E49" s="1290">
        <v>4</v>
      </c>
      <c r="F49" s="1290">
        <v>64299.9030847717</v>
      </c>
    </row>
    <row r="50" spans="1:6">
      <c r="A50" s="1289" t="s">
        <v>31</v>
      </c>
      <c r="B50" s="1289" t="s">
        <v>40</v>
      </c>
      <c r="C50" s="1290">
        <v>16</v>
      </c>
      <c r="D50" s="1290">
        <v>2218679.0561931999</v>
      </c>
      <c r="E50" s="1290">
        <v>25</v>
      </c>
      <c r="F50" s="1290">
        <v>5964098.9544964097</v>
      </c>
    </row>
    <row r="51" spans="1:6">
      <c r="A51" s="1289" t="s">
        <v>41</v>
      </c>
      <c r="B51" s="1289" t="s">
        <v>42</v>
      </c>
      <c r="C51" s="1290">
        <v>6</v>
      </c>
      <c r="D51" s="1290">
        <v>100664.11033702501</v>
      </c>
      <c r="E51" s="1290">
        <v>84</v>
      </c>
      <c r="F51" s="1290">
        <v>1002571.16080023</v>
      </c>
    </row>
    <row r="52" spans="1:6">
      <c r="A52" s="1289" t="s">
        <v>41</v>
      </c>
      <c r="B52" s="1289" t="s">
        <v>28</v>
      </c>
      <c r="C52" s="1290">
        <v>4</v>
      </c>
      <c r="D52" s="1290">
        <v>67306.935070135602</v>
      </c>
      <c r="E52" s="1290">
        <v>9</v>
      </c>
      <c r="F52" s="1290">
        <v>85364.1893824484</v>
      </c>
    </row>
    <row r="53" spans="1:6">
      <c r="A53" s="1289" t="s">
        <v>43</v>
      </c>
      <c r="B53" s="1289" t="s">
        <v>44</v>
      </c>
      <c r="C53" s="1290">
        <v>184</v>
      </c>
      <c r="D53" s="1290">
        <v>4887006.4259531898</v>
      </c>
      <c r="E53" s="1290">
        <v>446</v>
      </c>
      <c r="F53" s="1290">
        <v>1527954.25399646</v>
      </c>
    </row>
    <row r="54" spans="1:6">
      <c r="A54" s="1289" t="s">
        <v>45</v>
      </c>
      <c r="B54" s="1289" t="s">
        <v>46</v>
      </c>
      <c r="C54" s="1290">
        <v>0</v>
      </c>
      <c r="D54" s="1290">
        <v>0</v>
      </c>
      <c r="E54" s="1290">
        <v>1</v>
      </c>
      <c r="F54" s="1290">
        <v>1836367</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51</v>
      </c>
      <c r="D57" s="1290">
        <v>2868425.60588121</v>
      </c>
      <c r="E57" s="1290">
        <v>129</v>
      </c>
      <c r="F57" s="1290">
        <v>1903744.25126274</v>
      </c>
    </row>
    <row r="58" spans="1:6">
      <c r="A58" s="1289" t="s">
        <v>48</v>
      </c>
      <c r="B58" s="1289" t="s">
        <v>50</v>
      </c>
      <c r="C58" s="1290">
        <v>43</v>
      </c>
      <c r="D58" s="1290">
        <v>16521702.9251785</v>
      </c>
      <c r="E58" s="1290">
        <v>73</v>
      </c>
      <c r="F58" s="1290">
        <v>11351432.535229299</v>
      </c>
    </row>
    <row r="59" spans="1:6">
      <c r="A59" s="1289" t="s">
        <v>48</v>
      </c>
      <c r="B59" s="1289" t="s">
        <v>51</v>
      </c>
      <c r="C59" s="1290">
        <v>167</v>
      </c>
      <c r="D59" s="1290">
        <v>7025365.7623834303</v>
      </c>
      <c r="E59" s="1290">
        <v>361</v>
      </c>
      <c r="F59" s="1290">
        <v>14232201.6118341</v>
      </c>
    </row>
    <row r="60" spans="1:6">
      <c r="A60" s="1289" t="s">
        <v>48</v>
      </c>
      <c r="B60" s="1289" t="s">
        <v>52</v>
      </c>
      <c r="C60" s="1290">
        <v>100</v>
      </c>
      <c r="D60" s="1290">
        <v>4148284.4909442598</v>
      </c>
      <c r="E60" s="1290">
        <v>149</v>
      </c>
      <c r="F60" s="1290">
        <v>2942270.5547817601</v>
      </c>
    </row>
    <row r="61" spans="1:6">
      <c r="A61" s="1289" t="s">
        <v>48</v>
      </c>
      <c r="B61" s="1289" t="s">
        <v>53</v>
      </c>
      <c r="C61" s="1290">
        <v>176</v>
      </c>
      <c r="D61" s="1290">
        <v>7535277.1010301104</v>
      </c>
      <c r="E61" s="1290">
        <v>445</v>
      </c>
      <c r="F61" s="1290">
        <v>4156259.73913331</v>
      </c>
    </row>
    <row r="62" spans="1:6">
      <c r="A62" s="1289" t="s">
        <v>48</v>
      </c>
      <c r="B62" s="1289" t="s">
        <v>54</v>
      </c>
      <c r="C62" s="1290">
        <v>29</v>
      </c>
      <c r="D62" s="1290">
        <v>4979593.9813709697</v>
      </c>
      <c r="E62" s="1290">
        <v>29</v>
      </c>
      <c r="F62" s="1290">
        <v>1201055.7438884301</v>
      </c>
    </row>
    <row r="63" spans="1:6">
      <c r="A63" s="1289" t="s">
        <v>48</v>
      </c>
      <c r="B63" s="1289" t="s">
        <v>28</v>
      </c>
      <c r="C63" s="1290">
        <v>92</v>
      </c>
      <c r="D63" s="1290">
        <v>4081179.165426</v>
      </c>
      <c r="E63" s="1290">
        <v>111</v>
      </c>
      <c r="F63" s="1290">
        <v>2439351.7393613202</v>
      </c>
    </row>
    <row r="64" spans="1:6">
      <c r="A64" s="1289" t="s">
        <v>55</v>
      </c>
      <c r="B64" s="1289" t="s">
        <v>56</v>
      </c>
      <c r="C64" s="1290">
        <v>0</v>
      </c>
      <c r="D64" s="1290">
        <v>0</v>
      </c>
      <c r="E64" s="1290">
        <v>0</v>
      </c>
      <c r="F64" s="1290">
        <v>0</v>
      </c>
    </row>
    <row r="65" spans="1:6">
      <c r="A65" s="1289" t="s">
        <v>55</v>
      </c>
      <c r="B65" s="1289" t="s">
        <v>28</v>
      </c>
      <c r="C65" s="1290">
        <v>4</v>
      </c>
      <c r="D65" s="1290">
        <v>228947.35729376899</v>
      </c>
      <c r="E65" s="1290">
        <v>2</v>
      </c>
      <c r="F65" s="1290">
        <v>35962.078043303904</v>
      </c>
    </row>
    <row r="66" spans="1:6">
      <c r="A66" s="1289" t="s">
        <v>55</v>
      </c>
      <c r="B66" s="1289" t="s">
        <v>57</v>
      </c>
      <c r="C66" s="1290">
        <v>0</v>
      </c>
      <c r="D66" s="1290">
        <v>0</v>
      </c>
      <c r="E66" s="1290">
        <v>14</v>
      </c>
      <c r="F66" s="1290">
        <v>207513.67251029299</v>
      </c>
    </row>
    <row r="67" spans="1:6">
      <c r="A67" s="1289" t="s">
        <v>55</v>
      </c>
      <c r="B67" s="1289" t="s">
        <v>58</v>
      </c>
      <c r="C67" s="1290">
        <v>0</v>
      </c>
      <c r="D67" s="1290">
        <v>0</v>
      </c>
      <c r="E67" s="1290">
        <v>0</v>
      </c>
      <c r="F67" s="1290">
        <v>0</v>
      </c>
    </row>
    <row r="68" spans="1:6">
      <c r="A68" s="1284" t="s">
        <v>55</v>
      </c>
      <c r="B68" s="1284" t="s">
        <v>59</v>
      </c>
      <c r="C68" s="1292">
        <v>0</v>
      </c>
      <c r="D68" s="1292">
        <v>0</v>
      </c>
      <c r="E68" s="1292">
        <v>8</v>
      </c>
      <c r="F68" s="1292">
        <v>46992.844729187003</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94322380</v>
      </c>
      <c r="E73" s="441"/>
      <c r="F73" s="324"/>
    </row>
    <row r="74" spans="1:6">
      <c r="A74" s="1289" t="s">
        <v>63</v>
      </c>
      <c r="B74" s="1289" t="s">
        <v>642</v>
      </c>
      <c r="C74" s="1302" t="s">
        <v>644</v>
      </c>
      <c r="D74" s="1290">
        <v>8677439</v>
      </c>
      <c r="E74" s="441"/>
      <c r="F74" s="324"/>
    </row>
    <row r="75" spans="1:6">
      <c r="A75" s="1289" t="s">
        <v>64</v>
      </c>
      <c r="B75" s="1289" t="s">
        <v>641</v>
      </c>
      <c r="C75" s="1302" t="s">
        <v>645</v>
      </c>
      <c r="D75" s="1290">
        <v>44184440</v>
      </c>
      <c r="E75" s="441"/>
      <c r="F75" s="324"/>
    </row>
    <row r="76" spans="1:6">
      <c r="A76" s="1289" t="s">
        <v>64</v>
      </c>
      <c r="B76" s="1289" t="s">
        <v>642</v>
      </c>
      <c r="C76" s="1302" t="s">
        <v>646</v>
      </c>
      <c r="D76" s="1290">
        <v>1913194</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607810</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8.7953100204778156</v>
      </c>
      <c r="C89" s="324"/>
      <c r="D89" s="324"/>
      <c r="E89" s="324"/>
      <c r="F89" s="324"/>
    </row>
    <row r="90" spans="1:6">
      <c r="A90" s="1289" t="s">
        <v>535</v>
      </c>
      <c r="B90" s="1290">
        <v>0</v>
      </c>
      <c r="C90" s="324"/>
      <c r="D90" s="324"/>
      <c r="E90" s="324"/>
      <c r="F90" s="324"/>
    </row>
    <row r="91" spans="1:6">
      <c r="A91" s="1289" t="s">
        <v>67</v>
      </c>
      <c r="B91" s="1290">
        <v>4739.0900637754557</v>
      </c>
      <c r="C91" s="324"/>
      <c r="D91" s="324"/>
      <c r="E91" s="324"/>
      <c r="F91" s="324"/>
    </row>
    <row r="92" spans="1:6">
      <c r="A92" s="1284" t="s">
        <v>68</v>
      </c>
      <c r="B92" s="1285">
        <v>2709.4594078999394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2429</v>
      </c>
      <c r="C97" s="324"/>
      <c r="D97" s="324"/>
      <c r="E97" s="324"/>
      <c r="F97" s="324"/>
    </row>
    <row r="98" spans="1:6">
      <c r="A98" s="1289" t="s">
        <v>71</v>
      </c>
      <c r="B98" s="1290">
        <v>2</v>
      </c>
      <c r="C98" s="324"/>
      <c r="D98" s="324"/>
      <c r="E98" s="324"/>
      <c r="F98" s="324"/>
    </row>
    <row r="99" spans="1:6">
      <c r="A99" s="1289" t="s">
        <v>72</v>
      </c>
      <c r="B99" s="1290">
        <v>185</v>
      </c>
      <c r="C99" s="324"/>
      <c r="D99" s="324"/>
      <c r="E99" s="324"/>
      <c r="F99" s="324"/>
    </row>
    <row r="100" spans="1:6">
      <c r="A100" s="1289" t="s">
        <v>73</v>
      </c>
      <c r="B100" s="1290">
        <v>1198</v>
      </c>
      <c r="C100" s="324"/>
      <c r="D100" s="324"/>
      <c r="E100" s="324"/>
      <c r="F100" s="324"/>
    </row>
    <row r="101" spans="1:6">
      <c r="A101" s="1289" t="s">
        <v>74</v>
      </c>
      <c r="B101" s="1290">
        <v>135</v>
      </c>
      <c r="C101" s="324"/>
      <c r="D101" s="324"/>
      <c r="E101" s="324"/>
      <c r="F101" s="324"/>
    </row>
    <row r="102" spans="1:6">
      <c r="A102" s="1289" t="s">
        <v>75</v>
      </c>
      <c r="B102" s="1290">
        <v>179</v>
      </c>
      <c r="C102" s="324"/>
      <c r="D102" s="324"/>
      <c r="E102" s="324"/>
      <c r="F102" s="324"/>
    </row>
    <row r="103" spans="1:6">
      <c r="A103" s="1289" t="s">
        <v>76</v>
      </c>
      <c r="B103" s="1290">
        <v>534</v>
      </c>
      <c r="C103" s="324"/>
      <c r="D103" s="324"/>
      <c r="E103" s="324"/>
      <c r="F103" s="324"/>
    </row>
    <row r="104" spans="1:6">
      <c r="A104" s="1289" t="s">
        <v>77</v>
      </c>
      <c r="B104" s="1290">
        <v>5137</v>
      </c>
      <c r="C104" s="324"/>
      <c r="D104" s="324"/>
      <c r="E104" s="324"/>
      <c r="F104" s="324"/>
    </row>
    <row r="105" spans="1:6">
      <c r="A105" s="1284" t="s">
        <v>78</v>
      </c>
      <c r="B105" s="1292">
        <v>8</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1</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1</v>
      </c>
      <c r="C121" s="1290">
        <v>0</v>
      </c>
      <c r="D121" s="324"/>
      <c r="E121" s="324"/>
      <c r="F121" s="324"/>
    </row>
    <row r="122" spans="1:6">
      <c r="A122" s="1289" t="s">
        <v>86</v>
      </c>
      <c r="B122" s="1290">
        <v>0</v>
      </c>
      <c r="C122" s="1290">
        <v>0</v>
      </c>
      <c r="D122" s="324"/>
      <c r="E122" s="324"/>
      <c r="F122" s="324"/>
    </row>
    <row r="123" spans="1:6">
      <c r="A123" s="1289" t="s">
        <v>87</v>
      </c>
      <c r="B123" s="1290">
        <v>54</v>
      </c>
      <c r="C123" s="1290">
        <v>76</v>
      </c>
      <c r="D123" s="324"/>
      <c r="E123" s="324"/>
      <c r="F123" s="324"/>
    </row>
    <row r="124" spans="1:6">
      <c r="A124" s="1289" t="s">
        <v>88</v>
      </c>
      <c r="B124" s="1290">
        <v>0</v>
      </c>
      <c r="C124" s="1290">
        <v>3</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263</v>
      </c>
      <c r="C129" s="324"/>
      <c r="D129" s="324"/>
      <c r="E129" s="324"/>
      <c r="F129" s="324"/>
    </row>
    <row r="130" spans="1:6">
      <c r="A130" s="1289" t="s">
        <v>283</v>
      </c>
      <c r="B130" s="1290">
        <v>1</v>
      </c>
      <c r="C130" s="324"/>
      <c r="D130" s="324"/>
      <c r="E130" s="324"/>
      <c r="F130" s="324"/>
    </row>
    <row r="131" spans="1:6">
      <c r="A131" s="1289" t="s">
        <v>284</v>
      </c>
      <c r="B131" s="1290">
        <v>2</v>
      </c>
      <c r="C131" s="324"/>
      <c r="D131" s="324"/>
      <c r="E131" s="324"/>
      <c r="F131" s="324"/>
    </row>
    <row r="132" spans="1:6">
      <c r="A132" s="1284" t="s">
        <v>285</v>
      </c>
      <c r="B132" s="1285">
        <v>41</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126663.95711897092</v>
      </c>
      <c r="C3" s="43" t="s">
        <v>163</v>
      </c>
      <c r="D3" s="43"/>
      <c r="E3" s="154"/>
      <c r="F3" s="43"/>
      <c r="G3" s="43"/>
      <c r="H3" s="43"/>
      <c r="I3" s="43"/>
      <c r="J3" s="43"/>
      <c r="K3" s="96"/>
    </row>
    <row r="4" spans="1:11">
      <c r="A4" s="350" t="s">
        <v>164</v>
      </c>
      <c r="B4" s="49">
        <f>IF(ISERROR('SEAP template'!B78+'SEAP template'!C78),0,'SEAP template'!B78+'SEAP template'!C78)</f>
        <v>8807.3447816958724</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320.82352941176475</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0.20816604388242699</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458.31932773109253</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1928.5714285714287</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0.23764705882352943</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1836.367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1836.367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0.20816604388242699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382.26925350624077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45982.064818332394</v>
      </c>
      <c r="C5" s="17">
        <f>IF(ISERROR('Eigen informatie GS &amp; warmtenet'!B57),0,'Eigen informatie GS &amp; warmtenet'!B57)</f>
        <v>0</v>
      </c>
      <c r="D5" s="30">
        <f>(SUM(HH_hh_gas_kWh,HH_rest_gas_kWh)/1000)*0.902</f>
        <v>84354.01053938322</v>
      </c>
      <c r="E5" s="17">
        <f>B32*B41</f>
        <v>3237.9165316144167</v>
      </c>
      <c r="F5" s="17">
        <f>B36*B45</f>
        <v>82034.29088864493</v>
      </c>
      <c r="G5" s="18"/>
      <c r="H5" s="17"/>
      <c r="I5" s="17"/>
      <c r="J5" s="17">
        <f>B35*B44+C35*C44</f>
        <v>394.73980423041206</v>
      </c>
      <c r="K5" s="17"/>
      <c r="L5" s="17"/>
      <c r="M5" s="17"/>
      <c r="N5" s="17">
        <f>B34*B43+C34*C43</f>
        <v>17252.939141353017</v>
      </c>
      <c r="O5" s="17">
        <f>B52*B53*B54</f>
        <v>534.66000000000008</v>
      </c>
      <c r="P5" s="17">
        <f>B60*B61*B62/1000-B60*B61*B62/1000/B63</f>
        <v>1811.3333333333335</v>
      </c>
    </row>
    <row r="6" spans="1:16">
      <c r="A6" s="16" t="s">
        <v>607</v>
      </c>
      <c r="B6" s="754">
        <f>kWh_PV_kleiner_dan_10kW</f>
        <v>4739.0900637754557</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50721.154882107847</v>
      </c>
      <c r="C8" s="21">
        <f>C5</f>
        <v>0</v>
      </c>
      <c r="D8" s="21">
        <f>D5</f>
        <v>84354.01053938322</v>
      </c>
      <c r="E8" s="21">
        <f>E5</f>
        <v>3237.9165316144167</v>
      </c>
      <c r="F8" s="21">
        <f>F5</f>
        <v>82034.29088864493</v>
      </c>
      <c r="G8" s="21"/>
      <c r="H8" s="21"/>
      <c r="I8" s="21"/>
      <c r="J8" s="21">
        <f>J5</f>
        <v>394.73980423041206</v>
      </c>
      <c r="K8" s="21"/>
      <c r="L8" s="21">
        <f>L5</f>
        <v>0</v>
      </c>
      <c r="M8" s="21">
        <f>M5</f>
        <v>0</v>
      </c>
      <c r="N8" s="21">
        <f>N5</f>
        <v>17252.939141353017</v>
      </c>
      <c r="O8" s="21">
        <f>O5</f>
        <v>534.66000000000008</v>
      </c>
      <c r="P8" s="21">
        <f>P5</f>
        <v>1811.3333333333335</v>
      </c>
    </row>
    <row r="9" spans="1:16">
      <c r="B9" s="19"/>
      <c r="C9" s="19"/>
      <c r="D9" s="254"/>
      <c r="E9" s="19"/>
      <c r="F9" s="19"/>
      <c r="G9" s="19"/>
      <c r="H9" s="19"/>
      <c r="I9" s="19"/>
      <c r="J9" s="19"/>
      <c r="K9" s="19"/>
      <c r="L9" s="19"/>
      <c r="M9" s="19"/>
      <c r="N9" s="19"/>
      <c r="O9" s="19"/>
      <c r="P9" s="19"/>
    </row>
    <row r="10" spans="1:16">
      <c r="A10" s="24" t="s">
        <v>207</v>
      </c>
      <c r="B10" s="25">
        <f ca="1">'EF ele_warmte'!B12</f>
        <v>0.20816604388242699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10558.422152956238</v>
      </c>
      <c r="C12" s="23">
        <f ca="1">C10*C8</f>
        <v>0</v>
      </c>
      <c r="D12" s="23">
        <f>D8*D10</f>
        <v>17039.510128955411</v>
      </c>
      <c r="E12" s="23">
        <f>E10*E8</f>
        <v>735.00705267647265</v>
      </c>
      <c r="F12" s="23">
        <f>F10*F8</f>
        <v>21903.155667268198</v>
      </c>
      <c r="G12" s="23"/>
      <c r="H12" s="23"/>
      <c r="I12" s="23"/>
      <c r="J12" s="23">
        <f>J10*J8</f>
        <v>139.73789069756586</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11430</v>
      </c>
      <c r="C26" s="36"/>
      <c r="D26" s="225"/>
    </row>
    <row r="27" spans="1:5" s="15" customFormat="1">
      <c r="A27" s="227" t="s">
        <v>762</v>
      </c>
      <c r="B27" s="37">
        <f>SUM(HH_hh_gas_aantal,HH_rest_gas_aantal)</f>
        <v>6072</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5768.4</v>
      </c>
      <c r="C31" s="34" t="s">
        <v>104</v>
      </c>
      <c r="D31" s="171"/>
    </row>
    <row r="32" spans="1:5">
      <c r="A32" s="168" t="s">
        <v>72</v>
      </c>
      <c r="B32" s="33">
        <f>IF((B21*($B$26-($B$27-0.05*$B$27)-$B$60))&lt;0,0,B21*($B$26-($B$27-0.05*$B$27)-$B$60))</f>
        <v>61.235351566975112</v>
      </c>
      <c r="C32" s="34" t="s">
        <v>104</v>
      </c>
      <c r="D32" s="171"/>
    </row>
    <row r="33" spans="1:6">
      <c r="A33" s="168" t="s">
        <v>73</v>
      </c>
      <c r="B33" s="33">
        <f>IF((B22*($B$26-($B$27-0.05*$B$27)-$B$60))&lt;0,0,B22*($B$26-($B$27-0.05*$B$27)-$B$60))</f>
        <v>1273.1343826447171</v>
      </c>
      <c r="C33" s="34" t="s">
        <v>104</v>
      </c>
      <c r="D33" s="171"/>
    </row>
    <row r="34" spans="1:6">
      <c r="A34" s="168" t="s">
        <v>74</v>
      </c>
      <c r="B34" s="33">
        <f>IF((B24*($B$26-($B$27-0.05*$B$27)-$B$60))&lt;0,0,B24*($B$26-($B$27-0.05*$B$27)-$B$60))</f>
        <v>253.18116961244669</v>
      </c>
      <c r="C34" s="33">
        <f>B26*C24</f>
        <v>2339.6701608625267</v>
      </c>
      <c r="D34" s="230"/>
    </row>
    <row r="35" spans="1:6">
      <c r="A35" s="168" t="s">
        <v>76</v>
      </c>
      <c r="B35" s="33">
        <f>IF((B19*($B$26-($B$27-0.05*$B$27)-$B$60))&lt;0,0,B19*($B$26-($B$27-0.05*$B$27)-$B$60))</f>
        <v>46.348558086754629</v>
      </c>
      <c r="C35" s="33">
        <f>B35/2</f>
        <v>23.174279043377314</v>
      </c>
      <c r="D35" s="230"/>
    </row>
    <row r="36" spans="1:6">
      <c r="A36" s="168" t="s">
        <v>77</v>
      </c>
      <c r="B36" s="33">
        <f>IF((B18*($B$26-($B$27-0.05*$B$27)-$B$60))&lt;0,0,B18*($B$26-($B$27-0.05*$B$27)-$B$60))</f>
        <v>3932.7005380891069</v>
      </c>
      <c r="C36" s="34" t="s">
        <v>104</v>
      </c>
      <c r="D36" s="171"/>
    </row>
    <row r="37" spans="1:6">
      <c r="A37" s="168" t="s">
        <v>78</v>
      </c>
      <c r="B37" s="33">
        <f>B60</f>
        <v>95</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342</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95</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38226.31617549096</v>
      </c>
      <c r="C5" s="17">
        <f>IF(ISERROR('Eigen informatie GS &amp; warmtenet'!B58),0,'Eigen informatie GS &amp; warmtenet'!B58)</f>
        <v>0</v>
      </c>
      <c r="D5" s="30">
        <f>SUM(D6:D12)</f>
        <v>42538.165787057456</v>
      </c>
      <c r="E5" s="17">
        <f>SUM(E6:E12)</f>
        <v>609.75280217333557</v>
      </c>
      <c r="F5" s="17">
        <f>SUM(F6:F12)</f>
        <v>6555.0866442515653</v>
      </c>
      <c r="G5" s="18"/>
      <c r="H5" s="17"/>
      <c r="I5" s="17"/>
      <c r="J5" s="17">
        <f>SUM(J6:J12)</f>
        <v>4.7229777021110433E-2</v>
      </c>
      <c r="K5" s="17"/>
      <c r="L5" s="17"/>
      <c r="M5" s="17"/>
      <c r="N5" s="17">
        <f>SUM(N6:N12)</f>
        <v>2056.3175339154195</v>
      </c>
      <c r="O5" s="17">
        <f>B38*B39*B40</f>
        <v>1.5633333333333335</v>
      </c>
      <c r="P5" s="17">
        <f>B46*B47*B48/1000-B46*B47*B48/1000/B49</f>
        <v>57.2</v>
      </c>
      <c r="R5" s="32"/>
    </row>
    <row r="6" spans="1:18">
      <c r="A6" s="32" t="s">
        <v>53</v>
      </c>
      <c r="B6" s="37">
        <f>B26</f>
        <v>4156.2597391333102</v>
      </c>
      <c r="C6" s="33"/>
      <c r="D6" s="37">
        <f>IF(ISERROR(TER_kantoor_gas_kWh/1000),0,TER_kantoor_gas_kWh/1000)*0.902</f>
        <v>6796.8199451291594</v>
      </c>
      <c r="E6" s="33">
        <f>$C$26*'E Balans VL '!I12/100/3.6*1000000</f>
        <v>2.6050053694554817E-2</v>
      </c>
      <c r="F6" s="33">
        <f>$C$26*('E Balans VL '!L12+'E Balans VL '!N12)/100/3.6*1000000</f>
        <v>624.56970181820509</v>
      </c>
      <c r="G6" s="34"/>
      <c r="H6" s="33"/>
      <c r="I6" s="33"/>
      <c r="J6" s="33">
        <f>$C$26*('E Balans VL '!D12+'E Balans VL '!E12)/100/3.6*1000000</f>
        <v>0</v>
      </c>
      <c r="K6" s="33"/>
      <c r="L6" s="33"/>
      <c r="M6" s="33"/>
      <c r="N6" s="33">
        <f>$C$26*'E Balans VL '!Y12/100/3.6*1000000</f>
        <v>3.974846207346693</v>
      </c>
      <c r="O6" s="33"/>
      <c r="P6" s="33"/>
      <c r="R6" s="32"/>
    </row>
    <row r="7" spans="1:18">
      <c r="A7" s="32" t="s">
        <v>52</v>
      </c>
      <c r="B7" s="37">
        <f t="shared" ref="B7:B12" si="0">B27</f>
        <v>2942.27055478176</v>
      </c>
      <c r="C7" s="33"/>
      <c r="D7" s="37">
        <f>IF(ISERROR(TER_horeca_gas_kWh/1000),0,TER_horeca_gas_kWh/1000)*0.902</f>
        <v>3741.7526108317229</v>
      </c>
      <c r="E7" s="33">
        <f>$C$27*'E Balans VL '!I9/100/3.6*1000000</f>
        <v>42.132824255757384</v>
      </c>
      <c r="F7" s="33">
        <f>$C$27*('E Balans VL '!L9+'E Balans VL '!N9)/100/3.6*1000000</f>
        <v>372.58849205681054</v>
      </c>
      <c r="G7" s="34"/>
      <c r="H7" s="33"/>
      <c r="I7" s="33"/>
      <c r="J7" s="33">
        <f>$C$27*('E Balans VL '!D9+'E Balans VL '!E9)/100/3.6*1000000</f>
        <v>0</v>
      </c>
      <c r="K7" s="33"/>
      <c r="L7" s="33"/>
      <c r="M7" s="33"/>
      <c r="N7" s="33">
        <f>$C$27*'E Balans VL '!Y9/100/3.6*1000000</f>
        <v>0.84583791300257072</v>
      </c>
      <c r="O7" s="33"/>
      <c r="P7" s="33"/>
      <c r="R7" s="32"/>
    </row>
    <row r="8" spans="1:18">
      <c r="A8" s="6" t="s">
        <v>51</v>
      </c>
      <c r="B8" s="37">
        <f t="shared" si="0"/>
        <v>14232.2016118341</v>
      </c>
      <c r="C8" s="33"/>
      <c r="D8" s="37">
        <f>IF(ISERROR(TER_handel_gas_kWh/1000),0,TER_handel_gas_kWh/1000)*0.902</f>
        <v>6336.8799176698549</v>
      </c>
      <c r="E8" s="33">
        <f>$C$28*'E Balans VL '!I13/100/3.6*1000000</f>
        <v>516.20019742474835</v>
      </c>
      <c r="F8" s="33">
        <f>$C$28*('E Balans VL '!L13+'E Balans VL '!N13)/100/3.6*1000000</f>
        <v>2741.2661406428083</v>
      </c>
      <c r="G8" s="34"/>
      <c r="H8" s="33"/>
      <c r="I8" s="33"/>
      <c r="J8" s="33">
        <f>$C$28*('E Balans VL '!D13+'E Balans VL '!E13)/100/3.6*1000000</f>
        <v>0</v>
      </c>
      <c r="K8" s="33"/>
      <c r="L8" s="33"/>
      <c r="M8" s="33"/>
      <c r="N8" s="33">
        <f>$C$28*'E Balans VL '!Y13/100/3.6*1000000</f>
        <v>19.714873915934596</v>
      </c>
      <c r="O8" s="33"/>
      <c r="P8" s="33"/>
      <c r="R8" s="32"/>
    </row>
    <row r="9" spans="1:18">
      <c r="A9" s="32" t="s">
        <v>50</v>
      </c>
      <c r="B9" s="37">
        <f t="shared" si="0"/>
        <v>11351.4325352293</v>
      </c>
      <c r="C9" s="33"/>
      <c r="D9" s="37">
        <f>IF(ISERROR(TER_gezond_gas_kWh/1000),0,TER_gezond_gas_kWh/1000)*0.902</f>
        <v>14902.576038511006</v>
      </c>
      <c r="E9" s="33">
        <f>$C$29*'E Balans VL '!I10/100/3.6*1000000</f>
        <v>0.71071175185409308</v>
      </c>
      <c r="F9" s="33">
        <f>$C$29*('E Balans VL '!L10+'E Balans VL '!N10)/100/3.6*1000000</f>
        <v>1686.2898649288884</v>
      </c>
      <c r="G9" s="34"/>
      <c r="H9" s="33"/>
      <c r="I9" s="33"/>
      <c r="J9" s="33">
        <f>$C$29*('E Balans VL '!D10+'E Balans VL '!E10)/100/3.6*1000000</f>
        <v>0</v>
      </c>
      <c r="K9" s="33"/>
      <c r="L9" s="33"/>
      <c r="M9" s="33"/>
      <c r="N9" s="33">
        <f>$C$29*'E Balans VL '!Y10/100/3.6*1000000</f>
        <v>175.58505377453835</v>
      </c>
      <c r="O9" s="33"/>
      <c r="P9" s="33"/>
      <c r="R9" s="32"/>
    </row>
    <row r="10" spans="1:18">
      <c r="A10" s="32" t="s">
        <v>49</v>
      </c>
      <c r="B10" s="37">
        <f t="shared" si="0"/>
        <v>1903.7442512627399</v>
      </c>
      <c r="C10" s="33"/>
      <c r="D10" s="37">
        <f>IF(ISERROR(TER_ander_gas_kWh/1000),0,TER_ander_gas_kWh/1000)*0.902</f>
        <v>2587.3198965048514</v>
      </c>
      <c r="E10" s="33">
        <f>$C$30*'E Balans VL '!I14/100/3.6*1000000</f>
        <v>2.2691951191804125</v>
      </c>
      <c r="F10" s="33">
        <f>$C$30*('E Balans VL '!L14+'E Balans VL '!N14)/100/3.6*1000000</f>
        <v>498.10412995233747</v>
      </c>
      <c r="G10" s="34"/>
      <c r="H10" s="33"/>
      <c r="I10" s="33"/>
      <c r="J10" s="33">
        <f>$C$30*('E Balans VL '!D14+'E Balans VL '!E14)/100/3.6*1000000</f>
        <v>4.1322825223502592E-2</v>
      </c>
      <c r="K10" s="33"/>
      <c r="L10" s="33"/>
      <c r="M10" s="33"/>
      <c r="N10" s="33">
        <f>$C$30*'E Balans VL '!Y14/100/3.6*1000000</f>
        <v>1616.6130342062063</v>
      </c>
      <c r="O10" s="33"/>
      <c r="P10" s="33"/>
      <c r="R10" s="32"/>
    </row>
    <row r="11" spans="1:18">
      <c r="A11" s="32" t="s">
        <v>54</v>
      </c>
      <c r="B11" s="37">
        <f t="shared" si="0"/>
        <v>1201.05574388843</v>
      </c>
      <c r="C11" s="33"/>
      <c r="D11" s="37">
        <f>IF(ISERROR(TER_onderwijs_gas_kWh/1000),0,TER_onderwijs_gas_kWh/1000)*0.902</f>
        <v>4491.5937711966144</v>
      </c>
      <c r="E11" s="33">
        <f>$C$31*'E Balans VL '!I11/100/3.6*1000000</f>
        <v>18.121996691051361</v>
      </c>
      <c r="F11" s="33">
        <f>$C$31*('E Balans VL '!L11+'E Balans VL '!N11)/100/3.6*1000000</f>
        <v>210.44415376558135</v>
      </c>
      <c r="G11" s="34"/>
      <c r="H11" s="33"/>
      <c r="I11" s="33"/>
      <c r="J11" s="33">
        <f>$C$31*('E Balans VL '!D11+'E Balans VL '!E11)/100/3.6*1000000</f>
        <v>0</v>
      </c>
      <c r="K11" s="33"/>
      <c r="L11" s="33"/>
      <c r="M11" s="33"/>
      <c r="N11" s="33">
        <f>$C$31*'E Balans VL '!Y11/100/3.6*1000000</f>
        <v>3.3798621710368617</v>
      </c>
      <c r="O11" s="33"/>
      <c r="P11" s="33"/>
      <c r="R11" s="32"/>
    </row>
    <row r="12" spans="1:18">
      <c r="A12" s="32" t="s">
        <v>248</v>
      </c>
      <c r="B12" s="37">
        <f t="shared" si="0"/>
        <v>2439.3517393613201</v>
      </c>
      <c r="C12" s="33"/>
      <c r="D12" s="37">
        <f>IF(ISERROR(TER_rest_gas_kWh/1000),0,TER_rest_gas_kWh/1000)*0.902</f>
        <v>3681.2236072142523</v>
      </c>
      <c r="E12" s="33">
        <f>$C$32*'E Balans VL '!I8/100/3.6*1000000</f>
        <v>30.291826877049495</v>
      </c>
      <c r="F12" s="33">
        <f>$C$32*('E Balans VL '!L8+'E Balans VL '!N8)/100/3.6*1000000</f>
        <v>421.82416108693479</v>
      </c>
      <c r="G12" s="34"/>
      <c r="H12" s="33"/>
      <c r="I12" s="33"/>
      <c r="J12" s="33">
        <f>$C$32*('E Balans VL '!D8+'E Balans VL '!E8)/100/3.6*1000000</f>
        <v>5.9069517976078423E-3</v>
      </c>
      <c r="K12" s="33"/>
      <c r="L12" s="33"/>
      <c r="M12" s="33"/>
      <c r="N12" s="33">
        <f>$C$32*'E Balans VL '!Y8/100/3.6*1000000</f>
        <v>236.20402572735398</v>
      </c>
      <c r="O12" s="33"/>
      <c r="P12" s="33"/>
      <c r="R12" s="32"/>
    </row>
    <row r="13" spans="1:18">
      <c r="A13" s="16" t="s">
        <v>474</v>
      </c>
      <c r="B13" s="243">
        <f ca="1">'lokale energieproductie'!N38+'lokale energieproductie'!N31</f>
        <v>1350</v>
      </c>
      <c r="C13" s="243">
        <f ca="1">'lokale energieproductie'!O38+'lokale energieproductie'!O31</f>
        <v>1928.5714285714287</v>
      </c>
      <c r="D13" s="302">
        <f ca="1">('lokale energieproductie'!P31+'lokale energieproductie'!P38)*(-1)</f>
        <v>-3857.1428571428573</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39576.31617549096</v>
      </c>
      <c r="C16" s="21">
        <f t="shared" ca="1" si="1"/>
        <v>1928.5714285714287</v>
      </c>
      <c r="D16" s="21">
        <f t="shared" ca="1" si="1"/>
        <v>38681.022929914601</v>
      </c>
      <c r="E16" s="21">
        <f t="shared" si="1"/>
        <v>609.75280217333557</v>
      </c>
      <c r="F16" s="21">
        <f t="shared" ca="1" si="1"/>
        <v>6555.0866442515653</v>
      </c>
      <c r="G16" s="21">
        <f t="shared" si="1"/>
        <v>0</v>
      </c>
      <c r="H16" s="21">
        <f t="shared" si="1"/>
        <v>0</v>
      </c>
      <c r="I16" s="21">
        <f t="shared" si="1"/>
        <v>0</v>
      </c>
      <c r="J16" s="21">
        <f t="shared" si="1"/>
        <v>4.7229777021110433E-2</v>
      </c>
      <c r="K16" s="21">
        <f t="shared" si="1"/>
        <v>0</v>
      </c>
      <c r="L16" s="21">
        <f t="shared" ca="1" si="1"/>
        <v>0</v>
      </c>
      <c r="M16" s="21">
        <f t="shared" si="1"/>
        <v>0</v>
      </c>
      <c r="N16" s="21">
        <f t="shared" ca="1" si="1"/>
        <v>2056.3175339154195</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0.20816604388242699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8238.4451696920569</v>
      </c>
      <c r="C20" s="23">
        <f t="shared" ref="C20:P20" ca="1" si="2">C16*C18</f>
        <v>458.31932773109253</v>
      </c>
      <c r="D20" s="23">
        <f t="shared" ca="1" si="2"/>
        <v>7813.5666318427502</v>
      </c>
      <c r="E20" s="23">
        <f t="shared" si="2"/>
        <v>138.41388609334717</v>
      </c>
      <c r="F20" s="23">
        <f t="shared" ca="1" si="2"/>
        <v>1750.2081340151681</v>
      </c>
      <c r="G20" s="23">
        <f t="shared" si="2"/>
        <v>0</v>
      </c>
      <c r="H20" s="23">
        <f t="shared" si="2"/>
        <v>0</v>
      </c>
      <c r="I20" s="23">
        <f t="shared" si="2"/>
        <v>0</v>
      </c>
      <c r="J20" s="23">
        <f t="shared" si="2"/>
        <v>1.6719341065473091E-2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4156.2597391333102</v>
      </c>
      <c r="C26" s="39">
        <f>IF(ISERROR(B26*3.6/1000000/'E Balans VL '!Z12*100),0,B26*3.6/1000000/'E Balans VL '!Z12*100)</f>
        <v>8.785674683802451E-2</v>
      </c>
      <c r="D26" s="233" t="s">
        <v>726</v>
      </c>
      <c r="F26" s="6"/>
    </row>
    <row r="27" spans="1:18">
      <c r="A27" s="228" t="s">
        <v>52</v>
      </c>
      <c r="B27" s="33">
        <f>IF(ISERROR(TER_horeca_ele_kWh/1000),0,TER_horeca_ele_kWh/1000)</f>
        <v>2942.27055478176</v>
      </c>
      <c r="C27" s="39">
        <f>IF(ISERROR(B27*3.6/1000000/'E Balans VL '!Z9*100),0,B27*3.6/1000000/'E Balans VL '!Z9*100)</f>
        <v>0.23193809119322487</v>
      </c>
      <c r="D27" s="233" t="s">
        <v>726</v>
      </c>
      <c r="F27" s="6"/>
    </row>
    <row r="28" spans="1:18">
      <c r="A28" s="168" t="s">
        <v>51</v>
      </c>
      <c r="B28" s="33">
        <f>IF(ISERROR(TER_handel_ele_kWh/1000),0,TER_handel_ele_kWh/1000)</f>
        <v>14232.2016118341</v>
      </c>
      <c r="C28" s="39">
        <f>IF(ISERROR(B28*3.6/1000000/'E Balans VL '!Z13*100),0,B28*3.6/1000000/'E Balans VL '!Z13*100)</f>
        <v>0.4130759953136719</v>
      </c>
      <c r="D28" s="233" t="s">
        <v>726</v>
      </c>
      <c r="F28" s="6"/>
    </row>
    <row r="29" spans="1:18">
      <c r="A29" s="228" t="s">
        <v>50</v>
      </c>
      <c r="B29" s="33">
        <f>IF(ISERROR(TER_gezond_ele_kWh/1000),0,TER_gezond_ele_kWh/1000)</f>
        <v>11351.4325352293</v>
      </c>
      <c r="C29" s="39">
        <f>IF(ISERROR(B29*3.6/1000000/'E Balans VL '!Z10*100),0,B29*3.6/1000000/'E Balans VL '!Z10*100)</f>
        <v>1.1954922414019928</v>
      </c>
      <c r="D29" s="233" t="s">
        <v>726</v>
      </c>
      <c r="F29" s="6"/>
    </row>
    <row r="30" spans="1:18">
      <c r="A30" s="228" t="s">
        <v>49</v>
      </c>
      <c r="B30" s="33">
        <f>IF(ISERROR(TER_ander_ele_kWh/1000),0,TER_ander_ele_kWh/1000)</f>
        <v>1903.7442512627399</v>
      </c>
      <c r="C30" s="39">
        <f>IF(ISERROR(B30*3.6/1000000/'E Balans VL '!Z14*100),0,B30*3.6/1000000/'E Balans VL '!Z14*100)</f>
        <v>0.14042058946433419</v>
      </c>
      <c r="D30" s="233" t="s">
        <v>726</v>
      </c>
      <c r="F30" s="6"/>
    </row>
    <row r="31" spans="1:18">
      <c r="A31" s="228" t="s">
        <v>54</v>
      </c>
      <c r="B31" s="33">
        <f>IF(ISERROR(TER_onderwijs_ele_kWh/1000),0,TER_onderwijs_ele_kWh/1000)</f>
        <v>1201.05574388843</v>
      </c>
      <c r="C31" s="39">
        <f>IF(ISERROR(B31*3.6/1000000/'E Balans VL '!Z11*100),0,B31*3.6/1000000/'E Balans VL '!Z11*100)</f>
        <v>0.29827840197185318</v>
      </c>
      <c r="D31" s="233" t="s">
        <v>726</v>
      </c>
    </row>
    <row r="32" spans="1:18">
      <c r="A32" s="228" t="s">
        <v>248</v>
      </c>
      <c r="B32" s="33">
        <f>IF(ISERROR(TER_rest_ele_kWh/1000),0,TER_rest_ele_kWh/1000)</f>
        <v>2439.3517393613201</v>
      </c>
      <c r="C32" s="39">
        <f>IF(ISERROR(B32*3.6/1000000/'E Balans VL '!Z8*100),0,B32*3.6/1000000/'E Balans VL '!Z8*100)</f>
        <v>2.0072626904651791E-2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1</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3</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31816.673223472058</v>
      </c>
      <c r="C5" s="17">
        <f>IF(ISERROR('Eigen informatie GS &amp; warmtenet'!B59),0,'Eigen informatie GS &amp; warmtenet'!B59)</f>
        <v>0</v>
      </c>
      <c r="D5" s="30">
        <f>SUM(D6:D15)</f>
        <v>8818.0374085742224</v>
      </c>
      <c r="E5" s="17">
        <f>SUM(E6:E15)</f>
        <v>5308.5325946921448</v>
      </c>
      <c r="F5" s="17">
        <f>SUM(F6:F15)</f>
        <v>15412.759095393425</v>
      </c>
      <c r="G5" s="18"/>
      <c r="H5" s="17"/>
      <c r="I5" s="17"/>
      <c r="J5" s="17">
        <f>SUM(J6:J15)</f>
        <v>30.70861266134499</v>
      </c>
      <c r="K5" s="17"/>
      <c r="L5" s="17"/>
      <c r="M5" s="17"/>
      <c r="N5" s="17">
        <f>SUM(N6:N15)</f>
        <v>2470.6917031592775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341.40373343787803</v>
      </c>
      <c r="C8" s="33"/>
      <c r="D8" s="37">
        <f>IF( ISERROR(IND_metaal_Gas_kWH/1000),0,IND_metaal_Gas_kWH/1000)*0.902</f>
        <v>0</v>
      </c>
      <c r="E8" s="33">
        <f>C30*'E Balans VL '!I18/100/3.6*1000000</f>
        <v>3.1388775980997847</v>
      </c>
      <c r="F8" s="33">
        <f>C30*'E Balans VL '!L18/100/3.6*1000000+C30*'E Balans VL '!N18/100/3.6*1000000</f>
        <v>32.01230371561951</v>
      </c>
      <c r="G8" s="34"/>
      <c r="H8" s="33"/>
      <c r="I8" s="33"/>
      <c r="J8" s="40">
        <f>C30*'E Balans VL '!D18/100/3.6*1000000+C30*'E Balans VL '!E18/100/3.6*1000000</f>
        <v>0</v>
      </c>
      <c r="K8" s="33"/>
      <c r="L8" s="33"/>
      <c r="M8" s="33"/>
      <c r="N8" s="33">
        <f>C30*'E Balans VL '!Y18/100/3.6*1000000</f>
        <v>4.8706884509196131</v>
      </c>
      <c r="O8" s="33"/>
      <c r="P8" s="33"/>
      <c r="R8" s="32"/>
    </row>
    <row r="9" spans="1:18">
      <c r="A9" s="6" t="s">
        <v>32</v>
      </c>
      <c r="B9" s="37">
        <f t="shared" si="0"/>
        <v>16483.994693928202</v>
      </c>
      <c r="C9" s="33"/>
      <c r="D9" s="37">
        <f>IF( ISERROR(IND_andere_gas_kWh/1000),0,IND_andere_gas_kWh/1000)*0.902</f>
        <v>1547.5115676803166</v>
      </c>
      <c r="E9" s="33">
        <f>C31*'E Balans VL '!I19/100/3.6*1000000</f>
        <v>4818.5925545613154</v>
      </c>
      <c r="F9" s="33">
        <f>C31*'E Balans VL '!L19/100/3.6*1000000+C31*'E Balans VL '!N19/100/3.6*1000000</f>
        <v>13246.137460321392</v>
      </c>
      <c r="G9" s="34"/>
      <c r="H9" s="33"/>
      <c r="I9" s="33"/>
      <c r="J9" s="40">
        <f>C31*'E Balans VL '!D19/100/3.6*1000000+C31*'E Balans VL '!E19/100/3.6*1000000</f>
        <v>0</v>
      </c>
      <c r="K9" s="33"/>
      <c r="L9" s="33"/>
      <c r="M9" s="33"/>
      <c r="N9" s="33">
        <f>C31*'E Balans VL '!Y19/100/3.6*1000000</f>
        <v>1292.982155743279</v>
      </c>
      <c r="O9" s="33"/>
      <c r="P9" s="33"/>
      <c r="R9" s="32"/>
    </row>
    <row r="10" spans="1:18">
      <c r="A10" s="6" t="s">
        <v>40</v>
      </c>
      <c r="B10" s="37">
        <f t="shared" si="0"/>
        <v>5964.0989544964095</v>
      </c>
      <c r="C10" s="33"/>
      <c r="D10" s="37">
        <f>IF( ISERROR(IND_voed_gas_kWh/1000),0,IND_voed_gas_kWh/1000)*0.902</f>
        <v>2001.2485086862662</v>
      </c>
      <c r="E10" s="33">
        <f>C32*'E Balans VL '!I20/100/3.6*1000000</f>
        <v>12.617143812686699</v>
      </c>
      <c r="F10" s="33">
        <f>C32*'E Balans VL '!L20/100/3.6*1000000+C32*'E Balans VL '!N20/100/3.6*1000000</f>
        <v>379.20350367531427</v>
      </c>
      <c r="G10" s="34"/>
      <c r="H10" s="33"/>
      <c r="I10" s="33"/>
      <c r="J10" s="40">
        <f>C32*'E Balans VL '!D20/100/3.6*1000000+C32*'E Balans VL '!E20/100/3.6*1000000</f>
        <v>0</v>
      </c>
      <c r="K10" s="33"/>
      <c r="L10" s="33"/>
      <c r="M10" s="33"/>
      <c r="N10" s="33">
        <f>C32*'E Balans VL '!Y20/100/3.6*1000000</f>
        <v>411.58168302683657</v>
      </c>
      <c r="O10" s="33"/>
      <c r="P10" s="33"/>
      <c r="R10" s="32"/>
    </row>
    <row r="11" spans="1:18">
      <c r="A11" s="6" t="s">
        <v>39</v>
      </c>
      <c r="B11" s="37">
        <f t="shared" si="0"/>
        <v>64.299903084771699</v>
      </c>
      <c r="C11" s="33"/>
      <c r="D11" s="37">
        <f>IF( ISERROR(IND_textiel_gas_kWh/1000),0,IND_textiel_gas_kWh/1000)*0.902</f>
        <v>0</v>
      </c>
      <c r="E11" s="33">
        <f>C33*'E Balans VL '!I21/100/3.6*1000000</f>
        <v>0.19096516844438757</v>
      </c>
      <c r="F11" s="33">
        <f>C33*'E Balans VL '!L21/100/3.6*1000000+C33*'E Balans VL '!N21/100/3.6*1000000</f>
        <v>6.4960555085994311</v>
      </c>
      <c r="G11" s="34"/>
      <c r="H11" s="33"/>
      <c r="I11" s="33"/>
      <c r="J11" s="40">
        <f>C33*'E Balans VL '!D21/100/3.6*1000000+C33*'E Balans VL '!E21/100/3.6*1000000</f>
        <v>0</v>
      </c>
      <c r="K11" s="33"/>
      <c r="L11" s="33"/>
      <c r="M11" s="33"/>
      <c r="N11" s="33">
        <f>C33*'E Balans VL '!Y21/100/3.6*1000000</f>
        <v>3.5463448588942255</v>
      </c>
      <c r="O11" s="33"/>
      <c r="P11" s="33"/>
      <c r="R11" s="32"/>
    </row>
    <row r="12" spans="1:18">
      <c r="A12" s="6" t="s">
        <v>36</v>
      </c>
      <c r="B12" s="37">
        <f t="shared" si="0"/>
        <v>178.372281550107</v>
      </c>
      <c r="C12" s="33"/>
      <c r="D12" s="37">
        <f>IF( ISERROR(IND_min_gas_kWh/1000),0,IND_min_gas_kWh/1000)*0.902</f>
        <v>0</v>
      </c>
      <c r="E12" s="33">
        <f>C34*'E Balans VL '!I22/100/3.6*1000000</f>
        <v>5.1702779649918931</v>
      </c>
      <c r="F12" s="33">
        <f>C34*'E Balans VL '!L22/100/3.6*1000000+C34*'E Balans VL '!N22/100/3.6*1000000</f>
        <v>61.326406048631327</v>
      </c>
      <c r="G12" s="34"/>
      <c r="H12" s="33"/>
      <c r="I12" s="33"/>
      <c r="J12" s="40">
        <f>C34*'E Balans VL '!D22/100/3.6*1000000+C34*'E Balans VL '!E22/100/3.6*1000000</f>
        <v>0.29311941027209393</v>
      </c>
      <c r="K12" s="33"/>
      <c r="L12" s="33"/>
      <c r="M12" s="33"/>
      <c r="N12" s="33">
        <f>C34*'E Balans VL '!Y22/100/3.6*1000000</f>
        <v>39.048623674978231</v>
      </c>
      <c r="O12" s="33"/>
      <c r="P12" s="33"/>
      <c r="R12" s="32"/>
    </row>
    <row r="13" spans="1:18">
      <c r="A13" s="6" t="s">
        <v>38</v>
      </c>
      <c r="B13" s="37">
        <f t="shared" si="0"/>
        <v>301.53746711295202</v>
      </c>
      <c r="C13" s="33"/>
      <c r="D13" s="37">
        <f>IF( ISERROR(IND_papier_gas_kWh/1000),0,IND_papier_gas_kWh/1000)*0.902</f>
        <v>443.29627055264871</v>
      </c>
      <c r="E13" s="33">
        <f>C35*'E Balans VL '!I23/100/3.6*1000000</f>
        <v>0.42781270474989375</v>
      </c>
      <c r="F13" s="33">
        <f>C35*'E Balans VL '!L23/100/3.6*1000000+C35*'E Balans VL '!N23/100/3.6*1000000</f>
        <v>7.3616634262080716</v>
      </c>
      <c r="G13" s="34"/>
      <c r="H13" s="33"/>
      <c r="I13" s="33"/>
      <c r="J13" s="40">
        <f>C35*'E Balans VL '!D23/100/3.6*1000000+C35*'E Balans VL '!E23/100/3.6*1000000</f>
        <v>4.663560029527361E-2</v>
      </c>
      <c r="K13" s="33"/>
      <c r="L13" s="33"/>
      <c r="M13" s="33"/>
      <c r="N13" s="33">
        <f>C35*'E Balans VL '!Y23/100/3.6*1000000</f>
        <v>123.20383706229175</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8482.9661898617414</v>
      </c>
      <c r="C15" s="33"/>
      <c r="D15" s="37">
        <f>IF( ISERROR(IND_rest_gas_kWh/1000),0,IND_rest_gas_kWh/1000)*0.902</f>
        <v>4825.9810616549912</v>
      </c>
      <c r="E15" s="33">
        <f>C37*'E Balans VL '!I15/100/3.6*1000000</f>
        <v>468.39496288185654</v>
      </c>
      <c r="F15" s="33">
        <f>C37*'E Balans VL '!L15/100/3.6*1000000+C37*'E Balans VL '!N15/100/3.6*1000000</f>
        <v>1680.2217026976596</v>
      </c>
      <c r="G15" s="34"/>
      <c r="H15" s="33"/>
      <c r="I15" s="33"/>
      <c r="J15" s="40">
        <f>C37*'E Balans VL '!D15/100/3.6*1000000+C37*'E Balans VL '!E15/100/3.6*1000000</f>
        <v>30.368857650777624</v>
      </c>
      <c r="K15" s="33"/>
      <c r="L15" s="33"/>
      <c r="M15" s="33"/>
      <c r="N15" s="33">
        <f>C37*'E Balans VL '!Y15/100/3.6*1000000</f>
        <v>595.45837034207818</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31816.673223472058</v>
      </c>
      <c r="C18" s="21">
        <f>C5+C16</f>
        <v>0</v>
      </c>
      <c r="D18" s="21">
        <f>MAX((D5+D16),0)</f>
        <v>8818.0374085742224</v>
      </c>
      <c r="E18" s="21">
        <f>MAX((E5+E16),0)</f>
        <v>5308.5325946921448</v>
      </c>
      <c r="F18" s="21">
        <f>MAX((F5+F16),0)</f>
        <v>15412.759095393425</v>
      </c>
      <c r="G18" s="21"/>
      <c r="H18" s="21"/>
      <c r="I18" s="21"/>
      <c r="J18" s="21">
        <f>MAX((J5+J16),0)</f>
        <v>30.70861266134499</v>
      </c>
      <c r="K18" s="21"/>
      <c r="L18" s="21">
        <f>MAX((L5+L16),0)</f>
        <v>0</v>
      </c>
      <c r="M18" s="21"/>
      <c r="N18" s="21">
        <f>MAX((N5+N16),0)</f>
        <v>2470.6917031592775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0.20816604388242699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6623.1509944301242</v>
      </c>
      <c r="C22" s="23">
        <f ca="1">C18*C20</f>
        <v>0</v>
      </c>
      <c r="D22" s="23">
        <f>D18*D20</f>
        <v>1781.2435565319931</v>
      </c>
      <c r="E22" s="23">
        <f>E18*E20</f>
        <v>1205.0368989951169</v>
      </c>
      <c r="F22" s="23">
        <f>F18*F20</f>
        <v>4115.2066784700446</v>
      </c>
      <c r="G22" s="23"/>
      <c r="H22" s="23"/>
      <c r="I22" s="23"/>
      <c r="J22" s="23">
        <f>J18*J20</f>
        <v>10.870848882116126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341.40373343787803</v>
      </c>
      <c r="C30" s="39">
        <f>IF(ISERROR(B30*3.6/1000000/'E Balans VL '!Z18*100),0,B30*3.6/1000000/'E Balans VL '!Z18*100)</f>
        <v>1.9348224990353557E-2</v>
      </c>
      <c r="D30" s="233" t="s">
        <v>726</v>
      </c>
    </row>
    <row r="31" spans="1:18">
      <c r="A31" s="6" t="s">
        <v>32</v>
      </c>
      <c r="B31" s="37">
        <f>IF( ISERROR(IND_ander_ele_kWh/1000),0,IND_ander_ele_kWh/1000)</f>
        <v>16483.994693928202</v>
      </c>
      <c r="C31" s="39">
        <f>IF(ISERROR(B31*3.6/1000000/'E Balans VL '!Z19*100),0,B31*3.6/1000000/'E Balans VL '!Z19*100)</f>
        <v>0.74764536115730384</v>
      </c>
      <c r="D31" s="233" t="s">
        <v>726</v>
      </c>
    </row>
    <row r="32" spans="1:18">
      <c r="A32" s="168" t="s">
        <v>40</v>
      </c>
      <c r="B32" s="37">
        <f>IF( ISERROR(IND_voed_ele_kWh/1000),0,IND_voed_ele_kWh/1000)</f>
        <v>5964.0989544964095</v>
      </c>
      <c r="C32" s="39">
        <f>IF(ISERROR(B32*3.6/1000000/'E Balans VL '!Z20*100),0,B32*3.6/1000000/'E Balans VL '!Z20*100)</f>
        <v>0.18449665538575974</v>
      </c>
      <c r="D32" s="233" t="s">
        <v>726</v>
      </c>
    </row>
    <row r="33" spans="1:5">
      <c r="A33" s="168" t="s">
        <v>39</v>
      </c>
      <c r="B33" s="37">
        <f>IF( ISERROR(IND_textiel_ele_kWh/1000),0,IND_textiel_ele_kWh/1000)</f>
        <v>64.299903084771699</v>
      </c>
      <c r="C33" s="39">
        <f>IF(ISERROR(B33*3.6/1000000/'E Balans VL '!Z21*100),0,B33*3.6/1000000/'E Balans VL '!Z21*100)</f>
        <v>8.3839926324373037E-3</v>
      </c>
      <c r="D33" s="233" t="s">
        <v>726</v>
      </c>
    </row>
    <row r="34" spans="1:5">
      <c r="A34" s="168" t="s">
        <v>36</v>
      </c>
      <c r="B34" s="37">
        <f>IF( ISERROR(IND_min_ele_kWh/1000),0,IND_min_ele_kWh/1000)</f>
        <v>178.372281550107</v>
      </c>
      <c r="C34" s="39">
        <f>IF(ISERROR(B34*3.6/1000000/'E Balans VL '!Z22*100),0,B34*3.6/1000000/'E Balans VL '!Z22*100)</f>
        <v>3.2083608299773261E-2</v>
      </c>
      <c r="D34" s="233" t="s">
        <v>726</v>
      </c>
    </row>
    <row r="35" spans="1:5">
      <c r="A35" s="168" t="s">
        <v>38</v>
      </c>
      <c r="B35" s="37">
        <f>IF( ISERROR(IND_papier_ele_kWh/1000),0,IND_papier_ele_kWh/1000)</f>
        <v>301.53746711295202</v>
      </c>
      <c r="C35" s="39">
        <f>IF(ISERROR(B35*3.6/1000000/'E Balans VL '!Z22*100),0,B35*3.6/1000000/'E Balans VL '!Z22*100)</f>
        <v>5.4237182472995693E-2</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8482.9661898617414</v>
      </c>
      <c r="C37" s="39">
        <f>IF(ISERROR(B37*3.6/1000000/'E Balans VL '!Z15*100),0,B37*3.6/1000000/'E Balans VL '!Z15*100)</f>
        <v>6.7237925127944367E-2</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1087.9353501826783</v>
      </c>
      <c r="C5" s="17">
        <f>'Eigen informatie GS &amp; warmtenet'!B60</f>
        <v>0</v>
      </c>
      <c r="D5" s="30">
        <f>IF(ISERROR(SUM(LB_lb_gas_kWh,LB_rest_gas_kWh)/1000),0,SUM(LB_lb_gas_kWh,LB_rest_gas_kWh)/1000)*0.902</f>
        <v>151.50988295725887</v>
      </c>
      <c r="E5" s="17">
        <f>B17*'E Balans VL '!I25/3.6*1000000/100</f>
        <v>31.977742879966872</v>
      </c>
      <c r="F5" s="17">
        <f>B17*('E Balans VL '!L25/3.6*1000000+'E Balans VL '!N25/3.6*1000000)/100</f>
        <v>4532.2798799204083</v>
      </c>
      <c r="G5" s="18"/>
      <c r="H5" s="17"/>
      <c r="I5" s="17"/>
      <c r="J5" s="17">
        <f>('E Balans VL '!D25+'E Balans VL '!E25)/3.6*1000000*landbouw!B17/100</f>
        <v>157.61846856238353</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1087.9353501826783</v>
      </c>
      <c r="C8" s="21">
        <f>C5+C6</f>
        <v>0</v>
      </c>
      <c r="D8" s="21">
        <f>MAX((D5+D6),0)</f>
        <v>151.50988295725887</v>
      </c>
      <c r="E8" s="21">
        <f>MAX((E5+E6),0)</f>
        <v>31.977742879966872</v>
      </c>
      <c r="F8" s="21">
        <f>MAX((F5+F6),0)</f>
        <v>4532.2798799204083</v>
      </c>
      <c r="G8" s="21"/>
      <c r="H8" s="21"/>
      <c r="I8" s="21"/>
      <c r="J8" s="21">
        <f>MAX((J5+J6),0)</f>
        <v>157.61846856238353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0.20816604388242699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226.471197847371</v>
      </c>
      <c r="C12" s="23">
        <f ca="1">C8*C10</f>
        <v>0</v>
      </c>
      <c r="D12" s="23">
        <f>D8*D10</f>
        <v>30.604996357366293</v>
      </c>
      <c r="E12" s="23">
        <f>E8*E10</f>
        <v>7.2589476337524799</v>
      </c>
      <c r="F12" s="23">
        <f>F8*F10</f>
        <v>1210.1187279387491</v>
      </c>
      <c r="G12" s="23"/>
      <c r="H12" s="23"/>
      <c r="I12" s="23"/>
      <c r="J12" s="23">
        <f>J8*J10</f>
        <v>55.796937871083763</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0.15438143948398844</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293.54117950977786</v>
      </c>
      <c r="C26" s="243">
        <f>B26*'GWP N2O_CH4'!B5</f>
        <v>6164.3647697053348</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41.569360655820269</v>
      </c>
      <c r="C27" s="243">
        <f>B27*'GWP N2O_CH4'!B5</f>
        <v>872.95657377222562</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4.1449479846176391</v>
      </c>
      <c r="C28" s="243">
        <f>B28*'GWP N2O_CH4'!B4</f>
        <v>1284.9338752314682</v>
      </c>
      <c r="D28" s="50"/>
    </row>
    <row r="29" spans="1:4">
      <c r="A29" s="41" t="s">
        <v>265</v>
      </c>
      <c r="B29" s="243">
        <f>B34*'ha_N2O bodem landbouw'!B4</f>
        <v>20.684314120033953</v>
      </c>
      <c r="C29" s="243">
        <f>B29*'GWP N2O_CH4'!B4</f>
        <v>6412.1373772105253</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4.7200892008741925E-3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2.7103341684929998E-4</v>
      </c>
      <c r="C5" s="429" t="s">
        <v>204</v>
      </c>
      <c r="D5" s="414">
        <f>SUM(D6:D11)</f>
        <v>4.9907479284456752E-4</v>
      </c>
      <c r="E5" s="414">
        <f>SUM(E6:E11)</f>
        <v>8.6164011320920253E-4</v>
      </c>
      <c r="F5" s="427" t="s">
        <v>204</v>
      </c>
      <c r="G5" s="414">
        <f>SUM(G6:G11)</f>
        <v>0.35249221109818629</v>
      </c>
      <c r="H5" s="414">
        <f>SUM(H6:H11)</f>
        <v>7.9900104671084562E-2</v>
      </c>
      <c r="I5" s="429" t="s">
        <v>204</v>
      </c>
      <c r="J5" s="429" t="s">
        <v>204</v>
      </c>
      <c r="K5" s="429" t="s">
        <v>204</v>
      </c>
      <c r="L5" s="429" t="s">
        <v>204</v>
      </c>
      <c r="M5" s="414">
        <f>SUM(M6:M11)</f>
        <v>2.2946802089137172E-2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1.6544580599524571E-4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2.7814349340813961E-4</v>
      </c>
      <c r="E6" s="857">
        <f>vkm_GW_PW*SUMIFS(TableVerdeelsleutelVkm[LPG],TableVerdeelsleutelVkm[Voertuigtype],"Lichte voertuigen")*SUMIFS(TableECFTransport[EnergieConsumptieFactor (PJ per km)],TableECFTransport[Index],CONCATENATE($A6,"_LPG_LPG"))</f>
        <v>4.8939585945119185E-4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0.14520233452732251</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4.4937864913850989E-2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9.8065181406500369E-3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2.5380244510496064E-6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8.1522407791817922E-2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1.3300859139142167E-6</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4.7629910128044314E-3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1.0249000503900988E-4</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2.2093129943642791E-4</v>
      </c>
      <c r="E8" s="417">
        <f>vkm_NGW_PW*SUMIFS(TableVerdeelsleutelVkm[LPG],TableVerdeelsleutelVkm[Voertuigtype],"Lichte voertuigen")*SUMIFS(TableECFTransport[EnergieConsumptieFactor (PJ per km)],TableECFTransport[Index],CONCATENATE($A8,"_LPG_LPG"))</f>
        <v>3.7224425375801073E-4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0.10270565263132371</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3.4960555703662612E-2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7.0298944411690103E-3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5.5958136399476858E-7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2.3061816147722205E-2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3.5396765704104384E-7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1.3473984945136944E-3</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75.287060235916655</v>
      </c>
      <c r="C14" s="21"/>
      <c r="D14" s="21">
        <f t="shared" ref="D14:M14" si="0">((D5)*10^9/3600)+D12</f>
        <v>138.63188690126876</v>
      </c>
      <c r="E14" s="21">
        <f t="shared" si="0"/>
        <v>239.34447589144514</v>
      </c>
      <c r="F14" s="21"/>
      <c r="G14" s="21">
        <f t="shared" si="0"/>
        <v>97914.503082829528</v>
      </c>
      <c r="H14" s="21">
        <f t="shared" si="0"/>
        <v>22194.473519745712</v>
      </c>
      <c r="I14" s="21"/>
      <c r="J14" s="21"/>
      <c r="K14" s="21"/>
      <c r="L14" s="21"/>
      <c r="M14" s="21">
        <f t="shared" si="0"/>
        <v>6374.1116914269915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0.20816604388242699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15.67220948484875</v>
      </c>
      <c r="C18" s="23"/>
      <c r="D18" s="23">
        <f t="shared" ref="D18:M18" si="1">D14*D16</f>
        <v>28.00364115405629</v>
      </c>
      <c r="E18" s="23">
        <f t="shared" si="1"/>
        <v>54.331196027358047</v>
      </c>
      <c r="F18" s="23"/>
      <c r="G18" s="23">
        <f t="shared" si="1"/>
        <v>26143.172323115487</v>
      </c>
      <c r="H18" s="23">
        <f t="shared" si="1"/>
        <v>5526.4239064166823</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8.0169024546023713E-5</v>
      </c>
      <c r="C50" s="313">
        <f t="shared" ref="C50:P50" si="2">SUM(C51:C52)</f>
        <v>0</v>
      </c>
      <c r="D50" s="313">
        <f t="shared" si="2"/>
        <v>0</v>
      </c>
      <c r="E50" s="313">
        <f t="shared" si="2"/>
        <v>0</v>
      </c>
      <c r="F50" s="313">
        <f t="shared" si="2"/>
        <v>0</v>
      </c>
      <c r="G50" s="313">
        <f t="shared" si="2"/>
        <v>7.5310841066859703E-3</v>
      </c>
      <c r="H50" s="313">
        <f t="shared" si="2"/>
        <v>0</v>
      </c>
      <c r="I50" s="313">
        <f t="shared" si="2"/>
        <v>0</v>
      </c>
      <c r="J50" s="313">
        <f t="shared" si="2"/>
        <v>0</v>
      </c>
      <c r="K50" s="313">
        <f t="shared" si="2"/>
        <v>0</v>
      </c>
      <c r="L50" s="313">
        <f t="shared" si="2"/>
        <v>0</v>
      </c>
      <c r="M50" s="313">
        <f t="shared" si="2"/>
        <v>4.3369252150332176E-4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8.0169024546023713E-5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7.5310841066859703E-3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4.3369252150332176E-4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22.269173485006586</v>
      </c>
      <c r="C54" s="21">
        <f t="shared" ref="C54:P54" si="3">(C50)*10^9/3600</f>
        <v>0</v>
      </c>
      <c r="D54" s="21">
        <f t="shared" si="3"/>
        <v>0</v>
      </c>
      <c r="E54" s="21">
        <f t="shared" si="3"/>
        <v>0</v>
      </c>
      <c r="F54" s="21">
        <f t="shared" si="3"/>
        <v>0</v>
      </c>
      <c r="G54" s="21">
        <f t="shared" si="3"/>
        <v>2091.9678074127696</v>
      </c>
      <c r="H54" s="21">
        <f t="shared" si="3"/>
        <v>0</v>
      </c>
      <c r="I54" s="21">
        <f t="shared" si="3"/>
        <v>0</v>
      </c>
      <c r="J54" s="21">
        <f t="shared" si="3"/>
        <v>0</v>
      </c>
      <c r="K54" s="21">
        <f t="shared" si="3"/>
        <v>0</v>
      </c>
      <c r="L54" s="21">
        <f t="shared" si="3"/>
        <v>0</v>
      </c>
      <c r="M54" s="21">
        <f t="shared" si="3"/>
        <v>120.47014486203382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0.20816604388242699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4.6356857449052606</v>
      </c>
      <c r="C58" s="23">
        <f t="shared" ref="C58:P58" ca="1" si="4">C54*C56</f>
        <v>0</v>
      </c>
      <c r="D58" s="23">
        <f t="shared" si="4"/>
        <v>0</v>
      </c>
      <c r="E58" s="23">
        <f t="shared" si="4"/>
        <v>0</v>
      </c>
      <c r="F58" s="23">
        <f t="shared" si="4"/>
        <v>0</v>
      </c>
      <c r="G58" s="23">
        <f t="shared" si="4"/>
        <v>558.55540457920949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8.7953100204778156</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7448.5494716753947</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1350</v>
      </c>
      <c r="C8" s="536">
        <f>B48</f>
        <v>1588.2352941176473</v>
      </c>
      <c r="D8" s="1002"/>
      <c r="E8" s="1002">
        <f>E48</f>
        <v>0</v>
      </c>
      <c r="F8" s="1003"/>
      <c r="G8" s="537"/>
      <c r="H8" s="1002">
        <f>I48</f>
        <v>0</v>
      </c>
      <c r="I8" s="1002">
        <f>G48+F48</f>
        <v>0</v>
      </c>
      <c r="J8" s="1002">
        <f>H48+D48+C48</f>
        <v>0</v>
      </c>
      <c r="K8" s="1002"/>
      <c r="L8" s="1002"/>
      <c r="M8" s="1002"/>
      <c r="N8" s="538"/>
      <c r="O8" s="539">
        <f>C8*$C$12+D8*$D$12+E8*$E$12+F8*$F$12+G8*$G$12+H8*$H$12+I8*$I$12+J8*$J$12</f>
        <v>320.82352941176475</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8807.3447816958724</v>
      </c>
      <c r="C10" s="549">
        <f t="shared" ref="C10:L10" si="0">SUM(C8:C9)</f>
        <v>1588.2352941176473</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320.82352941176475</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1928.5714285714287</v>
      </c>
      <c r="C17" s="561">
        <f>B49</f>
        <v>2268.9075630252105</v>
      </c>
      <c r="D17" s="562"/>
      <c r="E17" s="562">
        <f>E49</f>
        <v>0</v>
      </c>
      <c r="F17" s="1008"/>
      <c r="G17" s="563"/>
      <c r="H17" s="561">
        <f>I49</f>
        <v>0</v>
      </c>
      <c r="I17" s="562">
        <f>G49+F49</f>
        <v>0</v>
      </c>
      <c r="J17" s="562">
        <f>H49+D49+C49</f>
        <v>0</v>
      </c>
      <c r="K17" s="562"/>
      <c r="L17" s="562"/>
      <c r="M17" s="562"/>
      <c r="N17" s="1009"/>
      <c r="O17" s="564">
        <f>C17*$C$22+E17*$E$22+H17*$H$22+I17*$I$22+J17*$J$22+D17*$D$22+F17*$F$22+G17*$G$22+K17*$K$22+L17*$L$22</f>
        <v>458.31932773109253</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1928.5714285714287</v>
      </c>
      <c r="C20" s="548">
        <f>SUM(C17:C19)</f>
        <v>2268.9075630252105</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458.31932773109253</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51" hidden="1">
      <c r="A28" s="571"/>
      <c r="B28" s="762">
        <v>41081</v>
      </c>
      <c r="C28" s="762">
        <v>9620</v>
      </c>
      <c r="D28" s="619"/>
      <c r="E28" s="618"/>
      <c r="F28" s="618"/>
      <c r="G28" s="618" t="s">
        <v>896</v>
      </c>
      <c r="H28" s="618" t="s">
        <v>897</v>
      </c>
      <c r="I28" s="618"/>
      <c r="J28" s="761"/>
      <c r="K28" s="761"/>
      <c r="L28" s="618" t="s">
        <v>898</v>
      </c>
      <c r="M28" s="618">
        <v>300</v>
      </c>
      <c r="N28" s="618">
        <v>1350</v>
      </c>
      <c r="O28" s="618">
        <v>1928.5714285714287</v>
      </c>
      <c r="P28" s="618">
        <v>3857.1428571428573</v>
      </c>
      <c r="Q28" s="618">
        <v>0</v>
      </c>
      <c r="R28" s="618">
        <v>0</v>
      </c>
      <c r="S28" s="618">
        <v>0</v>
      </c>
      <c r="T28" s="618">
        <v>0</v>
      </c>
      <c r="U28" s="618">
        <v>0</v>
      </c>
      <c r="V28" s="618">
        <v>0</v>
      </c>
      <c r="W28" s="618">
        <v>0</v>
      </c>
      <c r="X28" s="618">
        <v>1500</v>
      </c>
      <c r="Y28" s="618" t="s">
        <v>50</v>
      </c>
      <c r="Z28" s="620" t="s">
        <v>149</v>
      </c>
    </row>
    <row r="29" spans="1:26" s="556" customFormat="1" hidden="1">
      <c r="A29" s="574" t="s">
        <v>268</v>
      </c>
      <c r="B29" s="575"/>
      <c r="C29" s="575"/>
      <c r="D29" s="575"/>
      <c r="E29" s="575"/>
      <c r="F29" s="575"/>
      <c r="G29" s="575"/>
      <c r="H29" s="575"/>
      <c r="I29" s="575"/>
      <c r="J29" s="575"/>
      <c r="K29" s="575"/>
      <c r="L29" s="576"/>
      <c r="M29" s="576">
        <f>SUM(M28:M28)</f>
        <v>300</v>
      </c>
      <c r="N29" s="576">
        <f>SUM(N28:N28)</f>
        <v>1350</v>
      </c>
      <c r="O29" s="576">
        <f>SUM(O28:O28)</f>
        <v>1928.5714285714287</v>
      </c>
      <c r="P29" s="576">
        <f>SUM(P28:P28)</f>
        <v>3857.1428571428573</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300</v>
      </c>
      <c r="N31" s="576">
        <f ca="1">SUMIF($Z$28:AD28,"tertiair",N28:N28)</f>
        <v>1350</v>
      </c>
      <c r="O31" s="576">
        <f ca="1">SUMIF($Z$28:AE28,"tertiair",O28:O28)</f>
        <v>1928.5714285714287</v>
      </c>
      <c r="P31" s="576">
        <f ca="1">SUMIF($Z$28:AF28,"tertiair",P28:P28)</f>
        <v>3857.1428571428573</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0.58823529411764708</v>
      </c>
      <c r="C45" s="601">
        <f>IF(ISERROR(N29/(O29+N29)),0,N29/(N29+O29))</f>
        <v>0.41176470588235298</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1588.2352941176473</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2268.9075630252105</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2021-11-11T12:50:45Z</dcterms:modified>
</cp:coreProperties>
</file>