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5ED4B61-0F96-49C2-A2B0-C19A5C45180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<sst xmlns="http://schemas.openxmlformats.org/spreadsheetml/2006/main" count="2464" uniqueCount="896">
  <si>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</si>
  <si>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</si>
  <si>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</si>
  <si>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</si>
  <si>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</si>
  <si>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</si>
  <si>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</si>
  <si>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</si>
  <si>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</si>
  <si>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</si>
  <si>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</si>
  <si>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</si>
  <si>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</si>
  <si>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</si>
  <si>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</si>
  <si>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</si>
  <si>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</si>
  <si>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</si>
  <si>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</si>
  <si>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</si>
  <si>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</si>
  <si>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</si>
  <si>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</si>
  <si>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</si>
  <si>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</si>
  <si>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</si>
  <si>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</si>
  <si>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</si>
  <si>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</si>
  <si>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</si>
  <si>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</si>
  <si>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</si>
  <si>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</si>
  <si>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</si>
  <si>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</si>
  <si>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</si>
  <si>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</si>
  <si>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</si>
  <si>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</si>
  <si>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</si>
  <si>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</si>
  <si>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</si>
  <si>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</si>
  <si>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</si>
  <si>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</si>
  <si>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</si>
  <si>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</si>
  <si>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</si>
  <si>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</si>
  <si>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</si>
  <si>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</si>
  <si>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</si>
  <si>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</si>
  <si>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</si>
  <si>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</si>
  <si>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</si>
  <si>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</si>
  <si>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</si>
  <si>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</si>
  <si>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</si>
  <si>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</si>
  <si>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</si>
  <si>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</si>
  <si>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</si>
  <si>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</si>
  <si>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</si>
  <si>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</si>
  <si>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</si>
  <si>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</si>
  <si>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</si>
  <si>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</si>
  <si>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</si>
  <si>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</si>
  <si>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</si>
  <si>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</si>
  <si>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</si>
  <si>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</si>
  <si>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</si>
  <si>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</si>
  <si>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</si>
  <si>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</si>
  <si>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</si>
  <si>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</si>
  <si>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</si>
  <si>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</si>
  <si>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</si>
  <si>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</si>
  <si>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</si>
  <si>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</si>
  <si>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</si>
  <si>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</si>
  <si>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</si>
  <si>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</si>
  <si>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</si>
  <si>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</si>
  <si>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</si>
  <si>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</si>
  <si>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</si>
  <si>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</si>
  <si>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</si>
  <si>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</si>
  <si>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</si>
  <si>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</si>
  <si>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</si>
  <si>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</si>
  <si>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</si>
  <si>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</si>
  <si>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</si>
  <si>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</si>
  <si>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</si>
  <si>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</si>
  <si>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</si>
  <si>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</si>
  <si>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</si>
  <si>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</si>
  <si>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</si>
  <si>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</si>
  <si>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</si>
  <si>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</si>
  <si>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</si>
  <si>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</si>
  <si>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</si>
  <si>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</si>
  <si>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</si>
  <si>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</si>
  <si>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</si>
  <si>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</si>
  <si>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</si>
  <si>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</si>
  <si>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</si>
  <si>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</si>
  <si>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</si>
  <si>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</si>
  <si>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</si>
  <si>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</si>
  <si>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</si>
  <si>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</si>
  <si>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</si>
  <si>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</si>
  <si>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</si>
  <si>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</si>
  <si>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</si>
  <si>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</si>
  <si>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</si>
  <si>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</si>
  <si>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</si>
  <si>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</si>
  <si>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</si>
  <si>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</si>
  <si>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</si>
  <si>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</si>
  <si>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</si>
  <si>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</si>
  <si>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</si>
  <si>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</si>
  <si>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</si>
  <si>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</si>
  <si>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</si>
  <si>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</si>
  <si>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</si>
  <si>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</si>
  <si>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</si>
  <si>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</si>
  <si>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</si>
  <si>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</si>
  <si>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</si>
  <si>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</si>
  <si>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</si>
  <si>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</si>
  <si>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</si>
  <si>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</si>
  <si>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</si>
  <si>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</si>
  <si>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</si>
  <si>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</si>
  <si>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</si>
  <si>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</si>
  <si>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</si>
  <si>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</si>
  <si>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</si>
  <si>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</si>
  <si>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</si>
  <si>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</si>
  <si>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</si>
  <si>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</si>
  <si>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</si>
  <si>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</si>
  <si>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</si>
  <si>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</si>
  <si>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</si>
  <si>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</si>
  <si>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</si>
  <si>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</si>
  <si>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</si>
  <si>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</si>
  <si>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</si>
  <si>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</si>
  <si>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</si>
  <si>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</si>
  <si>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</si>
  <si>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</si>
  <si>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</si>
  <si>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</si>
  <si>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</si>
  <si>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</si>
  <si>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</si>
  <si>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</si>
  <si>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</si>
  <si>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</si>
  <si>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</si>
  <si>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</si>
  <si>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</si>
  <si>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</si>
  <si>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</si>
  <si>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</si>
  <si>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</si>
  <si>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</si>
  <si>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</si>
  <si>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</si>
  <si>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</si>
  <si>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</si>
  <si>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</si>
  <si>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</si>
  <si>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</si>
  <si>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</si>
  <si>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</si>
  <si>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</si>
  <si>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</si>
  <si>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</si>
  <si>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</si>
  <si>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</si>
  <si>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</si>
  <si>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</si>
  <si>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</si>
  <si>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</si>
  <si>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</si>
  <si>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</si>
  <si>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</si>
  <si>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</si>
  <si>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</si>
  <si>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</si>
  <si>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</si>
  <si>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</si>
  <si>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</si>
  <si>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</si>
  <si>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</si>
  <si>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</si>
  <si>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</si>
  <si>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</si>
  <si>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</si>
  <si>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</si>
  <si>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</si>
  <si>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</si>
  <si>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</si>
  <si>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</si>
  <si>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</si>
  <si>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</si>
  <si>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</si>
  <si>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</si>
  <si>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</si>
  <si>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</si>
  <si>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</si>
  <si>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</si>
  <si>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</si>
  <si>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</si>
  <si>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</si>
  <si>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</si>
  <si>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</si>
  <si>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</si>
  <si>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</si>
  <si>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</si>
  <si>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</si>
  <si>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</si>
  <si>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</si>
  <si>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</si>
  <si>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</si>
  <si>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</si>
  <si>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</si>
  <si>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</si>
  <si>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</si>
  <si>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</si>
  <si>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</si>
  <si>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</si>
  <si>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</si>
  <si>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</si>
  <si>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</si>
  <si>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</si>
  <si>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</si>
  <si>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</si>
  <si>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</si>
  <si>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</si>
  <si>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</si>
  <si>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</si>
  <si>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</si>
  <si>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</si>
  <si>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</si>
  <si>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</si>
  <si>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</si>
  <si>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</si>
  <si>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</si>
  <si>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</si>
  <si>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</si>
  <si>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</si>
  <si>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</si>
  <si>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</si>
  <si>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</si>
  <si>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</si>
  <si>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</si>
  <si>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</si>
  <si>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</si>
  <si>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</si>
  <si>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</si>
  <si>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</si>
  <si>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</si>
  <si>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</si>
  <si>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</si>
  <si>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</si>
  <si>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</si>
  <si>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</si>
  <si>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</si>
  <si>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</si>
  <si>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</si>
  <si>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</si>
  <si>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</si>
  <si>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</si>
  <si>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</si>
  <si>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</si>
  <si>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</si>
  <si>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</si>
  <si>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</si>
  <si>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</si>
  <si>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</si>
  <si>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</si>
  <si>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</si>
  <si>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</si>
  <si>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</si>
  <si>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</si>
  <si>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</si>
  <si>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</si>
  <si>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</si>
  <si>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</si>
  <si>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</si>
  <si>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</si>
  <si>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</si>
  <si>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</si>
  <si>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</si>
  <si>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</si>
  <si>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</si>
  <si>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</si>
  <si>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</si>
  <si>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</si>
  <si>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</si>
  <si>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</si>
  <si>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</si>
  <si>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</si>
  <si>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</si>
  <si>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</si>
  <si>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</si>
  <si>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</si>
  <si>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</si>
  <si>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</si>
  <si>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</si>
  <si>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</si>
  <si>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</si>
  <si>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</si>
  <si>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</si>
  <si>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</si>
  <si>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</si>
  <si>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</si>
  <si>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</si>
  <si>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</si>
  <si>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</si>
  <si>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</si>
  <si>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</si>
  <si>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</si>
  <si>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</si>
  <si>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</si>
  <si>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</si>
  <si>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</si>
  <si>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</si>
  <si>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</si>
  <si>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</si>
  <si>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</si>
  <si>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</si>
  <si>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</si>
  <si>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</si>
  <si>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</si>
  <si>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</si>
  <si>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</si>
  <si>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</si>
  <si>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</si>
  <si>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</si>
  <si>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</si>
  <si>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</si>
  <si>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</si>
  <si>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</si>
  <si>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</si>
  <si>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</si>
  <si>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</si>
  <si>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</si>
  <si>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</si>
  <si>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</si>
  <si>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</si>
  <si>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</si>
  <si>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</si>
  <si>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</si>
  <si>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</si>
  <si>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</si>
  <si>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</si>
  <si>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</si>
  <si>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</si>
  <si>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</si>
  <si>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</si>
  <si>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</si>
  <si>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</si>
  <si>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</si>
  <si>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</si>
  <si>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</si>
  <si>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</si>
  <si>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</si>
  <si>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</si>
  <si>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</si>
  <si>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</si>
  <si>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</si>
  <si>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</si>
  <si>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</si>
  <si>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</si>
  <si>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</si>
  <si>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</si>
  <si>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</si>
  <si>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</si>
  <si>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</si>
  <si>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</si>
  <si>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</si>
  <si>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</si>
  <si>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</si>
  <si>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</si>
  <si>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</si>
  <si>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</si>
  <si>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</si>
  <si>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</si>
  <si>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</si>
  <si>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</si>
  <si>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</si>
  <si>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</si>
  <si>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</si>
  <si>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</si>
  <si>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</si>
  <si>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</si>
  <si>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</si>
  <si>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</si>
  <si>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</si>
  <si>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</si>
  <si>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</si>
  <si>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</si>
  <si>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</si>
  <si>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</si>
  <si>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</si>
  <si>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</si>
  <si>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</si>
  <si>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</si>
  <si>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</si>
  <si>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</si>
  <si>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</si>
  <si>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</si>
  <si>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</si>
  <si>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</si>
  <si>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</si>
  <si>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</si>
  <si>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</si>
  <si>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</si>
  <si>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</si>
  <si>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</si>
  <si>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</si>
  <si>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</si>
  <si>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</si>
  <si>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</si>
  <si>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</si>
  <si>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</si>
  <si>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</si>
  <si>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</si>
  <si>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</si>
  <si>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</si>
  <si>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</si>
  <si>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</si>
  <si>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</si>
  <si>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</si>
  <si>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</si>
  <si>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</si>
  <si>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</si>
  <si>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</si>
  <si>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</si>
  <si>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</si>
  <si>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</si>
  <si>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</si>
  <si>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</si>
  <si>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</si>
  <si>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</si>
  <si>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</si>
  <si>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</si>
  <si>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</si>
  <si>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</si>
  <si>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</si>
  <si>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</si>
  <si>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</si>
  <si>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</si>
  <si>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</si>
  <si>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</si>
  <si>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</si>
  <si>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</si>
  <si>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</si>
  <si>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</si>
  <si>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</si>
  <si>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</si>
  <si>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</si>
  <si>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</si>
  <si>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</si>
  <si>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</si>
  <si>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</si>
  <si>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</si>
  <si>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</si>
  <si>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</si>
  <si>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</si>
  <si>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</si>
  <si>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</si>
  <si>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</si>
  <si>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</si>
  <si>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</si>
  <si>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</si>
  <si>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</si>
  <si>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</si>
  <si>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</si>
  <si>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</si>
  <si>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</si>
  <si>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</si>
  <si>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</si>
  <si>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</si>
  <si>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</si>
  <si>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</si>
  <si>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</si>
  <si>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</si>
  <si>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</si>
  <si>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</si>
  <si>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</si>
  <si>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</si>
  <si>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</si>
  <si>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</si>
  <si>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</si>
  <si>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</si>
  <si>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</si>
  <si>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</si>
  <si>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</si>
  <si>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</si>
  <si>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</si>
  <si>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</si>
  <si>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</si>
  <si>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</si>
  <si>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</si>
  <si>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</si>
  <si>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</si>
  <si>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</si>
  <si>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</si>
  <si>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</si>
  <si>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</si>
  <si>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</si>
  <si>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</si>
  <si>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</si>
  <si>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</si>
  <si>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</si>
  <si>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</si>
  <si>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</si>
  <si>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</si>
  <si>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</si>
  <si>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</si>
  <si>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</si>
  <si>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</si>
  <si>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</si>
  <si>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</si>
  <si>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</si>
  <si>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</si>
  <si>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</si>
  <si>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</si>
  <si>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</si>
  <si>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</si>
  <si>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</si>
  <si>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</si>
  <si>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</si>
  <si>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</si>
  <si>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</si>
  <si>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</si>
  <si>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</si>
  <si>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</si>
  <si>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</si>
  <si>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</si>
  <si>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</si>
  <si>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</si>
  <si>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</si>
  <si>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</si>
  <si>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</si>
  <si>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</si>
  <si>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</si>
  <si>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</si>
  <si>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</si>
  <si>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</si>
  <si>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</si>
  <si>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</si>
  <si>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</si>
  <si>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</si>
  <si>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</si>
  <si>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</si>
  <si>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</si>
  <si>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</si>
  <si>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</si>
  <si>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</si>
  <si>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</si>
  <si>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</si>
  <si>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</si>
  <si>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</si>
  <si>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</si>
  <si>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</si>
  <si>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</si>
  <si>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</si>
  <si>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</si>
  <si>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</si>
  <si>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</si>
  <si>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</si>
  <si>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</si>
  <si>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</si>
  <si>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</si>
  <si>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</si>
  <si>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</si>
  <si>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</si>
  <si>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</si>
  <si>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</si>
  <si>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</si>
  <si>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</si>
  <si>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</si>
  <si>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</si>
  <si>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</si>
  <si>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</si>
  <si>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</si>
  <si>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</si>
  <si>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</si>
  <si>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</si>
  <si>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</si>
  <si>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</si>
  <si>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</si>
  <si>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</si>
  <si>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</si>
  <si>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</si>
  <si>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</si>
  <si>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</si>
  <si>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</si>
  <si>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</si>
  <si>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</si>
  <si>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</si>
  <si>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</si>
  <si>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</si>
  <si>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</si>
  <si>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</si>
  <si>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</si>
  <si>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</si>
  <si>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</si>
  <si>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</si>
  <si>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</si>
  <si>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</si>
  <si>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</si>
  <si>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</si>
  <si>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</si>
  <si>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</si>
  <si>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</si>
  <si>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</si>
  <si>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</si>
  <si>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</si>
  <si>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</si>
  <si>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</si>
  <si>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</si>
  <si>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</si>
  <si>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</si>
  <si>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</si>
  <si>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</si>
  <si>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</si>
  <si>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</si>
  <si>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</si>
  <si>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</si>
  <si>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</si>
  <si>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</si>
  <si>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</si>
  <si>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</si>
  <si>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</si>
  <si>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</si>
  <si>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</si>
  <si>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</si>
  <si>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</si>
  <si>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</si>
  <si>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</si>
  <si>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</si>
  <si>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</si>
  <si>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</si>
  <si>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</si>
  <si>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</si>
  <si>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</si>
  <si>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</si>
  <si>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</si>
  <si>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</si>
  <si>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</si>
  <si>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</si>
  <si>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</si>
  <si>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</si>
  <si>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</si>
  <si>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</si>
  <si>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</si>
  <si>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</si>
  <si>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</si>
  <si>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</si>
  <si>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</si>
  <si>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</si>
  <si>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</si>
  <si>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</si>
  <si>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</si>
  <si>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</si>
  <si>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</si>
  <si>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</si>
  <si>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</si>
  <si>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</si>
  <si>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</si>
  <si>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</si>
  <si>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</si>
  <si>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</si>
  <si>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</si>
  <si>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</si>
  <si>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</si>
  <si>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</si>
  <si>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</si>
  <si>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</si>
  <si>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</si>
  <si>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</si>
  <si>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</si>
  <si>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</si>
  <si>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</si>
  <si>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</si>
  <si>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</si>
  <si>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</si>
  <si>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</si>
  <si>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</si>
  <si>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</si>
  <si>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</si>
  <si>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</si>
  <si>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</si>
  <si>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</si>
  <si>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</si>
  <si>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</si>
  <si>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</si>
  <si>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</si>
  <si>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</si>
  <si>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</si>
  <si>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</si>
  <si>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</si>
  <si>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</si>
  <si>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</si>
  <si>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</si>
  <si>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</si>
  <si>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</si>
  <si>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</si>
  <si>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</si>
  <si>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</si>
  <si>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</si>
  <si>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</si>
  <si>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</si>
  <si>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</si>
  <si>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</si>
  <si>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</si>
  <si>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</si>
  <si>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</si>
  <si>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</si>
  <si>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</si>
  <si>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</si>
  <si>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</si>
  <si>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</si>
  <si>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</si>
  <si>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</si>
  <si>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</si>
  <si>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</si>
  <si>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</si>
  <si>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</si>
  <si>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</si>
  <si>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</si>
  <si>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</si>
  <si>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</si>
  <si>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</si>
  <si>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</si>
  <si>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</si>
  <si>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</si>
  <si>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</si>
  <si>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</si>
  <si>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</si>
  <si>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</si>
  <si>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</si>
  <si>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</si>
  <si>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</si>
  <si>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</si>
  <si>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</si>
  <si>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</si>
  <si>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</si>
  <si>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</si>
  <si>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</si>
  <si>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</si>
  <si>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</si>
  <si>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</si>
  <si>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</si>
  <si>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</si>
  <si>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</si>
  <si>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</si>
  <si>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</si>
  <si>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</si>
  <si>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</si>
  <si>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</si>
  <si>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</si>
  <si>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</si>
  <si>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</si>
  <si>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</si>
  <si>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</si>
  <si>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</si>
  <si>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</si>
  <si>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</si>
  <si>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</si>
  <si>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</si>
  <si>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</si>
  <si>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</si>
  <si>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</si>
  <si>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</si>
  <si>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</si>
  <si>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</si>
  <si>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</si>
  <si>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</si>
  <si>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</si>
  <si>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</si>
  <si>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</si>
  <si>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</si>
  <si>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</si>
  <si>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</si>
  <si>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</si>
  <si>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</si>
  <si>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</si>
  <si>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</si>
  <si>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</si>
  <si>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</si>
  <si>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</si>
  <si>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</si>
  <si>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</si>
  <si>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</si>
  <si>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</si>
  <si>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</si>
  <si>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</si>
  <si>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</si>
  <si>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</si>
  <si>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</si>
  <si>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</si>
  <si>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</si>
  <si>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</si>
  <si>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</si>
  <si>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</si>
  <si>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</si>
  <si>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</si>
  <si>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</si>
  <si>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</si>
  <si>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</si>
  <si>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</si>
  <si>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</si>
  <si>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</si>
  <si>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</si>
  <si>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</si>
  <si>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</si>
  <si>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</si>
  <si>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</si>
  <si>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</si>
  <si>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</si>
  <si>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</si>
  <si>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</si>
  <si>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</si>
  <si>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</si>
  <si>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</si>
  <si>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</si>
  <si>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</si>
  <si>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</si>
  <si>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</si>
  <si>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</si>
  <si>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</si>
  <si>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</si>
  <si>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</si>
  <si>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</si>
  <si>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</si>
  <si>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41024</t>
  </si>
  <si>
    <t>HAALTERT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</si>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</sst>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3807617-37D6-4C1E-8C7D-3C7380A3E7F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167766.40416434855</c:v>
                </c:pt>
                <c:pt idx="1">
                  <c:v>26440.051192952647</c:v>
                </c:pt>
                <c:pt idx="2">
                  <c:v>1119.4739999999999</c:v>
                </c:pt>
                <c:pt idx="3">
                  <c:v>3404.324208298151</c:v>
                </c:pt>
                <c:pt idx="4">
                  <c:v>14709.826087379635</c:v>
                </c:pt>
                <c:pt idx="5">
                  <c:v>96822.725385046302</c:v>
                </c:pt>
                <c:pt idx="6">
                  <c:v>781.13089915853959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167766.40416434855</c:v>
                </c:pt>
                <c:pt idx="1">
                  <c:v>26440.051192952647</c:v>
                </c:pt>
                <c:pt idx="2">
                  <c:v>1119.4739999999999</c:v>
                </c:pt>
                <c:pt idx="3">
                  <c:v>3404.324208298151</c:v>
                </c:pt>
                <c:pt idx="4">
                  <c:v>14709.826087379635</c:v>
                </c:pt>
                <c:pt idx="5">
                  <c:v>96822.725385046302</c:v>
                </c:pt>
                <c:pt idx="6">
                  <c:v>781.13089915853959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32971.93939101202</c:v>
                </c:pt>
                <c:pt idx="2">
                  <c:v>4571.0443104121914</c:v>
                </c:pt>
                <c:pt idx="3">
                  <c:v>157.60714808646182</c:v>
                </c:pt>
                <c:pt idx="4">
                  <c:v>827.16385594565497</c:v>
                </c:pt>
                <c:pt idx="5">
                  <c:v>2503.4271189822921</c:v>
                </c:pt>
                <c:pt idx="6">
                  <c:v>24249.432813176558</c:v>
                </c:pt>
                <c:pt idx="7">
                  <c:v>196.33619374981132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32971.93939101202</c:v>
                </c:pt>
                <c:pt idx="2">
                  <c:v>4571.0443104121914</c:v>
                </c:pt>
                <c:pt idx="3">
                  <c:v>157.60714808646182</c:v>
                </c:pt>
                <c:pt idx="4">
                  <c:v>827.16385594565497</c:v>
                </c:pt>
                <c:pt idx="5">
                  <c:v>2503.4271189822921</c:v>
                </c:pt>
                <c:pt idx="6">
                  <c:v>24249.432813176558</c:v>
                </c:pt>
                <c:pt idx="7">
                  <c:v>196.33619374981132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41024</v>
      </c>
      <c r="B6" s="382"/>
      <c r="C6" s="383"/>
    </row>
    <row r="7" spans="1:7" s="380" customFormat="1" ht="15.75" customHeight="1">
      <c r="A7" s="384" t="str">
        <f>txtMunicipality</f>
        <v>HAALTERT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11588.358115280458</v>
      </c>
      <c r="D10" s="971">
        <f ca="1">tertiair!C16</f>
        <v>0</v>
      </c>
      <c r="E10" s="971">
        <f ca="1">tertiair!D16</f>
        <v>12715.389356117304</v>
      </c>
      <c r="F10" s="971">
        <f>tertiair!E16</f>
        <v>148.81471631393993</v>
      </c>
      <c r="G10" s="971">
        <f ca="1">tertiair!F16</f>
        <v>1853.4206418875872</v>
      </c>
      <c r="H10" s="971">
        <f>tertiair!G16</f>
        <v>0</v>
      </c>
      <c r="I10" s="971">
        <f>tertiair!H16</f>
        <v>0</v>
      </c>
      <c r="J10" s="971">
        <f>tertiair!I16</f>
        <v>0</v>
      </c>
      <c r="K10" s="971">
        <f>tertiair!J16</f>
        <v>3.0637800029591728E-2</v>
      </c>
      <c r="L10" s="971">
        <f>tertiair!K16</f>
        <v>0</v>
      </c>
      <c r="M10" s="971">
        <f ca="1">tertiair!L16</f>
        <v>0</v>
      </c>
      <c r="N10" s="971">
        <f>tertiair!M16</f>
        <v>0</v>
      </c>
      <c r="O10" s="971">
        <f ca="1">tertiair!N16</f>
        <v>1231.3183922199926</v>
      </c>
      <c r="P10" s="971">
        <f>tertiair!O16</f>
        <v>3.1266666666666669</v>
      </c>
      <c r="Q10" s="972">
        <f>tertiair!P16</f>
        <v>19.066666666666666</v>
      </c>
      <c r="R10" s="666">
        <f ca="1">SUM(C10:Q10)</f>
        <v>27559.525192952649</v>
      </c>
      <c r="S10" s="67"/>
    </row>
    <row r="11" spans="1:19" s="439" customFormat="1">
      <c r="A11" s="775" t="s">
        <v>213</v>
      </c>
      <c r="B11" s="780"/>
      <c r="C11" s="971">
        <f>huishoudens!B8</f>
        <v>34424.716259804736</v>
      </c>
      <c r="D11" s="971">
        <f>huishoudens!C8</f>
        <v>0</v>
      </c>
      <c r="E11" s="971">
        <f>huishoudens!D8</f>
        <v>58420.860603226472</v>
      </c>
      <c r="F11" s="971">
        <f>huishoudens!E8</f>
        <v>2320.5378699833168</v>
      </c>
      <c r="G11" s="971">
        <f>huishoudens!F8</f>
        <v>58792.027770219604</v>
      </c>
      <c r="H11" s="971">
        <f>huishoudens!G8</f>
        <v>0</v>
      </c>
      <c r="I11" s="971">
        <f>huishoudens!H8</f>
        <v>0</v>
      </c>
      <c r="J11" s="971">
        <f>huishoudens!I8</f>
        <v>0</v>
      </c>
      <c r="K11" s="971">
        <f>huishoudens!J8</f>
        <v>282.90064168199922</v>
      </c>
      <c r="L11" s="971">
        <f>huishoudens!K8</f>
        <v>0</v>
      </c>
      <c r="M11" s="971">
        <f>huishoudens!L8</f>
        <v>0</v>
      </c>
      <c r="N11" s="971">
        <f>huishoudens!M8</f>
        <v>0</v>
      </c>
      <c r="O11" s="971">
        <f>huishoudens!N8</f>
        <v>11812.397686099051</v>
      </c>
      <c r="P11" s="971">
        <f>huishoudens!O8</f>
        <v>282.96333333333337</v>
      </c>
      <c r="Q11" s="972">
        <f>huishoudens!P8</f>
        <v>1430</v>
      </c>
      <c r="R11" s="666">
        <f>SUM(C11:Q11)</f>
        <v>167766.40416434855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8304.4259207409195</v>
      </c>
      <c r="D13" s="971">
        <f>industrie!C18</f>
        <v>0</v>
      </c>
      <c r="E13" s="971">
        <f>industrie!D18</f>
        <v>2982.6813356869338</v>
      </c>
      <c r="F13" s="971">
        <f>industrie!E18</f>
        <v>652.99583746056226</v>
      </c>
      <c r="G13" s="971">
        <f>industrie!F18</f>
        <v>2152.6983447664493</v>
      </c>
      <c r="H13" s="971">
        <f>industrie!G18</f>
        <v>0</v>
      </c>
      <c r="I13" s="971">
        <f>industrie!H18</f>
        <v>0</v>
      </c>
      <c r="J13" s="971">
        <f>industrie!I18</f>
        <v>0</v>
      </c>
      <c r="K13" s="971">
        <f>industrie!J18</f>
        <v>24.778330717978609</v>
      </c>
      <c r="L13" s="971">
        <f>industrie!K18</f>
        <v>0</v>
      </c>
      <c r="M13" s="971">
        <f>industrie!L18</f>
        <v>0</v>
      </c>
      <c r="N13" s="971">
        <f>industrie!M18</f>
        <v>0</v>
      </c>
      <c r="O13" s="971">
        <f>industrie!N18</f>
        <v>592.24631800679151</v>
      </c>
      <c r="P13" s="971">
        <f>industrie!O18</f>
        <v>0</v>
      </c>
      <c r="Q13" s="972">
        <f>industrie!P18</f>
        <v>0</v>
      </c>
      <c r="R13" s="666">
        <f>SUM(C13:Q13)</f>
        <v>14709.826087379635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54317.500295826118</v>
      </c>
      <c r="D16" s="698">
        <f t="shared" ref="D16:R16" ca="1" si="0">SUM(D9:D15)</f>
        <v>0</v>
      </c>
      <c r="E16" s="698">
        <f t="shared" ca="1" si="0"/>
        <v>74118.931295030721</v>
      </c>
      <c r="F16" s="698">
        <f t="shared" si="0"/>
        <v>3122.3484237578186</v>
      </c>
      <c r="G16" s="698">
        <f t="shared" ca="1" si="0"/>
        <v>62798.146756873633</v>
      </c>
      <c r="H16" s="698">
        <f t="shared" si="0"/>
        <v>0</v>
      </c>
      <c r="I16" s="698">
        <f t="shared" si="0"/>
        <v>0</v>
      </c>
      <c r="J16" s="698">
        <f t="shared" si="0"/>
        <v>0</v>
      </c>
      <c r="K16" s="698">
        <f t="shared" si="0"/>
        <v>307.70961020000743</v>
      </c>
      <c r="L16" s="698">
        <f t="shared" si="0"/>
        <v>0</v>
      </c>
      <c r="M16" s="698">
        <f t="shared" ca="1" si="0"/>
        <v>0</v>
      </c>
      <c r="N16" s="698">
        <f t="shared" si="0"/>
        <v>0</v>
      </c>
      <c r="O16" s="698">
        <f t="shared" ca="1" si="0"/>
        <v>13635.962396325836</v>
      </c>
      <c r="P16" s="698">
        <f t="shared" si="0"/>
        <v>286.09000000000003</v>
      </c>
      <c r="Q16" s="698">
        <f t="shared" si="0"/>
        <v>1449.0666666666666</v>
      </c>
      <c r="R16" s="698">
        <f t="shared" ca="1" si="0"/>
        <v>210035.75544468084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7.7840802078018534</v>
      </c>
      <c r="D19" s="971">
        <f>transport!C54</f>
        <v>0</v>
      </c>
      <c r="E19" s="971">
        <f>transport!D54</f>
        <v>0</v>
      </c>
      <c r="F19" s="971">
        <f>transport!E54</f>
        <v>0</v>
      </c>
      <c r="G19" s="971">
        <f>transport!F54</f>
        <v>0</v>
      </c>
      <c r="H19" s="971">
        <f>transport!G54</f>
        <v>731.23707155113402</v>
      </c>
      <c r="I19" s="971">
        <f>transport!H54</f>
        <v>0</v>
      </c>
      <c r="J19" s="971">
        <f>transport!I54</f>
        <v>0</v>
      </c>
      <c r="K19" s="971">
        <f>transport!J54</f>
        <v>0</v>
      </c>
      <c r="L19" s="971">
        <f>transport!K54</f>
        <v>0</v>
      </c>
      <c r="M19" s="971">
        <f>transport!L54</f>
        <v>0</v>
      </c>
      <c r="N19" s="971">
        <f>transport!M54</f>
        <v>42.109747399603698</v>
      </c>
      <c r="O19" s="971">
        <f>transport!N54</f>
        <v>0</v>
      </c>
      <c r="P19" s="971">
        <f>transport!O54</f>
        <v>0</v>
      </c>
      <c r="Q19" s="972">
        <f>transport!P54</f>
        <v>0</v>
      </c>
      <c r="R19" s="666">
        <f>SUM(C19:Q19)</f>
        <v>781.13089915853959</v>
      </c>
      <c r="S19" s="67"/>
    </row>
    <row r="20" spans="1:19" s="439" customFormat="1">
      <c r="A20" s="775" t="s">
        <v>295</v>
      </c>
      <c r="B20" s="780"/>
      <c r="C20" s="971">
        <f>transport!B14</f>
        <v>50.919909569457346</v>
      </c>
      <c r="D20" s="971">
        <f>transport!C14</f>
        <v>0</v>
      </c>
      <c r="E20" s="971">
        <f>transport!D14</f>
        <v>93.994964636455293</v>
      </c>
      <c r="F20" s="971">
        <f>transport!E14</f>
        <v>162.02978257221088</v>
      </c>
      <c r="G20" s="971">
        <f>transport!F14</f>
        <v>0</v>
      </c>
      <c r="H20" s="971">
        <f>transport!G14</f>
        <v>76562.586289174462</v>
      </c>
      <c r="I20" s="971">
        <f>transport!H14</f>
        <v>15037.291887475198</v>
      </c>
      <c r="J20" s="971">
        <f>transport!I14</f>
        <v>0</v>
      </c>
      <c r="K20" s="971">
        <f>transport!J14</f>
        <v>0</v>
      </c>
      <c r="L20" s="971">
        <f>transport!K14</f>
        <v>0</v>
      </c>
      <c r="M20" s="971">
        <f>transport!L14</f>
        <v>0</v>
      </c>
      <c r="N20" s="971">
        <f>transport!M14</f>
        <v>4915.902551618522</v>
      </c>
      <c r="O20" s="971">
        <f>transport!N14</f>
        <v>0</v>
      </c>
      <c r="P20" s="971">
        <f>transport!O14</f>
        <v>0</v>
      </c>
      <c r="Q20" s="972">
        <f>transport!P14</f>
        <v>0</v>
      </c>
      <c r="R20" s="666">
        <f>SUM(C20:Q20)</f>
        <v>96822.725385046302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58.703989777259196</v>
      </c>
      <c r="D22" s="778">
        <f t="shared" ref="D22:R22" si="1">SUM(D18:D21)</f>
        <v>0</v>
      </c>
      <c r="E22" s="778">
        <f t="shared" si="1"/>
        <v>93.994964636455293</v>
      </c>
      <c r="F22" s="778">
        <f t="shared" si="1"/>
        <v>162.02978257221088</v>
      </c>
      <c r="G22" s="778">
        <f t="shared" si="1"/>
        <v>0</v>
      </c>
      <c r="H22" s="778">
        <f t="shared" si="1"/>
        <v>77293.823360725597</v>
      </c>
      <c r="I22" s="778">
        <f t="shared" si="1"/>
        <v>15037.291887475198</v>
      </c>
      <c r="J22" s="778">
        <f t="shared" si="1"/>
        <v>0</v>
      </c>
      <c r="K22" s="778">
        <f t="shared" si="1"/>
        <v>0</v>
      </c>
      <c r="L22" s="778">
        <f t="shared" si="1"/>
        <v>0</v>
      </c>
      <c r="M22" s="778">
        <f t="shared" si="1"/>
        <v>0</v>
      </c>
      <c r="N22" s="778">
        <f t="shared" si="1"/>
        <v>4958.0122990181253</v>
      </c>
      <c r="O22" s="778">
        <f t="shared" si="1"/>
        <v>0</v>
      </c>
      <c r="P22" s="778">
        <f t="shared" si="1"/>
        <v>0</v>
      </c>
      <c r="Q22" s="778">
        <f t="shared" si="1"/>
        <v>0</v>
      </c>
      <c r="R22" s="778">
        <f t="shared" si="1"/>
        <v>97603.856284204841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600.39850094466703</v>
      </c>
      <c r="D24" s="971">
        <f>+landbouw!C8</f>
        <v>0</v>
      </c>
      <c r="E24" s="971">
        <f>+landbouw!D8</f>
        <v>198.06560139716058</v>
      </c>
      <c r="F24" s="971">
        <f>+landbouw!E8</f>
        <v>17.647545771448907</v>
      </c>
      <c r="G24" s="971">
        <f>+landbouw!F8</f>
        <v>2501.2277111033927</v>
      </c>
      <c r="H24" s="971">
        <f>+landbouw!G8</f>
        <v>0</v>
      </c>
      <c r="I24" s="971">
        <f>+landbouw!H8</f>
        <v>0</v>
      </c>
      <c r="J24" s="971">
        <f>+landbouw!I8</f>
        <v>0</v>
      </c>
      <c r="K24" s="971">
        <f>+landbouw!J8</f>
        <v>86.984849081481684</v>
      </c>
      <c r="L24" s="971">
        <f>+landbouw!K8</f>
        <v>0</v>
      </c>
      <c r="M24" s="971">
        <f>+landbouw!L8</f>
        <v>0</v>
      </c>
      <c r="N24" s="971">
        <f>+landbouw!M8</f>
        <v>0</v>
      </c>
      <c r="O24" s="971">
        <f>+landbouw!N8</f>
        <v>0</v>
      </c>
      <c r="P24" s="971">
        <f>+landbouw!O8</f>
        <v>0</v>
      </c>
      <c r="Q24" s="972">
        <f>+landbouw!P8</f>
        <v>0</v>
      </c>
      <c r="R24" s="666">
        <f>SUM(C24:Q24)</f>
        <v>3404.324208298151</v>
      </c>
      <c r="S24" s="67"/>
    </row>
    <row r="25" spans="1:19" s="439" customFormat="1" ht="15" thickBot="1">
      <c r="A25" s="797" t="s">
        <v>802</v>
      </c>
      <c r="B25" s="974"/>
      <c r="C25" s="975">
        <f>IF(Onbekend_ele_kWh="---",0,Onbekend_ele_kWh)/1000+IF(REST_rest_ele_kWh="---",0,REST_rest_ele_kWh)/1000</f>
        <v>932.26001431668396</v>
      </c>
      <c r="D25" s="975"/>
      <c r="E25" s="975">
        <f>IF(onbekend_gas_kWh="---",0,onbekend_gas_kWh)/1000+IF(REST_rest_gas_kWh="---",0,REST_rest_gas_kWh)/1000</f>
        <v>1859.2400453486998</v>
      </c>
      <c r="F25" s="975"/>
      <c r="G25" s="975"/>
      <c r="H25" s="975"/>
      <c r="I25" s="975"/>
      <c r="J25" s="975"/>
      <c r="K25" s="975"/>
      <c r="L25" s="975"/>
      <c r="M25" s="975"/>
      <c r="N25" s="975"/>
      <c r="O25" s="975"/>
      <c r="P25" s="975"/>
      <c r="Q25" s="976"/>
      <c r="R25" s="666">
        <f>SUM(C25:Q25)</f>
        <v>2791.5000596653836</v>
      </c>
      <c r="S25" s="67"/>
    </row>
    <row r="26" spans="1:19" s="439" customFormat="1" ht="15.75" thickBot="1">
      <c r="A26" s="671" t="s">
        <v>803</v>
      </c>
      <c r="B26" s="783"/>
      <c r="C26" s="778">
        <f>SUM(C24:C25)</f>
        <v>1532.6585152613511</v>
      </c>
      <c r="D26" s="778">
        <f t="shared" ref="D26:R26" si="2">SUM(D24:D25)</f>
        <v>0</v>
      </c>
      <c r="E26" s="778">
        <f t="shared" si="2"/>
        <v>2057.3056467458605</v>
      </c>
      <c r="F26" s="778">
        <f t="shared" si="2"/>
        <v>17.647545771448907</v>
      </c>
      <c r="G26" s="778">
        <f t="shared" si="2"/>
        <v>2501.2277111033927</v>
      </c>
      <c r="H26" s="778">
        <f t="shared" si="2"/>
        <v>0</v>
      </c>
      <c r="I26" s="778">
        <f t="shared" si="2"/>
        <v>0</v>
      </c>
      <c r="J26" s="778">
        <f t="shared" si="2"/>
        <v>0</v>
      </c>
      <c r="K26" s="778">
        <f t="shared" si="2"/>
        <v>86.984849081481684</v>
      </c>
      <c r="L26" s="778">
        <f t="shared" si="2"/>
        <v>0</v>
      </c>
      <c r="M26" s="778">
        <f t="shared" si="2"/>
        <v>0</v>
      </c>
      <c r="N26" s="778">
        <f t="shared" si="2"/>
        <v>0</v>
      </c>
      <c r="O26" s="778">
        <f t="shared" si="2"/>
        <v>0</v>
      </c>
      <c r="P26" s="778">
        <f t="shared" si="2"/>
        <v>0</v>
      </c>
      <c r="Q26" s="778">
        <f t="shared" si="2"/>
        <v>0</v>
      </c>
      <c r="R26" s="778">
        <f t="shared" si="2"/>
        <v>6195.824267963535</v>
      </c>
      <c r="S26" s="67"/>
    </row>
    <row r="27" spans="1:19" s="439" customFormat="1" ht="17.25" thickTop="1" thickBot="1">
      <c r="A27" s="672" t="s">
        <v>109</v>
      </c>
      <c r="B27" s="771"/>
      <c r="C27" s="673">
        <f ca="1">C22+C16+C26</f>
        <v>55908.862800864721</v>
      </c>
      <c r="D27" s="673">
        <f t="shared" ref="D27:R27" ca="1" si="3">D22+D16+D26</f>
        <v>0</v>
      </c>
      <c r="E27" s="673">
        <f t="shared" ca="1" si="3"/>
        <v>76270.231906413042</v>
      </c>
      <c r="F27" s="673">
        <f t="shared" si="3"/>
        <v>3302.0257521014787</v>
      </c>
      <c r="G27" s="673">
        <f t="shared" ca="1" si="3"/>
        <v>65299.374467977024</v>
      </c>
      <c r="H27" s="673">
        <f t="shared" si="3"/>
        <v>77293.823360725597</v>
      </c>
      <c r="I27" s="673">
        <f t="shared" si="3"/>
        <v>15037.291887475198</v>
      </c>
      <c r="J27" s="673">
        <f t="shared" si="3"/>
        <v>0</v>
      </c>
      <c r="K27" s="673">
        <f t="shared" si="3"/>
        <v>394.69445928148912</v>
      </c>
      <c r="L27" s="673">
        <f t="shared" si="3"/>
        <v>0</v>
      </c>
      <c r="M27" s="673">
        <f t="shared" ca="1" si="3"/>
        <v>0</v>
      </c>
      <c r="N27" s="673">
        <f t="shared" si="3"/>
        <v>4958.0122990181253</v>
      </c>
      <c r="O27" s="673">
        <f t="shared" ca="1" si="3"/>
        <v>13635.962396325836</v>
      </c>
      <c r="P27" s="673">
        <f t="shared" si="3"/>
        <v>286.09000000000003</v>
      </c>
      <c r="Q27" s="673">
        <f t="shared" si="3"/>
        <v>1449.0666666666666</v>
      </c>
      <c r="R27" s="673">
        <f t="shared" ca="1" si="3"/>
        <v>313835.43599684921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1631.4877107944972</v>
      </c>
      <c r="D40" s="971">
        <f ca="1">tertiair!C20</f>
        <v>0</v>
      </c>
      <c r="E40" s="971">
        <f ca="1">tertiair!D20</f>
        <v>2568.5086499356958</v>
      </c>
      <c r="F40" s="971">
        <f>tertiair!E20</f>
        <v>33.780940603264362</v>
      </c>
      <c r="G40" s="971">
        <f ca="1">tertiair!F20</f>
        <v>494.86331138398583</v>
      </c>
      <c r="H40" s="971">
        <f>tertiair!G20</f>
        <v>0</v>
      </c>
      <c r="I40" s="971">
        <f>tertiair!H20</f>
        <v>0</v>
      </c>
      <c r="J40" s="971">
        <f>tertiair!I20</f>
        <v>0</v>
      </c>
      <c r="K40" s="971">
        <f>tertiair!J20</f>
        <v>1.0845781210475471E-2</v>
      </c>
      <c r="L40" s="971">
        <f>tertiair!K20</f>
        <v>0</v>
      </c>
      <c r="M40" s="971">
        <f ca="1">tertiair!L20</f>
        <v>0</v>
      </c>
      <c r="N40" s="971">
        <f>tertiair!M20</f>
        <v>0</v>
      </c>
      <c r="O40" s="971">
        <f ca="1">tertiair!N20</f>
        <v>0</v>
      </c>
      <c r="P40" s="971">
        <f>tertiair!O20</f>
        <v>0</v>
      </c>
      <c r="Q40" s="740">
        <f>tertiair!P20</f>
        <v>0</v>
      </c>
      <c r="R40" s="816">
        <f t="shared" ca="1" si="4"/>
        <v>4728.6514584986535</v>
      </c>
    </row>
    <row r="41" spans="1:18">
      <c r="A41" s="788" t="s">
        <v>213</v>
      </c>
      <c r="B41" s="795"/>
      <c r="C41" s="971">
        <f ca="1">huishoudens!B12</f>
        <v>4846.5452108699947</v>
      </c>
      <c r="D41" s="971">
        <f ca="1">huishoudens!C12</f>
        <v>0</v>
      </c>
      <c r="E41" s="971">
        <f>huishoudens!D12</f>
        <v>11801.013841851749</v>
      </c>
      <c r="F41" s="971">
        <f>huishoudens!E12</f>
        <v>526.76209648621295</v>
      </c>
      <c r="G41" s="971">
        <f>huishoudens!F12</f>
        <v>15697.471414648635</v>
      </c>
      <c r="H41" s="971">
        <f>huishoudens!G12</f>
        <v>0</v>
      </c>
      <c r="I41" s="971">
        <f>huishoudens!H12</f>
        <v>0</v>
      </c>
      <c r="J41" s="971">
        <f>huishoudens!I12</f>
        <v>0</v>
      </c>
      <c r="K41" s="971">
        <f>huishoudens!J12</f>
        <v>100.14682715542772</v>
      </c>
      <c r="L41" s="971">
        <f>huishoudens!K12</f>
        <v>0</v>
      </c>
      <c r="M41" s="971">
        <f>huishoudens!L12</f>
        <v>0</v>
      </c>
      <c r="N41" s="971">
        <f>huishoudens!M12</f>
        <v>0</v>
      </c>
      <c r="O41" s="971">
        <f>huishoudens!N12</f>
        <v>0</v>
      </c>
      <c r="P41" s="971">
        <f>huishoudens!O12</f>
        <v>0</v>
      </c>
      <c r="Q41" s="740">
        <f>huishoudens!P12</f>
        <v>0</v>
      </c>
      <c r="R41" s="816">
        <f t="shared" ca="1" si="4"/>
        <v>32971.93939101202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1169.1534469431772</v>
      </c>
      <c r="D43" s="971">
        <f ca="1">industrie!C22</f>
        <v>0</v>
      </c>
      <c r="E43" s="971">
        <f>industrie!D22</f>
        <v>602.50162980876064</v>
      </c>
      <c r="F43" s="971">
        <f>industrie!E22</f>
        <v>148.23005510354764</v>
      </c>
      <c r="G43" s="971">
        <f>industrie!F22</f>
        <v>574.77045805264197</v>
      </c>
      <c r="H43" s="971">
        <f>industrie!G22</f>
        <v>0</v>
      </c>
      <c r="I43" s="971">
        <f>industrie!H22</f>
        <v>0</v>
      </c>
      <c r="J43" s="971">
        <f>industrie!I22</f>
        <v>0</v>
      </c>
      <c r="K43" s="971">
        <f>industrie!J22</f>
        <v>8.7715290741644267</v>
      </c>
      <c r="L43" s="971">
        <f>industrie!K22</f>
        <v>0</v>
      </c>
      <c r="M43" s="971">
        <f>industrie!L22</f>
        <v>0</v>
      </c>
      <c r="N43" s="971">
        <f>industrie!M22</f>
        <v>0</v>
      </c>
      <c r="O43" s="971">
        <f>industrie!N22</f>
        <v>0</v>
      </c>
      <c r="P43" s="971">
        <f>industrie!O22</f>
        <v>0</v>
      </c>
      <c r="Q43" s="740">
        <f>industrie!P22</f>
        <v>0</v>
      </c>
      <c r="R43" s="815">
        <f t="shared" ca="1" si="4"/>
        <v>2503.4271189822921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7647.1863686076686</v>
      </c>
      <c r="D46" s="698">
        <f t="shared" ref="D46:Q46" ca="1" si="5">SUM(D39:D45)</f>
        <v>0</v>
      </c>
      <c r="E46" s="698">
        <f t="shared" ca="1" si="5"/>
        <v>14972.024121596205</v>
      </c>
      <c r="F46" s="698">
        <f t="shared" si="5"/>
        <v>708.77309219302504</v>
      </c>
      <c r="G46" s="698">
        <f t="shared" ca="1" si="5"/>
        <v>16767.105184085263</v>
      </c>
      <c r="H46" s="698">
        <f t="shared" si="5"/>
        <v>0</v>
      </c>
      <c r="I46" s="698">
        <f t="shared" si="5"/>
        <v>0</v>
      </c>
      <c r="J46" s="698">
        <f t="shared" si="5"/>
        <v>0</v>
      </c>
      <c r="K46" s="698">
        <f t="shared" si="5"/>
        <v>108.92920201080261</v>
      </c>
      <c r="L46" s="698">
        <f t="shared" si="5"/>
        <v>0</v>
      </c>
      <c r="M46" s="698">
        <f t="shared" ca="1" si="5"/>
        <v>0</v>
      </c>
      <c r="N46" s="698">
        <f t="shared" si="5"/>
        <v>0</v>
      </c>
      <c r="O46" s="698">
        <f t="shared" ca="1" si="5"/>
        <v>0</v>
      </c>
      <c r="P46" s="698">
        <f t="shared" si="5"/>
        <v>0</v>
      </c>
      <c r="Q46" s="698">
        <f t="shared" si="5"/>
        <v>0</v>
      </c>
      <c r="R46" s="698">
        <f ca="1">SUM(R39:R45)</f>
        <v>40204.017968492961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1.0958956456585176</v>
      </c>
      <c r="D49" s="971">
        <f ca="1">transport!C58</f>
        <v>0</v>
      </c>
      <c r="E49" s="971">
        <f>transport!D58</f>
        <v>0</v>
      </c>
      <c r="F49" s="971">
        <f>transport!E58</f>
        <v>0</v>
      </c>
      <c r="G49" s="971">
        <f>transport!F58</f>
        <v>0</v>
      </c>
      <c r="H49" s="971">
        <f>transport!G58</f>
        <v>195.2402981041528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196.33619374981132</v>
      </c>
    </row>
    <row r="50" spans="1:18">
      <c r="A50" s="791" t="s">
        <v>295</v>
      </c>
      <c r="B50" s="801"/>
      <c r="C50" s="669">
        <f ca="1">transport!B18</f>
        <v>7.1688504851945734</v>
      </c>
      <c r="D50" s="669">
        <f>transport!C18</f>
        <v>0</v>
      </c>
      <c r="E50" s="669">
        <f>transport!D18</f>
        <v>18.986982856563969</v>
      </c>
      <c r="F50" s="669">
        <f>transport!E18</f>
        <v>36.780760643891867</v>
      </c>
      <c r="G50" s="669">
        <f>transport!F18</f>
        <v>0</v>
      </c>
      <c r="H50" s="669">
        <f>transport!G18</f>
        <v>20442.210539209584</v>
      </c>
      <c r="I50" s="669">
        <f>transport!H18</f>
        <v>3744.2856799813244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24249.432813176558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8.2647461308530907</v>
      </c>
      <c r="D52" s="698">
        <f t="shared" ref="D52:Q52" ca="1" si="6">SUM(D48:D51)</f>
        <v>0</v>
      </c>
      <c r="E52" s="698">
        <f t="shared" si="6"/>
        <v>18.986982856563969</v>
      </c>
      <c r="F52" s="698">
        <f t="shared" si="6"/>
        <v>36.780760643891867</v>
      </c>
      <c r="G52" s="698">
        <f t="shared" si="6"/>
        <v>0</v>
      </c>
      <c r="H52" s="698">
        <f t="shared" si="6"/>
        <v>20637.450837313736</v>
      </c>
      <c r="I52" s="698">
        <f t="shared" si="6"/>
        <v>3744.2856799813244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24445.76900692637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84.528176133859148</v>
      </c>
      <c r="D54" s="669">
        <f ca="1">+landbouw!C12</f>
        <v>0</v>
      </c>
      <c r="E54" s="669">
        <f>+landbouw!D12</f>
        <v>40.009251482226439</v>
      </c>
      <c r="F54" s="669">
        <f>+landbouw!E12</f>
        <v>4.0059928901189021</v>
      </c>
      <c r="G54" s="669">
        <f>+landbouw!F12</f>
        <v>667.82779886460594</v>
      </c>
      <c r="H54" s="669">
        <f>+landbouw!G12</f>
        <v>0</v>
      </c>
      <c r="I54" s="669">
        <f>+landbouw!H12</f>
        <v>0</v>
      </c>
      <c r="J54" s="669">
        <f>+landbouw!I12</f>
        <v>0</v>
      </c>
      <c r="K54" s="669">
        <f>+landbouw!J12</f>
        <v>30.792636574844515</v>
      </c>
      <c r="L54" s="669">
        <f>+landbouw!K12</f>
        <v>0</v>
      </c>
      <c r="M54" s="669">
        <f>+landbouw!L12</f>
        <v>0</v>
      </c>
      <c r="N54" s="669">
        <f>+landbouw!M12</f>
        <v>0</v>
      </c>
      <c r="O54" s="669">
        <f>+landbouw!N12</f>
        <v>0</v>
      </c>
      <c r="P54" s="669">
        <f>+landbouw!O12</f>
        <v>0</v>
      </c>
      <c r="Q54" s="670">
        <f>+landbouw!P12</f>
        <v>0</v>
      </c>
      <c r="R54" s="697">
        <f ca="1">SUM(C54:Q54)</f>
        <v>827.16385594565497</v>
      </c>
    </row>
    <row r="55" spans="1:18" ht="15" thickBot="1">
      <c r="A55" s="791" t="s">
        <v>802</v>
      </c>
      <c r="B55" s="801"/>
      <c r="C55" s="669">
        <f ca="1">C25*'EF ele_warmte'!B12</f>
        <v>131.24989247762488</v>
      </c>
      <c r="D55" s="669"/>
      <c r="E55" s="669">
        <f>E25*EF_CO2_aardgas</f>
        <v>375.56648916043741</v>
      </c>
      <c r="F55" s="669"/>
      <c r="G55" s="669"/>
      <c r="H55" s="669"/>
      <c r="I55" s="669"/>
      <c r="J55" s="669"/>
      <c r="K55" s="669"/>
      <c r="L55" s="669"/>
      <c r="M55" s="669"/>
      <c r="N55" s="669"/>
      <c r="O55" s="669"/>
      <c r="P55" s="669"/>
      <c r="Q55" s="670"/>
      <c r="R55" s="697">
        <f ca="1">SUM(C55:Q55)</f>
        <v>506.8163816380623</v>
      </c>
    </row>
    <row r="56" spans="1:18" ht="15.75" thickBot="1">
      <c r="A56" s="789" t="s">
        <v>803</v>
      </c>
      <c r="B56" s="802"/>
      <c r="C56" s="698">
        <f ca="1">SUM(C54:C55)</f>
        <v>215.77806861148403</v>
      </c>
      <c r="D56" s="698">
        <f t="shared" ref="D56:Q56" ca="1" si="7">SUM(D54:D55)</f>
        <v>0</v>
      </c>
      <c r="E56" s="698">
        <f t="shared" si="7"/>
        <v>415.57574064266385</v>
      </c>
      <c r="F56" s="698">
        <f t="shared" si="7"/>
        <v>4.0059928901189021</v>
      </c>
      <c r="G56" s="698">
        <f t="shared" si="7"/>
        <v>667.82779886460594</v>
      </c>
      <c r="H56" s="698">
        <f t="shared" si="7"/>
        <v>0</v>
      </c>
      <c r="I56" s="698">
        <f t="shared" si="7"/>
        <v>0</v>
      </c>
      <c r="J56" s="698">
        <f t="shared" si="7"/>
        <v>0</v>
      </c>
      <c r="K56" s="698">
        <f t="shared" si="7"/>
        <v>30.792636574844515</v>
      </c>
      <c r="L56" s="698">
        <f t="shared" si="7"/>
        <v>0</v>
      </c>
      <c r="M56" s="698">
        <f t="shared" si="7"/>
        <v>0</v>
      </c>
      <c r="N56" s="698">
        <f t="shared" si="7"/>
        <v>0</v>
      </c>
      <c r="O56" s="698">
        <f t="shared" si="7"/>
        <v>0</v>
      </c>
      <c r="P56" s="698">
        <f t="shared" si="7"/>
        <v>0</v>
      </c>
      <c r="Q56" s="699">
        <f t="shared" si="7"/>
        <v>0</v>
      </c>
      <c r="R56" s="700">
        <f ca="1">SUM(R54:R55)</f>
        <v>1333.9802375837173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7871.2291833500058</v>
      </c>
      <c r="D61" s="706">
        <f t="shared" ref="D61:Q61" ca="1" si="8">D46+D52+D56</f>
        <v>0</v>
      </c>
      <c r="E61" s="706">
        <f t="shared" ca="1" si="8"/>
        <v>15406.586845095433</v>
      </c>
      <c r="F61" s="706">
        <f t="shared" si="8"/>
        <v>749.55984572703585</v>
      </c>
      <c r="G61" s="706">
        <f t="shared" ca="1" si="8"/>
        <v>17434.932982949867</v>
      </c>
      <c r="H61" s="706">
        <f t="shared" si="8"/>
        <v>20637.450837313736</v>
      </c>
      <c r="I61" s="706">
        <f t="shared" si="8"/>
        <v>3744.2856799813244</v>
      </c>
      <c r="J61" s="706">
        <f t="shared" si="8"/>
        <v>0</v>
      </c>
      <c r="K61" s="706">
        <f t="shared" si="8"/>
        <v>139.72183858564713</v>
      </c>
      <c r="L61" s="706">
        <f t="shared" si="8"/>
        <v>0</v>
      </c>
      <c r="M61" s="706">
        <f t="shared" ca="1" si="8"/>
        <v>0</v>
      </c>
      <c r="N61" s="706">
        <f t="shared" si="8"/>
        <v>0</v>
      </c>
      <c r="O61" s="706">
        <f t="shared" ca="1" si="8"/>
        <v>0</v>
      </c>
      <c r="P61" s="706">
        <f t="shared" si="8"/>
        <v>0</v>
      </c>
      <c r="Q61" s="706">
        <f t="shared" si="8"/>
        <v>0</v>
      </c>
      <c r="R61" s="706">
        <f ca="1">R46+R52+R56</f>
        <v>65983.767213003055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0.14078678744344383</v>
      </c>
      <c r="D63" s="747">
        <f t="shared" ca="1" si="9"/>
        <v>0</v>
      </c>
      <c r="E63" s="982">
        <f t="shared" ca="1" si="9"/>
        <v>0.20199999999999999</v>
      </c>
      <c r="F63" s="747">
        <f t="shared" si="9"/>
        <v>0.22700000000000006</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15846.522752342617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4445.9184044044323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20292.441156747049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34424.716259804736</v>
      </c>
      <c r="C4" s="443">
        <f>huishoudens!C8</f>
        <v>0</v>
      </c>
      <c r="D4" s="443">
        <f>huishoudens!D8</f>
        <v>58420.860603226472</v>
      </c>
      <c r="E4" s="443">
        <f>huishoudens!E8</f>
        <v>2320.5378699833168</v>
      </c>
      <c r="F4" s="443">
        <f>huishoudens!F8</f>
        <v>58792.027770219604</v>
      </c>
      <c r="G4" s="443">
        <f>huishoudens!G8</f>
        <v>0</v>
      </c>
      <c r="H4" s="443">
        <f>huishoudens!H8</f>
        <v>0</v>
      </c>
      <c r="I4" s="443">
        <f>huishoudens!I8</f>
        <v>0</v>
      </c>
      <c r="J4" s="443">
        <f>huishoudens!J8</f>
        <v>282.90064168199922</v>
      </c>
      <c r="K4" s="443">
        <f>huishoudens!K8</f>
        <v>0</v>
      </c>
      <c r="L4" s="443">
        <f>huishoudens!L8</f>
        <v>0</v>
      </c>
      <c r="M4" s="443">
        <f>huishoudens!M8</f>
        <v>0</v>
      </c>
      <c r="N4" s="443">
        <f>huishoudens!N8</f>
        <v>11812.397686099051</v>
      </c>
      <c r="O4" s="443">
        <f>huishoudens!O8</f>
        <v>282.96333333333337</v>
      </c>
      <c r="P4" s="444">
        <f>huishoudens!P8</f>
        <v>1430</v>
      </c>
      <c r="Q4" s="445">
        <f>SUM(B4:P4)</f>
        <v>167766.40416434855</v>
      </c>
    </row>
    <row r="5" spans="1:17">
      <c r="A5" s="442" t="s">
        <v>149</v>
      </c>
      <c r="B5" s="443">
        <f ca="1">tertiair!B16</f>
        <v>10468.884115280458</v>
      </c>
      <c r="C5" s="443">
        <f ca="1">tertiair!C16</f>
        <v>0</v>
      </c>
      <c r="D5" s="443">
        <f ca="1">tertiair!D16</f>
        <v>12715.389356117304</v>
      </c>
      <c r="E5" s="443">
        <f>tertiair!E16</f>
        <v>148.81471631393993</v>
      </c>
      <c r="F5" s="443">
        <f ca="1">tertiair!F16</f>
        <v>1853.4206418875872</v>
      </c>
      <c r="G5" s="443">
        <f>tertiair!G16</f>
        <v>0</v>
      </c>
      <c r="H5" s="443">
        <f>tertiair!H16</f>
        <v>0</v>
      </c>
      <c r="I5" s="443">
        <f>tertiair!I16</f>
        <v>0</v>
      </c>
      <c r="J5" s="443">
        <f>tertiair!J16</f>
        <v>3.0637800029591728E-2</v>
      </c>
      <c r="K5" s="443">
        <f>tertiair!K16</f>
        <v>0</v>
      </c>
      <c r="L5" s="443">
        <f ca="1">tertiair!L16</f>
        <v>0</v>
      </c>
      <c r="M5" s="443">
        <f>tertiair!M16</f>
        <v>0</v>
      </c>
      <c r="N5" s="443">
        <f ca="1">tertiair!N16</f>
        <v>1231.3183922199926</v>
      </c>
      <c r="O5" s="443">
        <f>tertiair!O16</f>
        <v>3.1266666666666669</v>
      </c>
      <c r="P5" s="444">
        <f>tertiair!P16</f>
        <v>19.066666666666666</v>
      </c>
      <c r="Q5" s="442">
        <f t="shared" ref="Q5:Q14" ca="1" si="0">SUM(B5:P5)</f>
        <v>26440.051192952647</v>
      </c>
    </row>
    <row r="6" spans="1:17">
      <c r="A6" s="442" t="s">
        <v>187</v>
      </c>
      <c r="B6" s="443">
        <f>'openbare verlichting'!B8</f>
        <v>1119.4739999999999</v>
      </c>
      <c r="C6" s="443"/>
      <c r="D6" s="443"/>
      <c r="E6" s="443"/>
      <c r="F6" s="443"/>
      <c r="G6" s="443"/>
      <c r="H6" s="443"/>
      <c r="I6" s="443"/>
      <c r="J6" s="443"/>
      <c r="K6" s="443"/>
      <c r="L6" s="443"/>
      <c r="M6" s="443"/>
      <c r="N6" s="443"/>
      <c r="O6" s="443"/>
      <c r="P6" s="444"/>
      <c r="Q6" s="442">
        <f t="shared" si="0"/>
        <v>1119.4739999999999</v>
      </c>
    </row>
    <row r="7" spans="1:17">
      <c r="A7" s="442" t="s">
        <v>105</v>
      </c>
      <c r="B7" s="443">
        <f>landbouw!B8</f>
        <v>600.39850094466703</v>
      </c>
      <c r="C7" s="443">
        <f>landbouw!C8</f>
        <v>0</v>
      </c>
      <c r="D7" s="443">
        <f>landbouw!D8</f>
        <v>198.06560139716058</v>
      </c>
      <c r="E7" s="443">
        <f>landbouw!E8</f>
        <v>17.647545771448907</v>
      </c>
      <c r="F7" s="443">
        <f>landbouw!F8</f>
        <v>2501.2277111033927</v>
      </c>
      <c r="G7" s="443">
        <f>landbouw!G8</f>
        <v>0</v>
      </c>
      <c r="H7" s="443">
        <f>landbouw!H8</f>
        <v>0</v>
      </c>
      <c r="I7" s="443">
        <f>landbouw!I8</f>
        <v>0</v>
      </c>
      <c r="J7" s="443">
        <f>landbouw!J8</f>
        <v>86.984849081481684</v>
      </c>
      <c r="K7" s="443">
        <f>landbouw!K8</f>
        <v>0</v>
      </c>
      <c r="L7" s="443">
        <f>landbouw!L8</f>
        <v>0</v>
      </c>
      <c r="M7" s="443">
        <f>landbouw!M8</f>
        <v>0</v>
      </c>
      <c r="N7" s="443">
        <f>landbouw!N8</f>
        <v>0</v>
      </c>
      <c r="O7" s="443">
        <f>landbouw!O8</f>
        <v>0</v>
      </c>
      <c r="P7" s="444">
        <f>landbouw!P8</f>
        <v>0</v>
      </c>
      <c r="Q7" s="442">
        <f t="shared" si="0"/>
        <v>3404.324208298151</v>
      </c>
    </row>
    <row r="8" spans="1:17">
      <c r="A8" s="442" t="s">
        <v>621</v>
      </c>
      <c r="B8" s="443">
        <f>industrie!B18</f>
        <v>8304.4259207409195</v>
      </c>
      <c r="C8" s="443">
        <f>industrie!C18</f>
        <v>0</v>
      </c>
      <c r="D8" s="443">
        <f>industrie!D18</f>
        <v>2982.6813356869338</v>
      </c>
      <c r="E8" s="443">
        <f>industrie!E18</f>
        <v>652.99583746056226</v>
      </c>
      <c r="F8" s="443">
        <f>industrie!F18</f>
        <v>2152.6983447664493</v>
      </c>
      <c r="G8" s="443">
        <f>industrie!G18</f>
        <v>0</v>
      </c>
      <c r="H8" s="443">
        <f>industrie!H18</f>
        <v>0</v>
      </c>
      <c r="I8" s="443">
        <f>industrie!I18</f>
        <v>0</v>
      </c>
      <c r="J8" s="443">
        <f>industrie!J18</f>
        <v>24.778330717978609</v>
      </c>
      <c r="K8" s="443">
        <f>industrie!K18</f>
        <v>0</v>
      </c>
      <c r="L8" s="443">
        <f>industrie!L18</f>
        <v>0</v>
      </c>
      <c r="M8" s="443">
        <f>industrie!M18</f>
        <v>0</v>
      </c>
      <c r="N8" s="443">
        <f>industrie!N18</f>
        <v>592.24631800679151</v>
      </c>
      <c r="O8" s="443">
        <f>industrie!O18</f>
        <v>0</v>
      </c>
      <c r="P8" s="444">
        <f>industrie!P18</f>
        <v>0</v>
      </c>
      <c r="Q8" s="442">
        <f t="shared" si="0"/>
        <v>14709.826087379635</v>
      </c>
    </row>
    <row r="9" spans="1:17" s="448" customFormat="1">
      <c r="A9" s="446" t="s">
        <v>547</v>
      </c>
      <c r="B9" s="447">
        <f>transport!B14</f>
        <v>50.919909569457346</v>
      </c>
      <c r="C9" s="447">
        <f>transport!C14</f>
        <v>0</v>
      </c>
      <c r="D9" s="447">
        <f>transport!D14</f>
        <v>93.994964636455293</v>
      </c>
      <c r="E9" s="447">
        <f>transport!E14</f>
        <v>162.02978257221088</v>
      </c>
      <c r="F9" s="447">
        <f>transport!F14</f>
        <v>0</v>
      </c>
      <c r="G9" s="447">
        <f>transport!G14</f>
        <v>76562.586289174462</v>
      </c>
      <c r="H9" s="447">
        <f>transport!H14</f>
        <v>15037.291887475198</v>
      </c>
      <c r="I9" s="447">
        <f>transport!I14</f>
        <v>0</v>
      </c>
      <c r="J9" s="447">
        <f>transport!J14</f>
        <v>0</v>
      </c>
      <c r="K9" s="447">
        <f>transport!K14</f>
        <v>0</v>
      </c>
      <c r="L9" s="447">
        <f>transport!L14</f>
        <v>0</v>
      </c>
      <c r="M9" s="447">
        <f>transport!M14</f>
        <v>4915.902551618522</v>
      </c>
      <c r="N9" s="447">
        <f>transport!N14</f>
        <v>0</v>
      </c>
      <c r="O9" s="447">
        <f>transport!O14</f>
        <v>0</v>
      </c>
      <c r="P9" s="447">
        <f>transport!P14</f>
        <v>0</v>
      </c>
      <c r="Q9" s="446">
        <f>SUM(B9:P9)</f>
        <v>96822.725385046302</v>
      </c>
    </row>
    <row r="10" spans="1:17">
      <c r="A10" s="442" t="s">
        <v>537</v>
      </c>
      <c r="B10" s="443">
        <f>transport!B54</f>
        <v>7.7840802078018534</v>
      </c>
      <c r="C10" s="443">
        <f>transport!C54</f>
        <v>0</v>
      </c>
      <c r="D10" s="443">
        <f>transport!D54</f>
        <v>0</v>
      </c>
      <c r="E10" s="443">
        <f>transport!E54</f>
        <v>0</v>
      </c>
      <c r="F10" s="443">
        <f>transport!F54</f>
        <v>0</v>
      </c>
      <c r="G10" s="443">
        <f>transport!G54</f>
        <v>731.23707155113402</v>
      </c>
      <c r="H10" s="443">
        <f>transport!H54</f>
        <v>0</v>
      </c>
      <c r="I10" s="443">
        <f>transport!I54</f>
        <v>0</v>
      </c>
      <c r="J10" s="443">
        <f>transport!J54</f>
        <v>0</v>
      </c>
      <c r="K10" s="443">
        <f>transport!K54</f>
        <v>0</v>
      </c>
      <c r="L10" s="443">
        <f>transport!L54</f>
        <v>0</v>
      </c>
      <c r="M10" s="443">
        <f>transport!M54</f>
        <v>42.109747399603698</v>
      </c>
      <c r="N10" s="443">
        <f>transport!N54</f>
        <v>0</v>
      </c>
      <c r="O10" s="443">
        <f>transport!O54</f>
        <v>0</v>
      </c>
      <c r="P10" s="444">
        <f>transport!P54</f>
        <v>0</v>
      </c>
      <c r="Q10" s="442">
        <f t="shared" si="0"/>
        <v>781.13089915853959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932.26001431668396</v>
      </c>
      <c r="C14" s="450"/>
      <c r="D14" s="450">
        <f>'SEAP template'!E25</f>
        <v>1859.2400453486998</v>
      </c>
      <c r="E14" s="450"/>
      <c r="F14" s="450"/>
      <c r="G14" s="450"/>
      <c r="H14" s="450"/>
      <c r="I14" s="450"/>
      <c r="J14" s="450"/>
      <c r="K14" s="450"/>
      <c r="L14" s="450"/>
      <c r="M14" s="450"/>
      <c r="N14" s="450"/>
      <c r="O14" s="450"/>
      <c r="P14" s="451"/>
      <c r="Q14" s="442">
        <f t="shared" si="0"/>
        <v>2791.5000596653836</v>
      </c>
    </row>
    <row r="15" spans="1:17" s="452" customFormat="1">
      <c r="A15" s="997" t="s">
        <v>541</v>
      </c>
      <c r="B15" s="945">
        <f ca="1">SUM(B4:B14)</f>
        <v>55908.862800864728</v>
      </c>
      <c r="C15" s="945">
        <f t="shared" ref="C15:Q15" ca="1" si="1">SUM(C4:C14)</f>
        <v>0</v>
      </c>
      <c r="D15" s="945">
        <f t="shared" ca="1" si="1"/>
        <v>76270.231906413042</v>
      </c>
      <c r="E15" s="945">
        <f t="shared" si="1"/>
        <v>3302.0257521014787</v>
      </c>
      <c r="F15" s="945">
        <f t="shared" ca="1" si="1"/>
        <v>65299.374467977024</v>
      </c>
      <c r="G15" s="945">
        <f t="shared" si="1"/>
        <v>77293.823360725597</v>
      </c>
      <c r="H15" s="945">
        <f t="shared" si="1"/>
        <v>15037.291887475198</v>
      </c>
      <c r="I15" s="945">
        <f t="shared" si="1"/>
        <v>0</v>
      </c>
      <c r="J15" s="945">
        <f t="shared" si="1"/>
        <v>394.69445928148912</v>
      </c>
      <c r="K15" s="945">
        <f t="shared" si="1"/>
        <v>0</v>
      </c>
      <c r="L15" s="945">
        <f t="shared" ca="1" si="1"/>
        <v>0</v>
      </c>
      <c r="M15" s="945">
        <f t="shared" si="1"/>
        <v>4958.0122990181253</v>
      </c>
      <c r="N15" s="945">
        <f t="shared" ca="1" si="1"/>
        <v>13635.962396325836</v>
      </c>
      <c r="O15" s="945">
        <f t="shared" si="1"/>
        <v>286.09000000000003</v>
      </c>
      <c r="P15" s="945">
        <f t="shared" si="1"/>
        <v>1449.0666666666666</v>
      </c>
      <c r="Q15" s="945">
        <f t="shared" ca="1" si="1"/>
        <v>313835.43599684915</v>
      </c>
    </row>
    <row r="17" spans="1:17">
      <c r="A17" s="453" t="s">
        <v>542</v>
      </c>
      <c r="B17" s="752">
        <f ca="1">huishoudens!B10</f>
        <v>0.14078678744344383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4846.5452108699947</v>
      </c>
      <c r="C22" s="443">
        <f t="shared" ref="C22:C32" ca="1" si="3">C4*$C$17</f>
        <v>0</v>
      </c>
      <c r="D22" s="443">
        <f t="shared" ref="D22:D32" si="4">D4*$D$17</f>
        <v>11801.013841851749</v>
      </c>
      <c r="E22" s="443">
        <f t="shared" ref="E22:E32" si="5">E4*$E$17</f>
        <v>526.76209648621295</v>
      </c>
      <c r="F22" s="443">
        <f t="shared" ref="F22:F32" si="6">F4*$F$17</f>
        <v>15697.471414648635</v>
      </c>
      <c r="G22" s="443">
        <f t="shared" ref="G22:G32" si="7">G4*$G$17</f>
        <v>0</v>
      </c>
      <c r="H22" s="443">
        <f t="shared" ref="H22:H32" si="8">H4*$H$17</f>
        <v>0</v>
      </c>
      <c r="I22" s="443">
        <f t="shared" ref="I22:I32" si="9">I4*$I$17</f>
        <v>0</v>
      </c>
      <c r="J22" s="443">
        <f t="shared" ref="J22:J32" si="10">J4*$J$17</f>
        <v>100.14682715542772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32971.93939101202</v>
      </c>
    </row>
    <row r="23" spans="1:17">
      <c r="A23" s="442" t="s">
        <v>149</v>
      </c>
      <c r="B23" s="443">
        <f t="shared" ca="1" si="2"/>
        <v>1473.8805627080353</v>
      </c>
      <c r="C23" s="443">
        <f t="shared" ca="1" si="3"/>
        <v>0</v>
      </c>
      <c r="D23" s="443">
        <f t="shared" ca="1" si="4"/>
        <v>2568.5086499356958</v>
      </c>
      <c r="E23" s="443">
        <f t="shared" si="5"/>
        <v>33.780940603264362</v>
      </c>
      <c r="F23" s="443">
        <f t="shared" ca="1" si="6"/>
        <v>494.86331138398583</v>
      </c>
      <c r="G23" s="443">
        <f t="shared" si="7"/>
        <v>0</v>
      </c>
      <c r="H23" s="443">
        <f t="shared" si="8"/>
        <v>0</v>
      </c>
      <c r="I23" s="443">
        <f t="shared" si="9"/>
        <v>0</v>
      </c>
      <c r="J23" s="443">
        <f t="shared" si="10"/>
        <v>1.0845781210475471E-2</v>
      </c>
      <c r="K23" s="443">
        <f t="shared" si="11"/>
        <v>0</v>
      </c>
      <c r="L23" s="443">
        <f t="shared" ca="1" si="12"/>
        <v>0</v>
      </c>
      <c r="M23" s="443">
        <f t="shared" si="13"/>
        <v>0</v>
      </c>
      <c r="N23" s="443">
        <f t="shared" ca="1" si="14"/>
        <v>0</v>
      </c>
      <c r="O23" s="443">
        <f t="shared" si="15"/>
        <v>0</v>
      </c>
      <c r="P23" s="444">
        <f t="shared" si="16"/>
        <v>0</v>
      </c>
      <c r="Q23" s="442">
        <f t="shared" ref="Q23:Q32" ca="1" si="17">SUM(B23:P23)</f>
        <v>4571.0443104121914</v>
      </c>
    </row>
    <row r="24" spans="1:17">
      <c r="A24" s="442" t="s">
        <v>187</v>
      </c>
      <c r="B24" s="443">
        <f t="shared" ca="1" si="2"/>
        <v>157.60714808646182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157.60714808646182</v>
      </c>
    </row>
    <row r="25" spans="1:17">
      <c r="A25" s="442" t="s">
        <v>105</v>
      </c>
      <c r="B25" s="443">
        <f t="shared" ca="1" si="2"/>
        <v>84.528176133859148</v>
      </c>
      <c r="C25" s="443">
        <f t="shared" ca="1" si="3"/>
        <v>0</v>
      </c>
      <c r="D25" s="443">
        <f t="shared" si="4"/>
        <v>40.009251482226439</v>
      </c>
      <c r="E25" s="443">
        <f t="shared" si="5"/>
        <v>4.0059928901189021</v>
      </c>
      <c r="F25" s="443">
        <f t="shared" si="6"/>
        <v>667.82779886460594</v>
      </c>
      <c r="G25" s="443">
        <f t="shared" si="7"/>
        <v>0</v>
      </c>
      <c r="H25" s="443">
        <f t="shared" si="8"/>
        <v>0</v>
      </c>
      <c r="I25" s="443">
        <f t="shared" si="9"/>
        <v>0</v>
      </c>
      <c r="J25" s="443">
        <f t="shared" si="10"/>
        <v>30.792636574844515</v>
      </c>
      <c r="K25" s="443">
        <f t="shared" si="11"/>
        <v>0</v>
      </c>
      <c r="L25" s="443">
        <f t="shared" si="12"/>
        <v>0</v>
      </c>
      <c r="M25" s="443">
        <f t="shared" si="13"/>
        <v>0</v>
      </c>
      <c r="N25" s="443">
        <f t="shared" si="14"/>
        <v>0</v>
      </c>
      <c r="O25" s="443">
        <f t="shared" si="15"/>
        <v>0</v>
      </c>
      <c r="P25" s="444">
        <f t="shared" si="16"/>
        <v>0</v>
      </c>
      <c r="Q25" s="442">
        <f t="shared" ca="1" si="17"/>
        <v>827.16385594565497</v>
      </c>
    </row>
    <row r="26" spans="1:17">
      <c r="A26" s="442" t="s">
        <v>621</v>
      </c>
      <c r="B26" s="443">
        <f t="shared" ca="1" si="2"/>
        <v>1169.1534469431772</v>
      </c>
      <c r="C26" s="443">
        <f t="shared" ca="1" si="3"/>
        <v>0</v>
      </c>
      <c r="D26" s="443">
        <f t="shared" si="4"/>
        <v>602.50162980876064</v>
      </c>
      <c r="E26" s="443">
        <f t="shared" si="5"/>
        <v>148.23005510354764</v>
      </c>
      <c r="F26" s="443">
        <f t="shared" si="6"/>
        <v>574.77045805264197</v>
      </c>
      <c r="G26" s="443">
        <f t="shared" si="7"/>
        <v>0</v>
      </c>
      <c r="H26" s="443">
        <f t="shared" si="8"/>
        <v>0</v>
      </c>
      <c r="I26" s="443">
        <f t="shared" si="9"/>
        <v>0</v>
      </c>
      <c r="J26" s="443">
        <f t="shared" si="10"/>
        <v>8.7715290741644267</v>
      </c>
      <c r="K26" s="443">
        <f t="shared" si="11"/>
        <v>0</v>
      </c>
      <c r="L26" s="443">
        <f t="shared" si="12"/>
        <v>0</v>
      </c>
      <c r="M26" s="443">
        <f t="shared" si="13"/>
        <v>0</v>
      </c>
      <c r="N26" s="443">
        <f t="shared" si="14"/>
        <v>0</v>
      </c>
      <c r="O26" s="443">
        <f t="shared" si="15"/>
        <v>0</v>
      </c>
      <c r="P26" s="444">
        <f t="shared" si="16"/>
        <v>0</v>
      </c>
      <c r="Q26" s="442">
        <f t="shared" ca="1" si="17"/>
        <v>2503.4271189822921</v>
      </c>
    </row>
    <row r="27" spans="1:17" s="448" customFormat="1">
      <c r="A27" s="446" t="s">
        <v>547</v>
      </c>
      <c r="B27" s="746">
        <f t="shared" ca="1" si="2"/>
        <v>7.1688504851945734</v>
      </c>
      <c r="C27" s="447">
        <f t="shared" ca="1" si="3"/>
        <v>0</v>
      </c>
      <c r="D27" s="447">
        <f t="shared" si="4"/>
        <v>18.986982856563969</v>
      </c>
      <c r="E27" s="447">
        <f t="shared" si="5"/>
        <v>36.780760643891867</v>
      </c>
      <c r="F27" s="447">
        <f t="shared" si="6"/>
        <v>0</v>
      </c>
      <c r="G27" s="447">
        <f t="shared" si="7"/>
        <v>20442.210539209584</v>
      </c>
      <c r="H27" s="447">
        <f t="shared" si="8"/>
        <v>3744.2856799813244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24249.432813176558</v>
      </c>
    </row>
    <row r="28" spans="1:17">
      <c r="A28" s="442" t="s">
        <v>537</v>
      </c>
      <c r="B28" s="443">
        <f t="shared" ca="1" si="2"/>
        <v>1.0958956456585176</v>
      </c>
      <c r="C28" s="443">
        <f t="shared" ca="1" si="3"/>
        <v>0</v>
      </c>
      <c r="D28" s="443">
        <f t="shared" si="4"/>
        <v>0</v>
      </c>
      <c r="E28" s="443">
        <f t="shared" si="5"/>
        <v>0</v>
      </c>
      <c r="F28" s="443">
        <f t="shared" si="6"/>
        <v>0</v>
      </c>
      <c r="G28" s="443">
        <f t="shared" si="7"/>
        <v>195.2402981041528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196.33619374981132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131.24989247762488</v>
      </c>
      <c r="C32" s="443">
        <f t="shared" ca="1" si="3"/>
        <v>0</v>
      </c>
      <c r="D32" s="443">
        <f t="shared" si="4"/>
        <v>375.56648916043741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506.8163816380623</v>
      </c>
    </row>
    <row r="33" spans="1:17" s="452" customFormat="1">
      <c r="A33" s="997" t="s">
        <v>541</v>
      </c>
      <c r="B33" s="945">
        <f ca="1">SUM(B22:B32)</f>
        <v>7871.2291833500067</v>
      </c>
      <c r="C33" s="945">
        <f t="shared" ref="C33:Q33" ca="1" si="18">SUM(C22:C32)</f>
        <v>0</v>
      </c>
      <c r="D33" s="945">
        <f t="shared" ca="1" si="18"/>
        <v>15406.586845095433</v>
      </c>
      <c r="E33" s="945">
        <f t="shared" si="18"/>
        <v>749.55984572703585</v>
      </c>
      <c r="F33" s="945">
        <f t="shared" ca="1" si="18"/>
        <v>17434.932982949867</v>
      </c>
      <c r="G33" s="945">
        <f t="shared" si="18"/>
        <v>20637.450837313736</v>
      </c>
      <c r="H33" s="945">
        <f t="shared" si="18"/>
        <v>3744.2856799813244</v>
      </c>
      <c r="I33" s="945">
        <f t="shared" si="18"/>
        <v>0</v>
      </c>
      <c r="J33" s="945">
        <f t="shared" si="18"/>
        <v>139.72183858564713</v>
      </c>
      <c r="K33" s="945">
        <f t="shared" si="18"/>
        <v>0</v>
      </c>
      <c r="L33" s="945">
        <f t="shared" ca="1" si="18"/>
        <v>0</v>
      </c>
      <c r="M33" s="945">
        <f t="shared" si="18"/>
        <v>0</v>
      </c>
      <c r="N33" s="945">
        <f t="shared" ca="1" si="18"/>
        <v>0</v>
      </c>
      <c r="O33" s="945">
        <f t="shared" si="18"/>
        <v>0</v>
      </c>
      <c r="P33" s="945">
        <f t="shared" si="18"/>
        <v>0</v>
      </c>
      <c r="Q33" s="945">
        <f t="shared" ca="1" si="18"/>
        <v>65983.767213003055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15846.522752342617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4445.9184044044323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20292.441156747049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0.14078678744344383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0.14078678744344383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0.14078678744344383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0.14078678744344383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7759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1403.23</v>
      </c>
      <c r="C14" s="324"/>
      <c r="D14" s="324"/>
      <c r="E14" s="324"/>
      <c r="F14" s="324"/>
    </row>
    <row r="15" spans="1:6">
      <c r="A15" s="1289" t="s">
        <v>177</v>
      </c>
      <c r="B15" s="1290">
        <v>6</v>
      </c>
      <c r="C15" s="324"/>
      <c r="D15" s="324"/>
      <c r="E15" s="324"/>
      <c r="F15" s="324"/>
    </row>
    <row r="16" spans="1:6">
      <c r="A16" s="1289" t="s">
        <v>6</v>
      </c>
      <c r="B16" s="1290">
        <v>219</v>
      </c>
      <c r="C16" s="324"/>
      <c r="D16" s="324"/>
      <c r="E16" s="324"/>
      <c r="F16" s="324"/>
    </row>
    <row r="17" spans="1:6">
      <c r="A17" s="1289" t="s">
        <v>7</v>
      </c>
      <c r="B17" s="1290">
        <v>423</v>
      </c>
      <c r="C17" s="324"/>
      <c r="D17" s="324"/>
      <c r="E17" s="324"/>
      <c r="F17" s="324"/>
    </row>
    <row r="18" spans="1:6">
      <c r="A18" s="1289" t="s">
        <v>8</v>
      </c>
      <c r="B18" s="1290">
        <v>426</v>
      </c>
      <c r="C18" s="324"/>
      <c r="D18" s="324"/>
      <c r="E18" s="324"/>
      <c r="F18" s="324"/>
    </row>
    <row r="19" spans="1:6">
      <c r="A19" s="1289" t="s">
        <v>9</v>
      </c>
      <c r="B19" s="1290">
        <v>405</v>
      </c>
      <c r="C19" s="324"/>
      <c r="D19" s="324"/>
      <c r="E19" s="324"/>
      <c r="F19" s="324"/>
    </row>
    <row r="20" spans="1:6">
      <c r="A20" s="1289" t="s">
        <v>10</v>
      </c>
      <c r="B20" s="1290">
        <v>431</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399</v>
      </c>
      <c r="C26" s="324"/>
      <c r="D26" s="324"/>
      <c r="E26" s="324"/>
      <c r="F26" s="324"/>
    </row>
    <row r="27" spans="1:6">
      <c r="A27" s="1289" t="s">
        <v>17</v>
      </c>
      <c r="B27" s="1290">
        <v>5</v>
      </c>
      <c r="C27" s="324"/>
      <c r="D27" s="324"/>
      <c r="E27" s="324"/>
      <c r="F27" s="324"/>
    </row>
    <row r="28" spans="1:6">
      <c r="A28" s="1289" t="s">
        <v>18</v>
      </c>
      <c r="B28" s="1291">
        <v>0</v>
      </c>
      <c r="C28" s="324"/>
      <c r="D28" s="324"/>
      <c r="E28" s="324"/>
      <c r="F28" s="324"/>
    </row>
    <row r="29" spans="1:6">
      <c r="A29" s="1289" t="s">
        <v>716</v>
      </c>
      <c r="B29" s="1291">
        <v>71</v>
      </c>
      <c r="C29" s="324"/>
      <c r="D29" s="324"/>
      <c r="E29" s="324"/>
      <c r="F29" s="324"/>
    </row>
    <row r="30" spans="1:6">
      <c r="A30" s="1284" t="s">
        <v>717</v>
      </c>
      <c r="B30" s="1292">
        <v>17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161234.98015063099</v>
      </c>
      <c r="E38" s="1290">
        <v>4</v>
      </c>
      <c r="F38" s="1290">
        <v>50929.919322508002</v>
      </c>
    </row>
    <row r="39" spans="1:6">
      <c r="A39" s="1289" t="s">
        <v>29</v>
      </c>
      <c r="B39" s="1289" t="s">
        <v>30</v>
      </c>
      <c r="C39" s="1290">
        <v>3889</v>
      </c>
      <c r="D39" s="1290">
        <v>64768138.141049303</v>
      </c>
      <c r="E39" s="1290">
        <v>7626</v>
      </c>
      <c r="F39" s="1290">
        <v>30273514.872824602</v>
      </c>
    </row>
    <row r="40" spans="1:6">
      <c r="A40" s="1289" t="s">
        <v>29</v>
      </c>
      <c r="B40" s="1289" t="s">
        <v>28</v>
      </c>
      <c r="C40" s="1290">
        <v>0</v>
      </c>
      <c r="D40" s="1290">
        <v>0</v>
      </c>
      <c r="E40" s="1290">
        <v>0</v>
      </c>
      <c r="F40" s="1290">
        <v>0</v>
      </c>
    </row>
    <row r="41" spans="1:6">
      <c r="A41" s="1289" t="s">
        <v>31</v>
      </c>
      <c r="B41" s="1289" t="s">
        <v>32</v>
      </c>
      <c r="C41" s="1290">
        <v>48</v>
      </c>
      <c r="D41" s="1290">
        <v>1088947.0883476399</v>
      </c>
      <c r="E41" s="1290">
        <v>170</v>
      </c>
      <c r="F41" s="1290">
        <v>921471.85434492899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4</v>
      </c>
      <c r="F44" s="1290">
        <v>41413.432449078602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51609.025113173397</v>
      </c>
      <c r="E47" s="1290">
        <v>4</v>
      </c>
      <c r="F47" s="1290">
        <v>26332.129031841399</v>
      </c>
    </row>
    <row r="48" spans="1:6">
      <c r="A48" s="1289" t="s">
        <v>31</v>
      </c>
      <c r="B48" s="1289" t="s">
        <v>28</v>
      </c>
      <c r="C48" s="1290">
        <v>29</v>
      </c>
      <c r="D48" s="1290">
        <v>1584944.3356502401</v>
      </c>
      <c r="E48" s="1290">
        <v>47</v>
      </c>
      <c r="F48" s="1290">
        <v>6920220.61434134</v>
      </c>
    </row>
    <row r="49" spans="1:6">
      <c r="A49" s="1289" t="s">
        <v>31</v>
      </c>
      <c r="B49" s="1289" t="s">
        <v>39</v>
      </c>
      <c r="C49" s="1290">
        <v>5</v>
      </c>
      <c r="D49" s="1290">
        <v>581241.60819153395</v>
      </c>
      <c r="E49" s="1290">
        <v>8</v>
      </c>
      <c r="F49" s="1290">
        <v>317722.70364016801</v>
      </c>
    </row>
    <row r="50" spans="1:6">
      <c r="A50" s="1289" t="s">
        <v>31</v>
      </c>
      <c r="B50" s="1289" t="s">
        <v>40</v>
      </c>
      <c r="C50" s="1290">
        <v>0</v>
      </c>
      <c r="D50" s="1290">
        <v>0</v>
      </c>
      <c r="E50" s="1290">
        <v>4</v>
      </c>
      <c r="F50" s="1290">
        <v>77265.186933562902</v>
      </c>
    </row>
    <row r="51" spans="1:6">
      <c r="A51" s="1289" t="s">
        <v>41</v>
      </c>
      <c r="B51" s="1289" t="s">
        <v>42</v>
      </c>
      <c r="C51" s="1290">
        <v>4</v>
      </c>
      <c r="D51" s="1290">
        <v>151213.60127486099</v>
      </c>
      <c r="E51" s="1290">
        <v>40</v>
      </c>
      <c r="F51" s="1290">
        <v>300304.69643531501</v>
      </c>
    </row>
    <row r="52" spans="1:6">
      <c r="A52" s="1289" t="s">
        <v>41</v>
      </c>
      <c r="B52" s="1289" t="s">
        <v>28</v>
      </c>
      <c r="C52" s="1290">
        <v>3</v>
      </c>
      <c r="D52" s="1290">
        <v>68371.322668776003</v>
      </c>
      <c r="E52" s="1290">
        <v>17</v>
      </c>
      <c r="F52" s="1290">
        <v>300093.80450935202</v>
      </c>
    </row>
    <row r="53" spans="1:6">
      <c r="A53" s="1289" t="s">
        <v>43</v>
      </c>
      <c r="B53" s="1289" t="s">
        <v>44</v>
      </c>
      <c r="C53" s="1290">
        <v>98</v>
      </c>
      <c r="D53" s="1290">
        <v>1859240.0453486999</v>
      </c>
      <c r="E53" s="1290">
        <v>264</v>
      </c>
      <c r="F53" s="1290">
        <v>932260.01431668398</v>
      </c>
    </row>
    <row r="54" spans="1:6">
      <c r="A54" s="1289" t="s">
        <v>45</v>
      </c>
      <c r="B54" s="1289" t="s">
        <v>46</v>
      </c>
      <c r="C54" s="1290">
        <v>0</v>
      </c>
      <c r="D54" s="1290">
        <v>0</v>
      </c>
      <c r="E54" s="1290">
        <v>1</v>
      </c>
      <c r="F54" s="1290">
        <v>1119474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43</v>
      </c>
      <c r="D57" s="1290">
        <v>2068956.1168086999</v>
      </c>
      <c r="E57" s="1290">
        <v>117</v>
      </c>
      <c r="F57" s="1290">
        <v>1244162.9520056499</v>
      </c>
    </row>
    <row r="58" spans="1:6">
      <c r="A58" s="1289" t="s">
        <v>48</v>
      </c>
      <c r="B58" s="1289" t="s">
        <v>50</v>
      </c>
      <c r="C58" s="1290">
        <v>16</v>
      </c>
      <c r="D58" s="1290">
        <v>2838107.7272792701</v>
      </c>
      <c r="E58" s="1290">
        <v>32</v>
      </c>
      <c r="F58" s="1290">
        <v>1467609.3831480299</v>
      </c>
    </row>
    <row r="59" spans="1:6">
      <c r="A59" s="1289" t="s">
        <v>48</v>
      </c>
      <c r="B59" s="1289" t="s">
        <v>51</v>
      </c>
      <c r="C59" s="1290">
        <v>37</v>
      </c>
      <c r="D59" s="1290">
        <v>1675029.52096404</v>
      </c>
      <c r="E59" s="1290">
        <v>122</v>
      </c>
      <c r="F59" s="1290">
        <v>3092154.36511605</v>
      </c>
    </row>
    <row r="60" spans="1:6">
      <c r="A60" s="1289" t="s">
        <v>48</v>
      </c>
      <c r="B60" s="1289" t="s">
        <v>52</v>
      </c>
      <c r="C60" s="1290">
        <v>45</v>
      </c>
      <c r="D60" s="1290">
        <v>1934522.3788854899</v>
      </c>
      <c r="E60" s="1290">
        <v>67</v>
      </c>
      <c r="F60" s="1290">
        <v>1012185.4808716699</v>
      </c>
    </row>
    <row r="61" spans="1:6">
      <c r="A61" s="1289" t="s">
        <v>48</v>
      </c>
      <c r="B61" s="1289" t="s">
        <v>53</v>
      </c>
      <c r="C61" s="1290">
        <v>65</v>
      </c>
      <c r="D61" s="1290">
        <v>1655992.20151672</v>
      </c>
      <c r="E61" s="1290">
        <v>184</v>
      </c>
      <c r="F61" s="1290">
        <v>2023310.5844985801</v>
      </c>
    </row>
    <row r="62" spans="1:6">
      <c r="A62" s="1289" t="s">
        <v>48</v>
      </c>
      <c r="B62" s="1289" t="s">
        <v>54</v>
      </c>
      <c r="C62" s="1290">
        <v>0</v>
      </c>
      <c r="D62" s="1290">
        <v>0</v>
      </c>
      <c r="E62" s="1290">
        <v>6</v>
      </c>
      <c r="F62" s="1290">
        <v>129621.797738847</v>
      </c>
    </row>
    <row r="63" spans="1:6">
      <c r="A63" s="1289" t="s">
        <v>48</v>
      </c>
      <c r="B63" s="1289" t="s">
        <v>28</v>
      </c>
      <c r="C63" s="1290">
        <v>128</v>
      </c>
      <c r="D63" s="1290">
        <v>3924276.0413720598</v>
      </c>
      <c r="E63" s="1290">
        <v>144</v>
      </c>
      <c r="F63" s="1290">
        <v>1499839.5519016299</v>
      </c>
    </row>
    <row r="64" spans="1:6">
      <c r="A64" s="1289" t="s">
        <v>55</v>
      </c>
      <c r="B64" s="1289" t="s">
        <v>56</v>
      </c>
      <c r="C64" s="1290">
        <v>0</v>
      </c>
      <c r="D64" s="1290">
        <v>0</v>
      </c>
      <c r="E64" s="1290">
        <v>0</v>
      </c>
      <c r="F64" s="1290">
        <v>0</v>
      </c>
    </row>
    <row r="65" spans="1:6">
      <c r="A65" s="1289" t="s">
        <v>55</v>
      </c>
      <c r="B65" s="1289" t="s">
        <v>28</v>
      </c>
      <c r="C65" s="1290">
        <v>3</v>
      </c>
      <c r="D65" s="1290">
        <v>47959.021579747401</v>
      </c>
      <c r="E65" s="1290">
        <v>3</v>
      </c>
      <c r="F65" s="1290">
        <v>12397.6745684616</v>
      </c>
    </row>
    <row r="66" spans="1:6">
      <c r="A66" s="1289" t="s">
        <v>55</v>
      </c>
      <c r="B66" s="1289" t="s">
        <v>57</v>
      </c>
      <c r="C66" s="1290">
        <v>0</v>
      </c>
      <c r="D66" s="1290">
        <v>0</v>
      </c>
      <c r="E66" s="1290">
        <v>3</v>
      </c>
      <c r="F66" s="1290">
        <v>134618.02799865001</v>
      </c>
    </row>
    <row r="67" spans="1:6">
      <c r="A67" s="1289" t="s">
        <v>55</v>
      </c>
      <c r="B67" s="1289" t="s">
        <v>58</v>
      </c>
      <c r="C67" s="1290">
        <v>0</v>
      </c>
      <c r="D67" s="1290">
        <v>0</v>
      </c>
      <c r="E67" s="1290">
        <v>0</v>
      </c>
      <c r="F67" s="1290">
        <v>0</v>
      </c>
    </row>
    <row r="68" spans="1:6">
      <c r="A68" s="1284" t="s">
        <v>55</v>
      </c>
      <c r="B68" s="1284" t="s">
        <v>59</v>
      </c>
      <c r="C68" s="1292">
        <v>0</v>
      </c>
      <c r="D68" s="1292">
        <v>0</v>
      </c>
      <c r="E68" s="1292">
        <v>9</v>
      </c>
      <c r="F68" s="1292">
        <v>93147.723381820397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59859580</v>
      </c>
      <c r="E73" s="441"/>
      <c r="F73" s="324"/>
    </row>
    <row r="74" spans="1:6">
      <c r="A74" s="1289" t="s">
        <v>63</v>
      </c>
      <c r="B74" s="1289" t="s">
        <v>642</v>
      </c>
      <c r="C74" s="1302" t="s">
        <v>644</v>
      </c>
      <c r="D74" s="1290">
        <v>9302125.5</v>
      </c>
      <c r="E74" s="441"/>
      <c r="F74" s="324"/>
    </row>
    <row r="75" spans="1:6">
      <c r="A75" s="1289" t="s">
        <v>64</v>
      </c>
      <c r="B75" s="1289" t="s">
        <v>641</v>
      </c>
      <c r="C75" s="1302" t="s">
        <v>645</v>
      </c>
      <c r="D75" s="1290">
        <v>32371537</v>
      </c>
      <c r="E75" s="441"/>
      <c r="F75" s="324"/>
    </row>
    <row r="76" spans="1:6">
      <c r="A76" s="1289" t="s">
        <v>64</v>
      </c>
      <c r="B76" s="1289" t="s">
        <v>642</v>
      </c>
      <c r="C76" s="1302" t="s">
        <v>646</v>
      </c>
      <c r="D76" s="1290">
        <v>1728697.5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212457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15846.522752342617</v>
      </c>
      <c r="C90" s="324"/>
      <c r="D90" s="324"/>
      <c r="E90" s="324"/>
      <c r="F90" s="324"/>
    </row>
    <row r="91" spans="1:6">
      <c r="A91" s="1289" t="s">
        <v>67</v>
      </c>
      <c r="B91" s="1290">
        <v>4151.201386980134</v>
      </c>
      <c r="C91" s="324"/>
      <c r="D91" s="324"/>
      <c r="E91" s="324"/>
      <c r="F91" s="324"/>
    </row>
    <row r="92" spans="1:6">
      <c r="A92" s="1284" t="s">
        <v>68</v>
      </c>
      <c r="B92" s="1285">
        <v>294.71701742429838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1522</v>
      </c>
      <c r="C97" s="324"/>
      <c r="D97" s="324"/>
      <c r="E97" s="324"/>
      <c r="F97" s="324"/>
    </row>
    <row r="98" spans="1:6">
      <c r="A98" s="1289" t="s">
        <v>71</v>
      </c>
      <c r="B98" s="1290">
        <v>0</v>
      </c>
      <c r="C98" s="324"/>
      <c r="D98" s="324"/>
      <c r="E98" s="324"/>
      <c r="F98" s="324"/>
    </row>
    <row r="99" spans="1:6">
      <c r="A99" s="1289" t="s">
        <v>72</v>
      </c>
      <c r="B99" s="1290">
        <v>224</v>
      </c>
      <c r="C99" s="324"/>
      <c r="D99" s="324"/>
      <c r="E99" s="324"/>
      <c r="F99" s="324"/>
    </row>
    <row r="100" spans="1:6">
      <c r="A100" s="1289" t="s">
        <v>73</v>
      </c>
      <c r="B100" s="1290">
        <v>676</v>
      </c>
      <c r="C100" s="324"/>
      <c r="D100" s="324"/>
      <c r="E100" s="324"/>
      <c r="F100" s="324"/>
    </row>
    <row r="101" spans="1:6">
      <c r="A101" s="1289" t="s">
        <v>74</v>
      </c>
      <c r="B101" s="1290">
        <v>93</v>
      </c>
      <c r="C101" s="324"/>
      <c r="D101" s="324"/>
      <c r="E101" s="324"/>
      <c r="F101" s="324"/>
    </row>
    <row r="102" spans="1:6">
      <c r="A102" s="1289" t="s">
        <v>75</v>
      </c>
      <c r="B102" s="1290">
        <v>115</v>
      </c>
      <c r="C102" s="324"/>
      <c r="D102" s="324"/>
      <c r="E102" s="324"/>
      <c r="F102" s="324"/>
    </row>
    <row r="103" spans="1:6">
      <c r="A103" s="1289" t="s">
        <v>76</v>
      </c>
      <c r="B103" s="1290">
        <v>389</v>
      </c>
      <c r="C103" s="324"/>
      <c r="D103" s="324"/>
      <c r="E103" s="324"/>
      <c r="F103" s="324"/>
    </row>
    <row r="104" spans="1:6">
      <c r="A104" s="1289" t="s">
        <v>77</v>
      </c>
      <c r="B104" s="1290">
        <v>3739</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1</v>
      </c>
      <c r="C122" s="1290">
        <v>0</v>
      </c>
      <c r="D122" s="324"/>
      <c r="E122" s="324"/>
      <c r="F122" s="324"/>
    </row>
    <row r="123" spans="1:6">
      <c r="A123" s="1289" t="s">
        <v>87</v>
      </c>
      <c r="B123" s="1290">
        <v>44</v>
      </c>
      <c r="C123" s="1290">
        <v>24</v>
      </c>
      <c r="D123" s="324"/>
      <c r="E123" s="324"/>
      <c r="F123" s="324"/>
    </row>
    <row r="124" spans="1:6">
      <c r="A124" s="1289" t="s">
        <v>88</v>
      </c>
      <c r="B124" s="1290">
        <v>2</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156</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29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55908.862800864721</v>
      </c>
      <c r="C3" s="43" t="s">
        <v>163</v>
      </c>
      <c r="D3" s="43"/>
      <c r="E3" s="154"/>
      <c r="F3" s="43"/>
      <c r="G3" s="43"/>
      <c r="H3" s="43"/>
      <c r="I3" s="43"/>
      <c r="J3" s="43"/>
      <c r="K3" s="96"/>
    </row>
    <row r="4" spans="1:11">
      <c r="A4" s="350" t="s">
        <v>164</v>
      </c>
      <c r="B4" s="49">
        <f>IF(ISERROR('SEAP template'!B78+'SEAP template'!C78),0,'SEAP template'!B78+'SEAP template'!C78)</f>
        <v>20292.441156747049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0.14078678744344383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1119.4739999999999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1119.4739999999999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0.14078678744344383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157.60714808646182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30273.514872824602</v>
      </c>
      <c r="C5" s="17">
        <f>IF(ISERROR('Eigen informatie GS &amp; warmtenet'!B57),0,'Eigen informatie GS &amp; warmtenet'!B57)</f>
        <v>0</v>
      </c>
      <c r="D5" s="30">
        <f>(SUM(HH_hh_gas_kWh,HH_rest_gas_kWh)/1000)*0.902</f>
        <v>58420.860603226472</v>
      </c>
      <c r="E5" s="17">
        <f>B32*B41</f>
        <v>2320.5378699833168</v>
      </c>
      <c r="F5" s="17">
        <f>B36*B45</f>
        <v>58792.027770219604</v>
      </c>
      <c r="G5" s="18"/>
      <c r="H5" s="17"/>
      <c r="I5" s="17"/>
      <c r="J5" s="17">
        <f>B35*B44+C35*C44</f>
        <v>282.90064168199922</v>
      </c>
      <c r="K5" s="17"/>
      <c r="L5" s="17"/>
      <c r="M5" s="17"/>
      <c r="N5" s="17">
        <f>B34*B43+C34*C43</f>
        <v>11812.397686099051</v>
      </c>
      <c r="O5" s="17">
        <f>B52*B53*B54</f>
        <v>282.96333333333337</v>
      </c>
      <c r="P5" s="17">
        <f>B60*B61*B62/1000-B60*B61*B62/1000/B63</f>
        <v>1430</v>
      </c>
    </row>
    <row r="6" spans="1:16">
      <c r="A6" s="16" t="s">
        <v>607</v>
      </c>
      <c r="B6" s="754">
        <f>kWh_PV_kleiner_dan_10kW</f>
        <v>4151.201386980134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34424.716259804736</v>
      </c>
      <c r="C8" s="21">
        <f>C5</f>
        <v>0</v>
      </c>
      <c r="D8" s="21">
        <f>D5</f>
        <v>58420.860603226472</v>
      </c>
      <c r="E8" s="21">
        <f>E5</f>
        <v>2320.5378699833168</v>
      </c>
      <c r="F8" s="21">
        <f>F5</f>
        <v>58792.027770219604</v>
      </c>
      <c r="G8" s="21"/>
      <c r="H8" s="21"/>
      <c r="I8" s="21"/>
      <c r="J8" s="21">
        <f>J5</f>
        <v>282.90064168199922</v>
      </c>
      <c r="K8" s="21"/>
      <c r="L8" s="21">
        <f>L5</f>
        <v>0</v>
      </c>
      <c r="M8" s="21">
        <f>M5</f>
        <v>0</v>
      </c>
      <c r="N8" s="21">
        <f>N5</f>
        <v>11812.397686099051</v>
      </c>
      <c r="O8" s="21">
        <f>O5</f>
        <v>282.96333333333337</v>
      </c>
      <c r="P8" s="21">
        <f>P5</f>
        <v>1430</v>
      </c>
    </row>
    <row r="9" spans="1:16">
      <c r="B9" s="19"/>
      <c r="C9" s="19"/>
      <c r="D9" s="254"/>
      <c r="E9" s="19"/>
      <c r="F9" s="19"/>
      <c r="G9" s="19"/>
      <c r="H9" s="19"/>
      <c r="I9" s="19"/>
      <c r="J9" s="19"/>
      <c r="K9" s="19"/>
      <c r="L9" s="19"/>
      <c r="M9" s="19"/>
      <c r="N9" s="19"/>
      <c r="O9" s="19"/>
      <c r="P9" s="19"/>
    </row>
    <row r="10" spans="1:16">
      <c r="A10" s="24" t="s">
        <v>207</v>
      </c>
      <c r="B10" s="25">
        <f ca="1">'EF ele_warmte'!B12</f>
        <v>0.14078678744344383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4846.5452108699947</v>
      </c>
      <c r="C12" s="23">
        <f ca="1">C10*C8</f>
        <v>0</v>
      </c>
      <c r="D12" s="23">
        <f>D8*D10</f>
        <v>11801.013841851749</v>
      </c>
      <c r="E12" s="23">
        <f>E10*E8</f>
        <v>526.76209648621295</v>
      </c>
      <c r="F12" s="23">
        <f>F10*F8</f>
        <v>15697.471414648635</v>
      </c>
      <c r="G12" s="23"/>
      <c r="H12" s="23"/>
      <c r="I12" s="23"/>
      <c r="J12" s="23">
        <f>J10*J8</f>
        <v>100.14682715542772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7759</v>
      </c>
      <c r="C26" s="36"/>
      <c r="D26" s="225"/>
    </row>
    <row r="27" spans="1:5" s="15" customFormat="1">
      <c r="A27" s="227" t="s">
        <v>762</v>
      </c>
      <c r="B27" s="37">
        <f>SUM(HH_hh_gas_aantal,HH_rest_gas_aantal)</f>
        <v>3889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3694.55</v>
      </c>
      <c r="C31" s="34" t="s">
        <v>104</v>
      </c>
      <c r="D31" s="171"/>
    </row>
    <row r="32" spans="1:5">
      <c r="A32" s="168" t="s">
        <v>72</v>
      </c>
      <c r="B32" s="33">
        <f>IF((B21*($B$26-($B$27-0.05*$B$27)-$B$60))&lt;0,0,B21*($B$26-($B$27-0.05*$B$27)-$B$60))</f>
        <v>43.885921982694789</v>
      </c>
      <c r="C32" s="34" t="s">
        <v>104</v>
      </c>
      <c r="D32" s="171"/>
    </row>
    <row r="33" spans="1:6">
      <c r="A33" s="168" t="s">
        <v>73</v>
      </c>
      <c r="B33" s="33">
        <f>IF((B22*($B$26-($B$27-0.05*$B$27)-$B$60))&lt;0,0,B22*($B$26-($B$27-0.05*$B$27)-$B$60))</f>
        <v>912.4251720694798</v>
      </c>
      <c r="C33" s="34" t="s">
        <v>104</v>
      </c>
      <c r="D33" s="171"/>
    </row>
    <row r="34" spans="1:6">
      <c r="A34" s="168" t="s">
        <v>74</v>
      </c>
      <c r="B34" s="33">
        <f>IF((B24*($B$26-($B$27-0.05*$B$27)-$B$60))&lt;0,0,B24*($B$26-($B$27-0.05*$B$27)-$B$60))</f>
        <v>181.44893060582319</v>
      </c>
      <c r="C34" s="33">
        <f>B26*C24</f>
        <v>1588.2327889879566</v>
      </c>
      <c r="D34" s="230"/>
    </row>
    <row r="35" spans="1:6">
      <c r="A35" s="168" t="s">
        <v>76</v>
      </c>
      <c r="B35" s="33">
        <f>IF((B19*($B$26-($B$27-0.05*$B$27)-$B$60))&lt;0,0,B19*($B$26-($B$27-0.05*$B$27)-$B$60))</f>
        <v>33.216910692200486</v>
      </c>
      <c r="C35" s="33">
        <f>B35/2</f>
        <v>16.608455346100243</v>
      </c>
      <c r="D35" s="230"/>
    </row>
    <row r="36" spans="1:6">
      <c r="A36" s="168" t="s">
        <v>77</v>
      </c>
      <c r="B36" s="33">
        <f>IF((B18*($B$26-($B$27-0.05*$B$27)-$B$60))&lt;0,0,B18*($B$26-($B$27-0.05*$B$27)-$B$60))</f>
        <v>2818.4730646498015</v>
      </c>
      <c r="C36" s="34" t="s">
        <v>104</v>
      </c>
      <c r="D36" s="171"/>
    </row>
    <row r="37" spans="1:6">
      <c r="A37" s="168" t="s">
        <v>78</v>
      </c>
      <c r="B37" s="33">
        <f>B60</f>
        <v>75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181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10468.884115280458</v>
      </c>
      <c r="C5" s="17">
        <f>IF(ISERROR('Eigen informatie GS &amp; warmtenet'!B58),0,'Eigen informatie GS &amp; warmtenet'!B58)</f>
        <v>0</v>
      </c>
      <c r="D5" s="30">
        <f>SUM(D6:D12)</f>
        <v>12715.389356117304</v>
      </c>
      <c r="E5" s="17">
        <f>SUM(E6:E12)</f>
        <v>148.81471631393993</v>
      </c>
      <c r="F5" s="17">
        <f>SUM(F6:F12)</f>
        <v>1853.4206418875872</v>
      </c>
      <c r="G5" s="18"/>
      <c r="H5" s="17"/>
      <c r="I5" s="17"/>
      <c r="J5" s="17">
        <f>SUM(J6:J12)</f>
        <v>3.0637800029591728E-2</v>
      </c>
      <c r="K5" s="17"/>
      <c r="L5" s="17"/>
      <c r="M5" s="17"/>
      <c r="N5" s="17">
        <f>SUM(N6:N12)</f>
        <v>1231.3183922199926</v>
      </c>
      <c r="O5" s="17">
        <f>B38*B39*B40</f>
        <v>3.1266666666666669</v>
      </c>
      <c r="P5" s="17">
        <f>B46*B47*B48/1000-B46*B47*B48/1000/B49</f>
        <v>19.066666666666666</v>
      </c>
      <c r="R5" s="32"/>
    </row>
    <row r="6" spans="1:18">
      <c r="A6" s="32" t="s">
        <v>53</v>
      </c>
      <c r="B6" s="37">
        <f>B26</f>
        <v>2023.3105844985801</v>
      </c>
      <c r="C6" s="33"/>
      <c r="D6" s="37">
        <f>IF(ISERROR(TER_kantoor_gas_kWh/1000),0,TER_kantoor_gas_kWh/1000)*0.902</f>
        <v>1493.7049657680814</v>
      </c>
      <c r="E6" s="33">
        <f>$C$26*'E Balans VL '!I12/100/3.6*1000000</f>
        <v>1.268143780107929E-2</v>
      </c>
      <c r="F6" s="33">
        <f>$C$26*('E Balans VL '!L12+'E Balans VL '!N12)/100/3.6*1000000</f>
        <v>304.04704416028881</v>
      </c>
      <c r="G6" s="34"/>
      <c r="H6" s="33"/>
      <c r="I6" s="33"/>
      <c r="J6" s="33">
        <f>$C$26*('E Balans VL '!D12+'E Balans VL '!E12)/100/3.6*1000000</f>
        <v>0</v>
      </c>
      <c r="K6" s="33"/>
      <c r="L6" s="33"/>
      <c r="M6" s="33"/>
      <c r="N6" s="33">
        <f>$C$26*'E Balans VL '!Y12/100/3.6*1000000</f>
        <v>1.9349965853567281</v>
      </c>
      <c r="O6" s="33"/>
      <c r="P6" s="33"/>
      <c r="R6" s="32"/>
    </row>
    <row r="7" spans="1:18">
      <c r="A7" s="32" t="s">
        <v>52</v>
      </c>
      <c r="B7" s="37">
        <f t="shared" ref="B7:B12" si="0">B27</f>
        <v>1012.1854808716699</v>
      </c>
      <c r="C7" s="33"/>
      <c r="D7" s="37">
        <f>IF(ISERROR(TER_horeca_gas_kWh/1000),0,TER_horeca_gas_kWh/1000)*0.902</f>
        <v>1744.9391857547118</v>
      </c>
      <c r="E7" s="33">
        <f>$C$27*'E Balans VL '!I9/100/3.6*1000000</f>
        <v>14.494327488166222</v>
      </c>
      <c r="F7" s="33">
        <f>$C$27*('E Balans VL '!L9+'E Balans VL '!N9)/100/3.6*1000000</f>
        <v>128.17606504162779</v>
      </c>
      <c r="G7" s="34"/>
      <c r="H7" s="33"/>
      <c r="I7" s="33"/>
      <c r="J7" s="33">
        <f>$C$27*('E Balans VL '!D9+'E Balans VL '!E9)/100/3.6*1000000</f>
        <v>0</v>
      </c>
      <c r="K7" s="33"/>
      <c r="L7" s="33"/>
      <c r="M7" s="33"/>
      <c r="N7" s="33">
        <f>$C$27*'E Balans VL '!Y9/100/3.6*1000000</f>
        <v>0.29098100897641638</v>
      </c>
      <c r="O7" s="33"/>
      <c r="P7" s="33"/>
      <c r="R7" s="32"/>
    </row>
    <row r="8" spans="1:18">
      <c r="A8" s="6" t="s">
        <v>51</v>
      </c>
      <c r="B8" s="37">
        <f t="shared" si="0"/>
        <v>3092.15436511605</v>
      </c>
      <c r="C8" s="33"/>
      <c r="D8" s="37">
        <f>IF(ISERROR(TER_handel_gas_kWh/1000),0,TER_handel_gas_kWh/1000)*0.902</f>
        <v>1510.8766279095639</v>
      </c>
      <c r="E8" s="33">
        <f>$C$28*'E Balans VL '!I13/100/3.6*1000000</f>
        <v>112.15205751536598</v>
      </c>
      <c r="F8" s="33">
        <f>$C$28*('E Balans VL '!L13+'E Balans VL '!N13)/100/3.6*1000000</f>
        <v>595.58024077492905</v>
      </c>
      <c r="G8" s="34"/>
      <c r="H8" s="33"/>
      <c r="I8" s="33"/>
      <c r="J8" s="33">
        <f>$C$28*('E Balans VL '!D13+'E Balans VL '!E13)/100/3.6*1000000</f>
        <v>0</v>
      </c>
      <c r="K8" s="33"/>
      <c r="L8" s="33"/>
      <c r="M8" s="33"/>
      <c r="N8" s="33">
        <f>$C$28*'E Balans VL '!Y13/100/3.6*1000000</f>
        <v>4.283345268674398</v>
      </c>
      <c r="O8" s="33"/>
      <c r="P8" s="33"/>
      <c r="R8" s="32"/>
    </row>
    <row r="9" spans="1:18">
      <c r="A9" s="32" t="s">
        <v>50</v>
      </c>
      <c r="B9" s="37">
        <f t="shared" si="0"/>
        <v>1467.60938314803</v>
      </c>
      <c r="C9" s="33"/>
      <c r="D9" s="37">
        <f>IF(ISERROR(TER_gezond_gas_kWh/1000),0,TER_gezond_gas_kWh/1000)*0.902</f>
        <v>2559.9731700059015</v>
      </c>
      <c r="E9" s="33">
        <f>$C$29*'E Balans VL '!I10/100/3.6*1000000</f>
        <v>9.1886837409950892E-2</v>
      </c>
      <c r="F9" s="33">
        <f>$C$29*('E Balans VL '!L10+'E Balans VL '!N10)/100/3.6*1000000</f>
        <v>218.01784231165931</v>
      </c>
      <c r="G9" s="34"/>
      <c r="H9" s="33"/>
      <c r="I9" s="33"/>
      <c r="J9" s="33">
        <f>$C$29*('E Balans VL '!D10+'E Balans VL '!E10)/100/3.6*1000000</f>
        <v>0</v>
      </c>
      <c r="K9" s="33"/>
      <c r="L9" s="33"/>
      <c r="M9" s="33"/>
      <c r="N9" s="33">
        <f>$C$29*'E Balans VL '!Y10/100/3.6*1000000</f>
        <v>22.70112355073417</v>
      </c>
      <c r="O9" s="33"/>
      <c r="P9" s="33"/>
      <c r="R9" s="32"/>
    </row>
    <row r="10" spans="1:18">
      <c r="A10" s="32" t="s">
        <v>49</v>
      </c>
      <c r="B10" s="37">
        <f t="shared" si="0"/>
        <v>1244.1629520056499</v>
      </c>
      <c r="C10" s="33"/>
      <c r="D10" s="37">
        <f>IF(ISERROR(TER_ander_gas_kWh/1000),0,TER_ander_gas_kWh/1000)*0.902</f>
        <v>1866.1984173614474</v>
      </c>
      <c r="E10" s="33">
        <f>$C$30*'E Balans VL '!I14/100/3.6*1000000</f>
        <v>1.4829977799190592</v>
      </c>
      <c r="F10" s="33">
        <f>$C$30*('E Balans VL '!L14+'E Balans VL '!N14)/100/3.6*1000000</f>
        <v>325.52833938521343</v>
      </c>
      <c r="G10" s="34"/>
      <c r="H10" s="33"/>
      <c r="I10" s="33"/>
      <c r="J10" s="33">
        <f>$C$30*('E Balans VL '!D14+'E Balans VL '!E14)/100/3.6*1000000</f>
        <v>2.7005900703933883E-2</v>
      </c>
      <c r="K10" s="33"/>
      <c r="L10" s="33"/>
      <c r="M10" s="33"/>
      <c r="N10" s="33">
        <f>$C$30*'E Balans VL '!Y14/100/3.6*1000000</f>
        <v>1056.5127346042952</v>
      </c>
      <c r="O10" s="33"/>
      <c r="P10" s="33"/>
      <c r="R10" s="32"/>
    </row>
    <row r="11" spans="1:18">
      <c r="A11" s="32" t="s">
        <v>54</v>
      </c>
      <c r="B11" s="37">
        <f t="shared" si="0"/>
        <v>129.62179773884699</v>
      </c>
      <c r="C11" s="33"/>
      <c r="D11" s="37">
        <f>IF(ISERROR(TER_onderwijs_gas_kWh/1000),0,TER_onderwijs_gas_kWh/1000)*0.902</f>
        <v>0</v>
      </c>
      <c r="E11" s="33">
        <f>$C$31*'E Balans VL '!I11/100/3.6*1000000</f>
        <v>1.9557841521215196</v>
      </c>
      <c r="F11" s="33">
        <f>$C$31*('E Balans VL '!L11+'E Balans VL '!N11)/100/3.6*1000000</f>
        <v>22.711809733669583</v>
      </c>
      <c r="G11" s="34"/>
      <c r="H11" s="33"/>
      <c r="I11" s="33"/>
      <c r="J11" s="33">
        <f>$C$31*('E Balans VL '!D11+'E Balans VL '!E11)/100/3.6*1000000</f>
        <v>0</v>
      </c>
      <c r="K11" s="33"/>
      <c r="L11" s="33"/>
      <c r="M11" s="33"/>
      <c r="N11" s="33">
        <f>$C$31*'E Balans VL '!Y11/100/3.6*1000000</f>
        <v>0.36476559306144685</v>
      </c>
      <c r="O11" s="33"/>
      <c r="P11" s="33"/>
      <c r="R11" s="32"/>
    </row>
    <row r="12" spans="1:18">
      <c r="A12" s="32" t="s">
        <v>248</v>
      </c>
      <c r="B12" s="37">
        <f t="shared" si="0"/>
        <v>1499.8395519016299</v>
      </c>
      <c r="C12" s="33"/>
      <c r="D12" s="37">
        <f>IF(ISERROR(TER_rest_gas_kWh/1000),0,TER_rest_gas_kWh/1000)*0.902</f>
        <v>3539.6969893175979</v>
      </c>
      <c r="E12" s="33">
        <f>$C$32*'E Balans VL '!I8/100/3.6*1000000</f>
        <v>18.624981103156145</v>
      </c>
      <c r="F12" s="33">
        <f>$C$32*('E Balans VL '!L8+'E Balans VL '!N8)/100/3.6*1000000</f>
        <v>259.35930048019912</v>
      </c>
      <c r="G12" s="34"/>
      <c r="H12" s="33"/>
      <c r="I12" s="33"/>
      <c r="J12" s="33">
        <f>$C$32*('E Balans VL '!D8+'E Balans VL '!E8)/100/3.6*1000000</f>
        <v>3.6318993256578454E-3</v>
      </c>
      <c r="K12" s="33"/>
      <c r="L12" s="33"/>
      <c r="M12" s="33"/>
      <c r="N12" s="33">
        <f>$C$32*'E Balans VL '!Y8/100/3.6*1000000</f>
        <v>145.23044560889414</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10468.884115280458</v>
      </c>
      <c r="C16" s="21">
        <f t="shared" ca="1" si="1"/>
        <v>0</v>
      </c>
      <c r="D16" s="21">
        <f t="shared" ca="1" si="1"/>
        <v>12715.389356117304</v>
      </c>
      <c r="E16" s="21">
        <f t="shared" si="1"/>
        <v>148.81471631393993</v>
      </c>
      <c r="F16" s="21">
        <f t="shared" ca="1" si="1"/>
        <v>1853.4206418875872</v>
      </c>
      <c r="G16" s="21">
        <f t="shared" si="1"/>
        <v>0</v>
      </c>
      <c r="H16" s="21">
        <f t="shared" si="1"/>
        <v>0</v>
      </c>
      <c r="I16" s="21">
        <f t="shared" si="1"/>
        <v>0</v>
      </c>
      <c r="J16" s="21">
        <f t="shared" si="1"/>
        <v>3.0637800029591728E-2</v>
      </c>
      <c r="K16" s="21">
        <f t="shared" si="1"/>
        <v>0</v>
      </c>
      <c r="L16" s="21">
        <f t="shared" ca="1" si="1"/>
        <v>0</v>
      </c>
      <c r="M16" s="21">
        <f t="shared" si="1"/>
        <v>0</v>
      </c>
      <c r="N16" s="21">
        <f t="shared" ca="1" si="1"/>
        <v>1231.3183922199926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0.14078678744344383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1473.8805627080353</v>
      </c>
      <c r="C20" s="23">
        <f t="shared" ref="C20:P20" ca="1" si="2">C16*C18</f>
        <v>0</v>
      </c>
      <c r="D20" s="23">
        <f t="shared" ca="1" si="2"/>
        <v>2568.5086499356958</v>
      </c>
      <c r="E20" s="23">
        <f t="shared" si="2"/>
        <v>33.780940603264362</v>
      </c>
      <c r="F20" s="23">
        <f t="shared" ca="1" si="2"/>
        <v>494.86331138398583</v>
      </c>
      <c r="G20" s="23">
        <f t="shared" si="2"/>
        <v>0</v>
      </c>
      <c r="H20" s="23">
        <f t="shared" si="2"/>
        <v>0</v>
      </c>
      <c r="I20" s="23">
        <f t="shared" si="2"/>
        <v>0</v>
      </c>
      <c r="J20" s="23">
        <f t="shared" si="2"/>
        <v>1.0845781210475471E-2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2023.3105844985801</v>
      </c>
      <c r="C26" s="39">
        <f>IF(ISERROR(B26*3.6/1000000/'E Balans VL '!Z12*100),0,B26*3.6/1000000/'E Balans VL '!Z12*100)</f>
        <v>4.2769580573435266E-2</v>
      </c>
      <c r="D26" s="233" t="s">
        <v>726</v>
      </c>
      <c r="F26" s="6"/>
    </row>
    <row r="27" spans="1:18">
      <c r="A27" s="228" t="s">
        <v>52</v>
      </c>
      <c r="B27" s="33">
        <f>IF(ISERROR(TER_horeca_ele_kWh/1000),0,TER_horeca_ele_kWh/1000)</f>
        <v>1012.1854808716699</v>
      </c>
      <c r="C27" s="39">
        <f>IF(ISERROR(B27*3.6/1000000/'E Balans VL '!Z9*100),0,B27*3.6/1000000/'E Balans VL '!Z9*100)</f>
        <v>7.9790204196325168E-2</v>
      </c>
      <c r="D27" s="233" t="s">
        <v>726</v>
      </c>
      <c r="F27" s="6"/>
    </row>
    <row r="28" spans="1:18">
      <c r="A28" s="168" t="s">
        <v>51</v>
      </c>
      <c r="B28" s="33">
        <f>IF(ISERROR(TER_handel_ele_kWh/1000),0,TER_handel_ele_kWh/1000)</f>
        <v>3092.15436511605</v>
      </c>
      <c r="C28" s="39">
        <f>IF(ISERROR(B28*3.6/1000000/'E Balans VL '!Z13*100),0,B28*3.6/1000000/'E Balans VL '!Z13*100)</f>
        <v>8.9746813379298601E-2</v>
      </c>
      <c r="D28" s="233" t="s">
        <v>726</v>
      </c>
      <c r="F28" s="6"/>
    </row>
    <row r="29" spans="1:18">
      <c r="A29" s="228" t="s">
        <v>50</v>
      </c>
      <c r="B29" s="33">
        <f>IF(ISERROR(TER_gezond_ele_kWh/1000),0,TER_gezond_ele_kWh/1000)</f>
        <v>1467.60938314803</v>
      </c>
      <c r="C29" s="39">
        <f>IF(ISERROR(B29*3.6/1000000/'E Balans VL '!Z10*100),0,B29*3.6/1000000/'E Balans VL '!Z10*100)</f>
        <v>0.15456336682767355</v>
      </c>
      <c r="D29" s="233" t="s">
        <v>726</v>
      </c>
      <c r="F29" s="6"/>
    </row>
    <row r="30" spans="1:18">
      <c r="A30" s="228" t="s">
        <v>49</v>
      </c>
      <c r="B30" s="33">
        <f>IF(ISERROR(TER_ander_ele_kWh/1000),0,TER_ander_ele_kWh/1000)</f>
        <v>1244.1629520056499</v>
      </c>
      <c r="C30" s="39">
        <f>IF(ISERROR(B30*3.6/1000000/'E Balans VL '!Z14*100),0,B30*3.6/1000000/'E Balans VL '!Z14*100)</f>
        <v>9.1769729570785677E-2</v>
      </c>
      <c r="D30" s="233" t="s">
        <v>726</v>
      </c>
      <c r="F30" s="6"/>
    </row>
    <row r="31" spans="1:18">
      <c r="A31" s="228" t="s">
        <v>54</v>
      </c>
      <c r="B31" s="33">
        <f>IF(ISERROR(TER_onderwijs_ele_kWh/1000),0,TER_onderwijs_ele_kWh/1000)</f>
        <v>129.62179773884699</v>
      </c>
      <c r="C31" s="39">
        <f>IF(ISERROR(B31*3.6/1000000/'E Balans VL '!Z11*100),0,B31*3.6/1000000/'E Balans VL '!Z11*100)</f>
        <v>3.219116422114511E-2</v>
      </c>
      <c r="D31" s="233" t="s">
        <v>726</v>
      </c>
    </row>
    <row r="32" spans="1:18">
      <c r="A32" s="228" t="s">
        <v>248</v>
      </c>
      <c r="B32" s="33">
        <f>IF(ISERROR(TER_rest_ele_kWh/1000),0,TER_rest_ele_kWh/1000)</f>
        <v>1499.8395519016299</v>
      </c>
      <c r="C32" s="39">
        <f>IF(ISERROR(B32*3.6/1000000/'E Balans VL '!Z8*100),0,B32*3.6/1000000/'E Balans VL '!Z8*100)</f>
        <v>1.2341688677518857E-2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8304.4259207409195</v>
      </c>
      <c r="C5" s="17">
        <f>IF(ISERROR('Eigen informatie GS &amp; warmtenet'!B59),0,'Eigen informatie GS &amp; warmtenet'!B59)</f>
        <v>0</v>
      </c>
      <c r="D5" s="30">
        <f>SUM(D6:D15)</f>
        <v>2982.6813356869338</v>
      </c>
      <c r="E5" s="17">
        <f>SUM(E6:E15)</f>
        <v>652.99583746056226</v>
      </c>
      <c r="F5" s="17">
        <f>SUM(F6:F15)</f>
        <v>2152.6983447664493</v>
      </c>
      <c r="G5" s="18"/>
      <c r="H5" s="17"/>
      <c r="I5" s="17"/>
      <c r="J5" s="17">
        <f>SUM(J6:J15)</f>
        <v>24.778330717978609</v>
      </c>
      <c r="K5" s="17"/>
      <c r="L5" s="17"/>
      <c r="M5" s="17"/>
      <c r="N5" s="17">
        <f>SUM(N6:N15)</f>
        <v>592.24631800679151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41.413432449078599</v>
      </c>
      <c r="C8" s="33"/>
      <c r="D8" s="37">
        <f>IF( ISERROR(IND_metaal_Gas_kWH/1000),0,IND_metaal_Gas_kWH/1000)*0.902</f>
        <v>0</v>
      </c>
      <c r="E8" s="33">
        <f>C30*'E Balans VL '!I18/100/3.6*1000000</f>
        <v>0.38075651389584131</v>
      </c>
      <c r="F8" s="33">
        <f>C30*'E Balans VL '!L18/100/3.6*1000000+C30*'E Balans VL '!N18/100/3.6*1000000</f>
        <v>3.8832011709896217</v>
      </c>
      <c r="G8" s="34"/>
      <c r="H8" s="33"/>
      <c r="I8" s="33"/>
      <c r="J8" s="40">
        <f>C30*'E Balans VL '!D18/100/3.6*1000000+C30*'E Balans VL '!E18/100/3.6*1000000</f>
        <v>0</v>
      </c>
      <c r="K8" s="33"/>
      <c r="L8" s="33"/>
      <c r="M8" s="33"/>
      <c r="N8" s="33">
        <f>C30*'E Balans VL '!Y18/100/3.6*1000000</f>
        <v>0.59083105246524859</v>
      </c>
      <c r="O8" s="33"/>
      <c r="P8" s="33"/>
      <c r="R8" s="32"/>
    </row>
    <row r="9" spans="1:18">
      <c r="A9" s="6" t="s">
        <v>32</v>
      </c>
      <c r="B9" s="37">
        <f t="shared" si="0"/>
        <v>921.47185434492894</v>
      </c>
      <c r="C9" s="33"/>
      <c r="D9" s="37">
        <f>IF( ISERROR(IND_andere_gas_kWh/1000),0,IND_andere_gas_kWh/1000)*0.902</f>
        <v>982.23027368957128</v>
      </c>
      <c r="E9" s="33">
        <f>C31*'E Balans VL '!I19/100/3.6*1000000</f>
        <v>269.36416196614101</v>
      </c>
      <c r="F9" s="33">
        <f>C31*'E Balans VL '!L19/100/3.6*1000000+C31*'E Balans VL '!N19/100/3.6*1000000</f>
        <v>740.47238397657236</v>
      </c>
      <c r="G9" s="34"/>
      <c r="H9" s="33"/>
      <c r="I9" s="33"/>
      <c r="J9" s="40">
        <f>C31*'E Balans VL '!D19/100/3.6*1000000+C31*'E Balans VL '!E19/100/3.6*1000000</f>
        <v>0</v>
      </c>
      <c r="K9" s="33"/>
      <c r="L9" s="33"/>
      <c r="M9" s="33"/>
      <c r="N9" s="33">
        <f>C31*'E Balans VL '!Y19/100/3.6*1000000</f>
        <v>72.279000740428941</v>
      </c>
      <c r="O9" s="33"/>
      <c r="P9" s="33"/>
      <c r="R9" s="32"/>
    </row>
    <row r="10" spans="1:18">
      <c r="A10" s="6" t="s">
        <v>40</v>
      </c>
      <c r="B10" s="37">
        <f t="shared" si="0"/>
        <v>77.265186933562902</v>
      </c>
      <c r="C10" s="33"/>
      <c r="D10" s="37">
        <f>IF( ISERROR(IND_voed_gas_kWh/1000),0,IND_voed_gas_kWh/1000)*0.902</f>
        <v>0</v>
      </c>
      <c r="E10" s="33">
        <f>C32*'E Balans VL '!I20/100/3.6*1000000</f>
        <v>0.16345570096886483</v>
      </c>
      <c r="F10" s="33">
        <f>C32*'E Balans VL '!L20/100/3.6*1000000+C32*'E Balans VL '!N20/100/3.6*1000000</f>
        <v>4.9125995093099695</v>
      </c>
      <c r="G10" s="34"/>
      <c r="H10" s="33"/>
      <c r="I10" s="33"/>
      <c r="J10" s="40">
        <f>C32*'E Balans VL '!D20/100/3.6*1000000+C32*'E Balans VL '!E20/100/3.6*1000000</f>
        <v>0</v>
      </c>
      <c r="K10" s="33"/>
      <c r="L10" s="33"/>
      <c r="M10" s="33"/>
      <c r="N10" s="33">
        <f>C32*'E Balans VL '!Y20/100/3.6*1000000</f>
        <v>5.3320603699111739</v>
      </c>
      <c r="O10" s="33"/>
      <c r="P10" s="33"/>
      <c r="R10" s="32"/>
    </row>
    <row r="11" spans="1:18">
      <c r="A11" s="6" t="s">
        <v>39</v>
      </c>
      <c r="B11" s="37">
        <f t="shared" si="0"/>
        <v>317.72270364016799</v>
      </c>
      <c r="C11" s="33"/>
      <c r="D11" s="37">
        <f>IF( ISERROR(IND_textiel_gas_kWh/1000),0,IND_textiel_gas_kWh/1000)*0.902</f>
        <v>524.27993058876359</v>
      </c>
      <c r="E11" s="33">
        <f>C33*'E Balans VL '!I21/100/3.6*1000000</f>
        <v>0.94360903684815156</v>
      </c>
      <c r="F11" s="33">
        <f>C33*'E Balans VL '!L21/100/3.6*1000000+C33*'E Balans VL '!N21/100/3.6*1000000</f>
        <v>32.098715863813275</v>
      </c>
      <c r="G11" s="34"/>
      <c r="H11" s="33"/>
      <c r="I11" s="33"/>
      <c r="J11" s="40">
        <f>C33*'E Balans VL '!D21/100/3.6*1000000+C33*'E Balans VL '!E21/100/3.6*1000000</f>
        <v>0</v>
      </c>
      <c r="K11" s="33"/>
      <c r="L11" s="33"/>
      <c r="M11" s="33"/>
      <c r="N11" s="33">
        <f>C33*'E Balans VL '!Y21/100/3.6*1000000</f>
        <v>17.523421071456255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26.332129031841401</v>
      </c>
      <c r="C13" s="33"/>
      <c r="D13" s="37">
        <f>IF( ISERROR(IND_papier_gas_kWh/1000),0,IND_papier_gas_kWh/1000)*0.902</f>
        <v>46.551340652082402</v>
      </c>
      <c r="E13" s="33">
        <f>C35*'E Balans VL '!I23/100/3.6*1000000</f>
        <v>3.7359268985022891E-2</v>
      </c>
      <c r="F13" s="33">
        <f>C35*'E Balans VL '!L23/100/3.6*1000000+C35*'E Balans VL '!N23/100/3.6*1000000</f>
        <v>0.64286628485635411</v>
      </c>
      <c r="G13" s="34"/>
      <c r="H13" s="33"/>
      <c r="I13" s="33"/>
      <c r="J13" s="40">
        <f>C35*'E Balans VL '!D23/100/3.6*1000000+C35*'E Balans VL '!E23/100/3.6*1000000</f>
        <v>4.0725109758666476E-3</v>
      </c>
      <c r="K13" s="33"/>
      <c r="L13" s="33"/>
      <c r="M13" s="33"/>
      <c r="N13" s="33">
        <f>C35*'E Balans VL '!Y23/100/3.6*1000000</f>
        <v>10.758926132144593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6920.2206143413405</v>
      </c>
      <c r="C15" s="33"/>
      <c r="D15" s="37">
        <f>IF( ISERROR(IND_rest_gas_kWh/1000),0,IND_rest_gas_kWh/1000)*0.902</f>
        <v>1429.6197907565165</v>
      </c>
      <c r="E15" s="33">
        <f>C37*'E Balans VL '!I15/100/3.6*1000000</f>
        <v>382.10649497372333</v>
      </c>
      <c r="F15" s="33">
        <f>C37*'E Balans VL '!L15/100/3.6*1000000+C37*'E Balans VL '!N15/100/3.6*1000000</f>
        <v>1370.6885779609077</v>
      </c>
      <c r="G15" s="34"/>
      <c r="H15" s="33"/>
      <c r="I15" s="33"/>
      <c r="J15" s="40">
        <f>C37*'E Balans VL '!D15/100/3.6*1000000+C37*'E Balans VL '!E15/100/3.6*1000000</f>
        <v>24.774258207002742</v>
      </c>
      <c r="K15" s="33"/>
      <c r="L15" s="33"/>
      <c r="M15" s="33"/>
      <c r="N15" s="33">
        <f>C37*'E Balans VL '!Y15/100/3.6*1000000</f>
        <v>485.76207864038531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8304.4259207409195</v>
      </c>
      <c r="C18" s="21">
        <f>C5+C16</f>
        <v>0</v>
      </c>
      <c r="D18" s="21">
        <f>MAX((D5+D16),0)</f>
        <v>2982.6813356869338</v>
      </c>
      <c r="E18" s="21">
        <f>MAX((E5+E16),0)</f>
        <v>652.99583746056226</v>
      </c>
      <c r="F18" s="21">
        <f>MAX((F5+F16),0)</f>
        <v>2152.6983447664493</v>
      </c>
      <c r="G18" s="21"/>
      <c r="H18" s="21"/>
      <c r="I18" s="21"/>
      <c r="J18" s="21">
        <f>MAX((J5+J16),0)</f>
        <v>24.778330717978609</v>
      </c>
      <c r="K18" s="21"/>
      <c r="L18" s="21">
        <f>MAX((L5+L16),0)</f>
        <v>0</v>
      </c>
      <c r="M18" s="21"/>
      <c r="N18" s="21">
        <f>MAX((N5+N16),0)</f>
        <v>592.24631800679151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0.14078678744344383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1169.1534469431772</v>
      </c>
      <c r="C22" s="23">
        <f ca="1">C18*C20</f>
        <v>0</v>
      </c>
      <c r="D22" s="23">
        <f>D18*D20</f>
        <v>602.50162980876064</v>
      </c>
      <c r="E22" s="23">
        <f>E18*E20</f>
        <v>148.23005510354764</v>
      </c>
      <c r="F22" s="23">
        <f>F18*F20</f>
        <v>574.77045805264197</v>
      </c>
      <c r="G22" s="23"/>
      <c r="H22" s="23"/>
      <c r="I22" s="23"/>
      <c r="J22" s="23">
        <f>J18*J20</f>
        <v>8.7715290741644267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41.413432449078599</v>
      </c>
      <c r="C30" s="39">
        <f>IF(ISERROR(B30*3.6/1000000/'E Balans VL '!Z18*100),0,B30*3.6/1000000/'E Balans VL '!Z18*100)</f>
        <v>2.3470054078754883E-3</v>
      </c>
      <c r="D30" s="233" t="s">
        <v>726</v>
      </c>
    </row>
    <row r="31" spans="1:18">
      <c r="A31" s="6" t="s">
        <v>32</v>
      </c>
      <c r="B31" s="37">
        <f>IF( ISERROR(IND_ander_ele_kWh/1000),0,IND_ander_ele_kWh/1000)</f>
        <v>921.47185434492894</v>
      </c>
      <c r="C31" s="39">
        <f>IF(ISERROR(B31*3.6/1000000/'E Balans VL '!Z19*100),0,B31*3.6/1000000/'E Balans VL '!Z19*100)</f>
        <v>4.179412637106529E-2</v>
      </c>
      <c r="D31" s="233" t="s">
        <v>726</v>
      </c>
    </row>
    <row r="32" spans="1:18">
      <c r="A32" s="168" t="s">
        <v>40</v>
      </c>
      <c r="B32" s="37">
        <f>IF( ISERROR(IND_voed_ele_kWh/1000),0,IND_voed_ele_kWh/1000)</f>
        <v>77.265186933562902</v>
      </c>
      <c r="C32" s="39">
        <f>IF(ISERROR(B32*3.6/1000000/'E Balans VL '!Z20*100),0,B32*3.6/1000000/'E Balans VL '!Z20*100)</f>
        <v>2.390162986187664E-3</v>
      </c>
      <c r="D32" s="233" t="s">
        <v>726</v>
      </c>
    </row>
    <row r="33" spans="1:5">
      <c r="A33" s="168" t="s">
        <v>39</v>
      </c>
      <c r="B33" s="37">
        <f>IF( ISERROR(IND_textiel_ele_kWh/1000),0,IND_textiel_ele_kWh/1000)</f>
        <v>317.72270364016799</v>
      </c>
      <c r="C33" s="39">
        <f>IF(ISERROR(B33*3.6/1000000/'E Balans VL '!Z21*100),0,B33*3.6/1000000/'E Balans VL '!Z21*100)</f>
        <v>4.1427508886993945E-2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26.332129031841401</v>
      </c>
      <c r="C35" s="39">
        <f>IF(ISERROR(B35*3.6/1000000/'E Balans VL '!Z22*100),0,B35*3.6/1000000/'E Balans VL '!Z22*100)</f>
        <v>4.7363284598642306E-3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6920.2206143413405</v>
      </c>
      <c r="C37" s="39">
        <f>IF(ISERROR(B37*3.6/1000000/'E Balans VL '!Z15*100),0,B37*3.6/1000000/'E Balans VL '!Z15*100)</f>
        <v>5.4851247207850042E-2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600.39850094466703</v>
      </c>
      <c r="C5" s="17">
        <f>'Eigen informatie GS &amp; warmtenet'!B60</f>
        <v>0</v>
      </c>
      <c r="D5" s="30">
        <f>IF(ISERROR(SUM(LB_lb_gas_kWh,LB_rest_gas_kWh)/1000),0,SUM(LB_lb_gas_kWh,LB_rest_gas_kWh)/1000)*0.902</f>
        <v>198.06560139716058</v>
      </c>
      <c r="E5" s="17">
        <f>B17*'E Balans VL '!I25/3.6*1000000/100</f>
        <v>17.647545771448907</v>
      </c>
      <c r="F5" s="17">
        <f>B17*('E Balans VL '!L25/3.6*1000000+'E Balans VL '!N25/3.6*1000000)/100</f>
        <v>2501.2277111033927</v>
      </c>
      <c r="G5" s="18"/>
      <c r="H5" s="17"/>
      <c r="I5" s="17"/>
      <c r="J5" s="17">
        <f>('E Balans VL '!D25+'E Balans VL '!E25)/3.6*1000000*landbouw!B17/100</f>
        <v>86.984849081481684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600.39850094466703</v>
      </c>
      <c r="C8" s="21">
        <f>C5+C6</f>
        <v>0</v>
      </c>
      <c r="D8" s="21">
        <f>MAX((D5+D6),0)</f>
        <v>198.06560139716058</v>
      </c>
      <c r="E8" s="21">
        <f>MAX((E5+E6),0)</f>
        <v>17.647545771448907</v>
      </c>
      <c r="F8" s="21">
        <f>MAX((F5+F6),0)</f>
        <v>2501.2277111033927</v>
      </c>
      <c r="G8" s="21"/>
      <c r="H8" s="21"/>
      <c r="I8" s="21"/>
      <c r="J8" s="21">
        <f>MAX((J5+J6),0)</f>
        <v>86.984849081481684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0.14078678744344383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84.528176133859148</v>
      </c>
      <c r="C12" s="23">
        <f ca="1">C8*C10</f>
        <v>0</v>
      </c>
      <c r="D12" s="23">
        <f>D8*D10</f>
        <v>40.009251482226439</v>
      </c>
      <c r="E12" s="23">
        <f>E8*E10</f>
        <v>4.0059928901189021</v>
      </c>
      <c r="F12" s="23">
        <f>F8*F10</f>
        <v>667.82779886460594</v>
      </c>
      <c r="G12" s="23"/>
      <c r="H12" s="23"/>
      <c r="I12" s="23"/>
      <c r="J12" s="23">
        <f>J8*J10</f>
        <v>30.792636574844515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8.5198430976898193E-2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112.91895663613629</v>
      </c>
      <c r="C26" s="243">
        <f>B26*'GWP N2O_CH4'!B5</f>
        <v>2371.2980893588619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12.050411822149108</v>
      </c>
      <c r="C27" s="243">
        <f>B27*'GWP N2O_CH4'!B5</f>
        <v>253.05864826513127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1.7116815085071782</v>
      </c>
      <c r="C28" s="243">
        <f>B28*'GWP N2O_CH4'!B4</f>
        <v>530.62126763722517</v>
      </c>
      <c r="D28" s="50"/>
    </row>
    <row r="29" spans="1:4">
      <c r="A29" s="41" t="s">
        <v>265</v>
      </c>
      <c r="B29" s="243">
        <f>B34*'ha_N2O bodem landbouw'!B4</f>
        <v>9.1297516954705635</v>
      </c>
      <c r="C29" s="243">
        <f>B29*'GWP N2O_CH4'!B4</f>
        <v>2830.2230255958748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2.0833778743823642E-3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1.8331167445004645E-4</v>
      </c>
      <c r="C5" s="429" t="s">
        <v>204</v>
      </c>
      <c r="D5" s="414">
        <f>SUM(D6:D11)</f>
        <v>3.3838187269123905E-4</v>
      </c>
      <c r="E5" s="414">
        <f>SUM(E6:E11)</f>
        <v>5.8330721725995919E-4</v>
      </c>
      <c r="F5" s="427" t="s">
        <v>204</v>
      </c>
      <c r="G5" s="414">
        <f>SUM(G6:G11)</f>
        <v>0.27562531064102808</v>
      </c>
      <c r="H5" s="414">
        <f>SUM(H6:H11)</f>
        <v>5.4134250794910715E-2</v>
      </c>
      <c r="I5" s="429" t="s">
        <v>204</v>
      </c>
      <c r="J5" s="429" t="s">
        <v>204</v>
      </c>
      <c r="K5" s="429" t="s">
        <v>204</v>
      </c>
      <c r="L5" s="429" t="s">
        <v>204</v>
      </c>
      <c r="M5" s="414">
        <f>SUM(M6:M11)</f>
        <v>1.7697249185826679E-2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1.049964648860312E-4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1.7651752102887996E-4</v>
      </c>
      <c r="E6" s="857">
        <f>vkm_GW_PW*SUMIFS(TableVerdeelsleutelVkm[LPG],TableVerdeelsleutelVkm[Voertuigtype],"Lichte voertuigen")*SUMIFS(TableECFTransport[EnergieConsumptieFactor (PJ per km)],TableECFTransport[Index],CONCATENATE($A6,"_LPG_LPG"))</f>
        <v>3.1058409044054414E-4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9.2149400384352292E-2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2.8518806669635095E-2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6.2234864849857706E-3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2.7207361487337507E-6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8.7391184005058214E-2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1.4258384411589919E-6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5.1058774549125529E-3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7.5088854588866452E-5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1.618643516623591E-4</v>
      </c>
      <c r="E8" s="417">
        <f>vkm_NGW_PW*SUMIFS(TableVerdeelsleutelVkm[LPG],TableVerdeelsleutelVkm[Voertuigtype],"Lichte voertuigen")*SUMIFS(TableECFTransport[EnergieConsumptieFactor (PJ per km)],TableECFTransport[Index],CONCATENATE($A8,"_LPG_LPG"))</f>
        <v>2.7272312681941505E-4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7.524684785558089E-2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2.5613698453611167E-2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5.1504214607766205E-3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5.0561882641506634E-7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2.083787839603668E-2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3.1983322329450639E-7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1.2174637851517342E-3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50.919909569457346</v>
      </c>
      <c r="C14" s="21"/>
      <c r="D14" s="21">
        <f t="shared" ref="D14:M14" si="0">((D5)*10^9/3600)+D12</f>
        <v>93.994964636455293</v>
      </c>
      <c r="E14" s="21">
        <f t="shared" si="0"/>
        <v>162.02978257221088</v>
      </c>
      <c r="F14" s="21"/>
      <c r="G14" s="21">
        <f t="shared" si="0"/>
        <v>76562.586289174462</v>
      </c>
      <c r="H14" s="21">
        <f t="shared" si="0"/>
        <v>15037.291887475198</v>
      </c>
      <c r="I14" s="21"/>
      <c r="J14" s="21"/>
      <c r="K14" s="21"/>
      <c r="L14" s="21"/>
      <c r="M14" s="21">
        <f t="shared" si="0"/>
        <v>4915.902551618522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0.14078678744344383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7.1688504851945734</v>
      </c>
      <c r="C18" s="23"/>
      <c r="D18" s="23">
        <f t="shared" ref="D18:M18" si="1">D14*D16</f>
        <v>18.986982856563969</v>
      </c>
      <c r="E18" s="23">
        <f t="shared" si="1"/>
        <v>36.780760643891867</v>
      </c>
      <c r="F18" s="23"/>
      <c r="G18" s="23">
        <f t="shared" si="1"/>
        <v>20442.210539209584</v>
      </c>
      <c r="H18" s="23">
        <f t="shared" si="1"/>
        <v>3744.2856799813244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2.8022688748086671E-5</v>
      </c>
      <c r="C50" s="313">
        <f t="shared" ref="C50:P50" si="2">SUM(C51:C52)</f>
        <v>0</v>
      </c>
      <c r="D50" s="313">
        <f t="shared" si="2"/>
        <v>0</v>
      </c>
      <c r="E50" s="313">
        <f t="shared" si="2"/>
        <v>0</v>
      </c>
      <c r="F50" s="313">
        <f t="shared" si="2"/>
        <v>0</v>
      </c>
      <c r="G50" s="313">
        <f t="shared" si="2"/>
        <v>2.6324534575840825E-3</v>
      </c>
      <c r="H50" s="313">
        <f t="shared" si="2"/>
        <v>0</v>
      </c>
      <c r="I50" s="313">
        <f t="shared" si="2"/>
        <v>0</v>
      </c>
      <c r="J50" s="313">
        <f t="shared" si="2"/>
        <v>0</v>
      </c>
      <c r="K50" s="313">
        <f t="shared" si="2"/>
        <v>0</v>
      </c>
      <c r="L50" s="313">
        <f t="shared" si="2"/>
        <v>0</v>
      </c>
      <c r="M50" s="313">
        <f t="shared" si="2"/>
        <v>1.5159509063857331E-4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2.8022688748086671E-5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2.6324534575840825E-3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1.5159509063857331E-4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7.7840802078018534</v>
      </c>
      <c r="C54" s="21">
        <f t="shared" ref="C54:P54" si="3">(C50)*10^9/3600</f>
        <v>0</v>
      </c>
      <c r="D54" s="21">
        <f t="shared" si="3"/>
        <v>0</v>
      </c>
      <c r="E54" s="21">
        <f t="shared" si="3"/>
        <v>0</v>
      </c>
      <c r="F54" s="21">
        <f t="shared" si="3"/>
        <v>0</v>
      </c>
      <c r="G54" s="21">
        <f t="shared" si="3"/>
        <v>731.23707155113402</v>
      </c>
      <c r="H54" s="21">
        <f t="shared" si="3"/>
        <v>0</v>
      </c>
      <c r="I54" s="21">
        <f t="shared" si="3"/>
        <v>0</v>
      </c>
      <c r="J54" s="21">
        <f t="shared" si="3"/>
        <v>0</v>
      </c>
      <c r="K54" s="21">
        <f t="shared" si="3"/>
        <v>0</v>
      </c>
      <c r="L54" s="21">
        <f t="shared" si="3"/>
        <v>0</v>
      </c>
      <c r="M54" s="21">
        <f t="shared" si="3"/>
        <v>42.109747399603698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0.14078678744344383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1.0958956456585176</v>
      </c>
      <c r="C58" s="23">
        <f t="shared" ref="C58:P58" ca="1" si="4">C54*C56</f>
        <v>0</v>
      </c>
      <c r="D58" s="23">
        <f t="shared" si="4"/>
        <v>0</v>
      </c>
      <c r="E58" s="23">
        <f t="shared" si="4"/>
        <v>0</v>
      </c>
      <c r="F58" s="23">
        <f t="shared" si="4"/>
        <v>0</v>
      </c>
      <c r="G58" s="23">
        <f t="shared" si="4"/>
        <v>195.2402981041528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15846.522752342617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4445.9184044044323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20292.441156747049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2021-11-11T12:50:35Z</dcterms:modified>
</cp:coreProperties>
</file>