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3E69836-18AF-4166-AE4F-8761BCC44A6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H26" i="14"/>
  <c r="D5" i="17"/>
  <c r="Q14" i="48" l="1"/>
  <c r="B8" i="18"/>
  <c r="B46" i="18"/>
  <c r="I9" i="18"/>
  <c r="P27" i="4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B52" i="22"/>
  <c r="D8"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<sst xmlns="http://schemas.openxmlformats.org/spreadsheetml/2006/main" count="2474" uniqueCount="899">
  <si>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</si>
  <si>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</si>
  <si>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</si>
  <si>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</si>
  <si>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</si>
  <si>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</si>
  <si>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</si>
  <si>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</si>
  <si>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</si>
  <si>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</si>
  <si>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</si>
  <si>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</si>
  <si>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</si>
  <si>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</si>
  <si>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</si>
  <si>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</si>
  <si>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</si>
  <si>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</si>
  <si>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</si>
  <si>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</si>
  <si>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</si>
  <si>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</si>
  <si>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</si>
  <si>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</si>
  <si>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</si>
  <si>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</si>
  <si>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</si>
  <si>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</si>
  <si>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</si>
  <si>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</si>
  <si>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</si>
  <si>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</si>
  <si>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</si>
  <si>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</si>
  <si>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</si>
  <si>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</si>
  <si>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</si>
  <si>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</si>
  <si>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</si>
  <si>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</si>
  <si>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</si>
  <si>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</si>
  <si>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</si>
  <si>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</si>
  <si>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</si>
  <si>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</si>
  <si>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</si>
  <si>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</si>
  <si>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</si>
  <si>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</si>
  <si>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</si>
  <si>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</si>
  <si>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</si>
  <si>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</si>
  <si>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</si>
  <si>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</si>
  <si>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</si>
  <si>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</si>
  <si>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</si>
  <si>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</si>
  <si>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</si>
  <si>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</si>
  <si>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</si>
  <si>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</si>
  <si>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</si>
  <si>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</si>
  <si>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</si>
  <si>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</si>
  <si>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</si>
  <si>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</si>
  <si>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</si>
  <si>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</si>
  <si>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</si>
  <si>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</si>
  <si>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</si>
  <si>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</si>
  <si>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</si>
  <si>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</si>
  <si>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</si>
  <si>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</si>
  <si>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</si>
  <si>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</si>
  <si>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</si>
  <si>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</si>
  <si>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</si>
  <si>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</si>
  <si>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</si>
  <si>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</si>
  <si>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</si>
  <si>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</si>
  <si>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</si>
  <si>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</si>
  <si>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</si>
  <si>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</si>
  <si>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</si>
  <si>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</si>
  <si>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</si>
  <si>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</si>
  <si>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</si>
  <si>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</si>
  <si>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</si>
  <si>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</si>
  <si>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</si>
  <si>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</si>
  <si>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</si>
  <si>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</si>
  <si>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</si>
  <si>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</si>
  <si>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</si>
  <si>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</si>
  <si>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</si>
  <si>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</si>
  <si>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</si>
  <si>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</si>
  <si>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</si>
  <si>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</si>
  <si>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</si>
  <si>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</si>
  <si>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</si>
  <si>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</si>
  <si>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</si>
  <si>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</si>
  <si>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</si>
  <si>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</si>
  <si>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</si>
  <si>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</si>
  <si>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</si>
  <si>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</si>
  <si>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</si>
  <si>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</si>
  <si>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</si>
  <si>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</si>
  <si>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</si>
  <si>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</si>
  <si>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</si>
  <si>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</si>
  <si>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</si>
  <si>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</si>
  <si>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</si>
  <si>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</si>
  <si>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</si>
  <si>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</si>
  <si>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</si>
  <si>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</si>
  <si>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</si>
  <si>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</si>
  <si>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</si>
  <si>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</si>
  <si>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</si>
  <si>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</si>
  <si>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</si>
  <si>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</si>
  <si>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</si>
  <si>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</si>
  <si>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</si>
  <si>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</si>
  <si>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</si>
  <si>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</si>
  <si>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</si>
  <si>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</si>
  <si>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</si>
  <si>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</si>
  <si>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</si>
  <si>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</si>
  <si>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</si>
  <si>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</si>
  <si>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</si>
  <si>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</si>
  <si>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</si>
  <si>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</si>
  <si>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</si>
  <si>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</si>
  <si>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</si>
  <si>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</si>
  <si>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</si>
  <si>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</si>
  <si>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</si>
  <si>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</si>
  <si>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</si>
  <si>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</si>
  <si>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</si>
  <si>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</si>
  <si>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</si>
  <si>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</si>
  <si>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</si>
  <si>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</si>
  <si>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</si>
  <si>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</si>
  <si>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</si>
  <si>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</si>
  <si>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</si>
  <si>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</si>
  <si>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</si>
  <si>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</si>
  <si>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</si>
  <si>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</si>
  <si>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</si>
  <si>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</si>
  <si>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</si>
  <si>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</si>
  <si>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</si>
  <si>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</si>
  <si>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</si>
  <si>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</si>
  <si>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</si>
  <si>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</si>
  <si>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</si>
  <si>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</si>
  <si>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</si>
  <si>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</si>
  <si>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</si>
  <si>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</si>
  <si>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</si>
  <si>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</si>
  <si>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</si>
  <si>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</si>
  <si>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</si>
  <si>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</si>
  <si>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</si>
  <si>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</si>
  <si>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</si>
  <si>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</si>
  <si>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</si>
  <si>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</si>
  <si>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</si>
  <si>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</si>
  <si>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</si>
  <si>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</si>
  <si>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</si>
  <si>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</si>
  <si>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</si>
  <si>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</si>
  <si>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</si>
  <si>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</si>
  <si>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</si>
  <si>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</si>
  <si>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</si>
  <si>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</si>
  <si>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</si>
  <si>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</si>
  <si>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</si>
  <si>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</si>
  <si>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</si>
  <si>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</si>
  <si>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</si>
  <si>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</si>
  <si>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</si>
  <si>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</si>
  <si>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</si>
  <si>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</si>
  <si>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</si>
  <si>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</si>
  <si>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</si>
  <si>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</si>
  <si>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</si>
  <si>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</si>
  <si>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</si>
  <si>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</si>
  <si>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</si>
  <si>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</si>
  <si>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</si>
  <si>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</si>
  <si>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</si>
  <si>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</si>
  <si>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</si>
  <si>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</si>
  <si>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</si>
  <si>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</si>
  <si>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</si>
  <si>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</si>
  <si>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</si>
  <si>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</si>
  <si>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</si>
  <si>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</si>
  <si>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</si>
  <si>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</si>
  <si>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</si>
  <si>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</si>
  <si>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</si>
  <si>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</si>
  <si>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</si>
  <si>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</si>
  <si>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</si>
  <si>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</si>
  <si>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</si>
  <si>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</si>
  <si>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</si>
  <si>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</si>
  <si>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</si>
  <si>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</si>
  <si>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</si>
  <si>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</si>
  <si>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</si>
  <si>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</si>
  <si>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</si>
  <si>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</si>
  <si>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</si>
  <si>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</si>
  <si>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</si>
  <si>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</si>
  <si>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</si>
  <si>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</si>
  <si>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</si>
  <si>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</si>
  <si>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</si>
  <si>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</si>
  <si>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</si>
  <si>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</si>
  <si>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</si>
  <si>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</si>
  <si>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</si>
  <si>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</si>
  <si>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</si>
  <si>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</si>
  <si>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</si>
  <si>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</si>
  <si>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</si>
  <si>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</si>
  <si>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</si>
  <si>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</si>
  <si>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</si>
  <si>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</si>
  <si>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</si>
  <si>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</si>
  <si>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</si>
  <si>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</si>
  <si>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</si>
  <si>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</si>
  <si>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</si>
  <si>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</si>
  <si>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</si>
  <si>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</si>
  <si>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</si>
  <si>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</si>
  <si>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</si>
  <si>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</si>
  <si>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</si>
  <si>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</si>
  <si>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</si>
  <si>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</si>
  <si>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</si>
  <si>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</si>
  <si>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</si>
  <si>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</si>
  <si>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</si>
  <si>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</si>
  <si>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</si>
  <si>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</si>
  <si>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</si>
  <si>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</si>
  <si>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</si>
  <si>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</si>
  <si>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</si>
  <si>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</si>
  <si>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</si>
  <si>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</si>
  <si>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</si>
  <si>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</si>
  <si>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</si>
  <si>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</si>
  <si>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</si>
  <si>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</si>
  <si>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</si>
  <si>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</si>
  <si>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</si>
  <si>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</si>
  <si>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</si>
  <si>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</si>
  <si>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</si>
  <si>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</si>
  <si>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</si>
  <si>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</si>
  <si>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</si>
  <si>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</si>
  <si>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</si>
  <si>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</si>
  <si>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</si>
  <si>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</si>
  <si>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</si>
  <si>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</si>
  <si>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</si>
  <si>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</si>
  <si>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</si>
  <si>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</si>
  <si>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</si>
  <si>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</si>
  <si>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</si>
  <si>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</si>
  <si>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</si>
  <si>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</si>
  <si>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</si>
  <si>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</si>
  <si>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</si>
  <si>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</si>
  <si>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</si>
  <si>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</si>
  <si>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</si>
  <si>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</si>
  <si>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</si>
  <si>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</si>
  <si>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</si>
  <si>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</si>
  <si>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</si>
  <si>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</si>
  <si>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</si>
  <si>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</si>
  <si>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</si>
  <si>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</si>
  <si>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</si>
  <si>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</si>
  <si>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</si>
  <si>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</si>
  <si>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</si>
  <si>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</si>
  <si>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</si>
  <si>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</si>
  <si>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</si>
  <si>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</si>
  <si>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</si>
  <si>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</si>
  <si>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</si>
  <si>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</si>
  <si>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</si>
  <si>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</si>
  <si>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</si>
  <si>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</si>
  <si>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</si>
  <si>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</si>
  <si>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</si>
  <si>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</si>
  <si>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</si>
  <si>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</si>
  <si>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</si>
  <si>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</si>
  <si>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</si>
  <si>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</si>
  <si>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</si>
  <si>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</si>
  <si>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</si>
  <si>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</si>
  <si>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</si>
  <si>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</si>
  <si>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</si>
  <si>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</si>
  <si>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</si>
  <si>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</si>
  <si>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</si>
  <si>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</si>
  <si>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</si>
  <si>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</si>
  <si>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</si>
  <si>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</si>
  <si>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</si>
  <si>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</si>
  <si>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</si>
  <si>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</si>
  <si>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</si>
  <si>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</si>
  <si>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</si>
  <si>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</si>
  <si>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</si>
  <si>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</si>
  <si>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</si>
  <si>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</si>
  <si>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</si>
  <si>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</si>
  <si>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</si>
  <si>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</si>
  <si>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</si>
  <si>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</si>
  <si>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</si>
  <si>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</si>
  <si>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</si>
  <si>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</si>
  <si>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</si>
  <si>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</si>
  <si>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</si>
  <si>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</si>
  <si>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</si>
  <si>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</si>
  <si>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</si>
  <si>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</si>
  <si>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</si>
  <si>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</si>
  <si>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</si>
  <si>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</si>
  <si>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</si>
  <si>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</si>
  <si>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</si>
  <si>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</si>
  <si>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</si>
  <si>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</si>
  <si>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</si>
  <si>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</si>
  <si>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</si>
  <si>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</si>
  <si>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</si>
  <si>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</si>
  <si>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</si>
  <si>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</si>
  <si>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</si>
  <si>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</si>
  <si>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</si>
  <si>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</si>
  <si>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</si>
  <si>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</si>
  <si>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</si>
  <si>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</si>
  <si>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</si>
  <si>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</si>
  <si>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</si>
  <si>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</si>
  <si>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</si>
  <si>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</si>
  <si>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</si>
  <si>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</si>
  <si>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</si>
  <si>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</si>
  <si>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</si>
  <si>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</si>
  <si>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</si>
  <si>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</si>
  <si>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</si>
  <si>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</si>
  <si>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</si>
  <si>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</si>
  <si>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</si>
  <si>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</si>
  <si>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</si>
  <si>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</si>
  <si>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</si>
  <si>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</si>
  <si>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</si>
  <si>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</si>
  <si>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</si>
  <si>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</si>
  <si>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</si>
  <si>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</si>
  <si>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</si>
  <si>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</si>
  <si>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</si>
  <si>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</si>
  <si>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</si>
  <si>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</si>
  <si>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</si>
  <si>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</si>
  <si>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</si>
  <si>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</si>
  <si>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</si>
  <si>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</si>
  <si>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</si>
  <si>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</si>
  <si>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</si>
  <si>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</si>
  <si>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</si>
  <si>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</si>
  <si>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</si>
  <si>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</si>
  <si>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</si>
  <si>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</si>
  <si>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</si>
  <si>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</si>
  <si>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</si>
  <si>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</si>
  <si>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</si>
  <si>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</si>
  <si>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</si>
  <si>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</si>
  <si>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</si>
  <si>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</si>
  <si>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</si>
  <si>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</si>
  <si>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</si>
  <si>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</si>
  <si>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</si>
  <si>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</si>
  <si>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</si>
  <si>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</si>
  <si>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</si>
  <si>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</si>
  <si>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</si>
  <si>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</si>
  <si>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</si>
  <si>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</si>
  <si>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</si>
  <si>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</si>
  <si>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</si>
  <si>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</si>
  <si>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</si>
  <si>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</si>
  <si>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</si>
  <si>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</si>
  <si>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</si>
  <si>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</si>
  <si>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</si>
  <si>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</si>
  <si>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</si>
  <si>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</si>
  <si>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</si>
  <si>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</si>
  <si>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</si>
  <si>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</si>
  <si>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</si>
  <si>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</si>
  <si>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</si>
  <si>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</si>
  <si>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</si>
  <si>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</si>
  <si>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</si>
  <si>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</si>
  <si>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</si>
  <si>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</si>
  <si>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</si>
  <si>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</si>
  <si>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</si>
  <si>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</si>
  <si>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</si>
  <si>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</si>
  <si>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</si>
  <si>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</si>
  <si>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</si>
  <si>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</si>
  <si>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</si>
  <si>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</si>
  <si>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</si>
  <si>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</si>
  <si>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</si>
  <si>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</si>
  <si>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</si>
  <si>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</si>
  <si>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</si>
  <si>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</si>
  <si>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</si>
  <si>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</si>
  <si>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</si>
  <si>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</si>
  <si>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</si>
  <si>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</si>
  <si>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</si>
  <si>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</si>
  <si>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</si>
  <si>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</si>
  <si>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</si>
  <si>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</si>
  <si>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</si>
  <si>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</si>
  <si>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</si>
  <si>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</si>
  <si>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</si>
  <si>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</si>
  <si>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</si>
  <si>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</si>
  <si>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</si>
  <si>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</si>
  <si>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</si>
  <si>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</si>
  <si>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</si>
  <si>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</si>
  <si>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</si>
  <si>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</si>
  <si>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</si>
  <si>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</si>
  <si>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</si>
  <si>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</si>
  <si>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</si>
  <si>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</si>
  <si>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</si>
  <si>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</si>
  <si>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</si>
  <si>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</si>
  <si>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</si>
  <si>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</si>
  <si>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</si>
  <si>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</si>
  <si>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</si>
  <si>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</si>
  <si>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</si>
  <si>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</si>
  <si>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</si>
  <si>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</si>
  <si>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</si>
  <si>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</si>
  <si>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</si>
  <si>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</si>
  <si>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</si>
  <si>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</si>
  <si>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</si>
  <si>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</si>
  <si>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</si>
  <si>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</si>
  <si>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</si>
  <si>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</si>
  <si>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</si>
  <si>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</si>
  <si>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</si>
  <si>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</si>
  <si>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</si>
  <si>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</si>
  <si>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</si>
  <si>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</si>
  <si>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</si>
  <si>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</si>
  <si>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</si>
  <si>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</si>
  <si>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</si>
  <si>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</si>
  <si>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</si>
  <si>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</si>
  <si>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</si>
  <si>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</si>
  <si>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</si>
  <si>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</si>
  <si>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</si>
  <si>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</si>
  <si>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</si>
  <si>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</si>
  <si>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</si>
  <si>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</si>
  <si>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</si>
  <si>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</si>
  <si>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</si>
  <si>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</si>
  <si>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</si>
  <si>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</si>
  <si>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</si>
  <si>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</si>
  <si>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</si>
  <si>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</si>
  <si>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</si>
  <si>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</si>
  <si>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</si>
  <si>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</si>
  <si>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</si>
  <si>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</si>
  <si>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</si>
  <si>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</si>
  <si>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</si>
  <si>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</si>
  <si>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</si>
  <si>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</si>
  <si>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</si>
  <si>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</si>
  <si>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</si>
  <si>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</si>
  <si>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</si>
  <si>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</si>
  <si>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</si>
  <si>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</si>
  <si>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</si>
  <si>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</si>
  <si>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</si>
  <si>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</si>
  <si>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</si>
  <si>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</si>
  <si>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</si>
  <si>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</si>
  <si>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</si>
  <si>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</si>
  <si>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</si>
  <si>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</si>
  <si>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</si>
  <si>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</si>
  <si>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</si>
  <si>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</si>
  <si>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</si>
  <si>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</si>
  <si>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</si>
  <si>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</si>
  <si>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</si>
  <si>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</si>
  <si>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</si>
  <si>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</si>
  <si>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</si>
  <si>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</si>
  <si>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</si>
  <si>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</si>
  <si>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</si>
  <si>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</si>
  <si>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</si>
  <si>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</si>
  <si>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</si>
  <si>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</si>
  <si>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</si>
  <si>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</si>
  <si>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</si>
  <si>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</si>
  <si>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</si>
  <si>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</si>
  <si>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</si>
  <si>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</si>
  <si>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</si>
  <si>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</si>
  <si>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</si>
  <si>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</si>
  <si>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</si>
  <si>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</si>
  <si>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</si>
  <si>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</si>
  <si>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</si>
  <si>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</si>
  <si>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</si>
  <si>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</si>
  <si>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</si>
  <si>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</si>
  <si>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</si>
  <si>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</si>
  <si>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</si>
  <si>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</si>
  <si>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</si>
  <si>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</si>
  <si>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</si>
  <si>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</si>
  <si>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</si>
  <si>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</si>
  <si>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</si>
  <si>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</si>
  <si>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</si>
  <si>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</si>
  <si>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</si>
  <si>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</si>
  <si>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</si>
  <si>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</si>
  <si>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</si>
  <si>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</si>
  <si>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</si>
  <si>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</si>
  <si>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</si>
  <si>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</si>
  <si>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</si>
  <si>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</si>
  <si>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</si>
  <si>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</si>
  <si>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</si>
  <si>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</si>
  <si>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</si>
  <si>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</si>
  <si>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</si>
  <si>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</si>
  <si>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</si>
  <si>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</si>
  <si>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</si>
  <si>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</si>
  <si>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</si>
  <si>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</si>
  <si>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</si>
  <si>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</si>
  <si>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</si>
  <si>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</si>
  <si>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</si>
  <si>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</si>
  <si>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</si>
  <si>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</si>
  <si>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</si>
  <si>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</si>
  <si>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</si>
  <si>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</si>
  <si>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</si>
  <si>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</si>
  <si>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</si>
  <si>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</si>
  <si>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</si>
  <si>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</si>
  <si>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</si>
  <si>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</si>
  <si>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</si>
  <si>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</si>
  <si>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</si>
  <si>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</si>
  <si>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</si>
  <si>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</si>
  <si>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</si>
  <si>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</si>
  <si>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</si>
  <si>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</si>
  <si>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</si>
  <si>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</si>
  <si>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</si>
  <si>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</si>
  <si>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</si>
  <si>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</si>
  <si>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</si>
  <si>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</si>
  <si>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</si>
  <si>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</si>
  <si>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</si>
  <si>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</si>
  <si>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</si>
  <si>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</si>
  <si>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</si>
  <si>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</si>
  <si>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</si>
  <si>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</si>
  <si>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36006</t>
  </si>
  <si>
    <t>HOOGLEDE</t>
  </si>
  <si>
    <t>Fluvius</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</si>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</sst>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93E50AA-2A45-473A-A8AE-AB30226C85B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81911.727717874106</c:v>
                </c:pt>
                <c:pt idx="1">
                  <c:v>44961.499860375712</c:v>
                </c:pt>
                <c:pt idx="2">
                  <c:v>822.08100000000002</c:v>
                </c:pt>
                <c:pt idx="3">
                  <c:v>31142.786187580328</c:v>
                </c:pt>
                <c:pt idx="4">
                  <c:v>122432.70249827867</c:v>
                </c:pt>
                <c:pt idx="5">
                  <c:v>61330.713308825136</c:v>
                </c:pt>
                <c:pt idx="6">
                  <c:v>536.21793989785249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81911.727717874106</c:v>
                </c:pt>
                <c:pt idx="1">
                  <c:v>44961.499860375712</c:v>
                </c:pt>
                <c:pt idx="2">
                  <c:v>822.08100000000002</c:v>
                </c:pt>
                <c:pt idx="3">
                  <c:v>31142.786187580328</c:v>
                </c:pt>
                <c:pt idx="4">
                  <c:v>122432.70249827867</c:v>
                </c:pt>
                <c:pt idx="5">
                  <c:v>61330.713308825136</c:v>
                </c:pt>
                <c:pt idx="6">
                  <c:v>536.21793989785249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16603.594306924184</c:v>
                </c:pt>
                <c:pt idx="2">
                  <c:v>7644.6167812852236</c:v>
                </c:pt>
                <c:pt idx="3">
                  <c:v>157.00862261617149</c:v>
                </c:pt>
                <c:pt idx="4">
                  <c:v>7741.0982107635864</c:v>
                </c:pt>
                <c:pt idx="5">
                  <c:v>24624.045338342145</c:v>
                </c:pt>
                <c:pt idx="6">
                  <c:v>15366.589330319595</c:v>
                </c:pt>
                <c:pt idx="7">
                  <c:v>135.04590926001188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16603.594306924184</c:v>
                </c:pt>
                <c:pt idx="2">
                  <c:v>7644.6167812852236</c:v>
                </c:pt>
                <c:pt idx="3">
                  <c:v>157.00862261617149</c:v>
                </c:pt>
                <c:pt idx="4">
                  <c:v>7741.0982107635864</c:v>
                </c:pt>
                <c:pt idx="5">
                  <c:v>24624.045338342145</c:v>
                </c:pt>
                <c:pt idx="6">
                  <c:v>15366.589330319595</c:v>
                </c:pt>
                <c:pt idx="7">
                  <c:v>135.04590926001188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36006</v>
      </c>
      <c r="B6" s="382"/>
      <c r="C6" s="383"/>
    </row>
    <row r="7" spans="1:7" s="380" customFormat="1" ht="15.75" customHeight="1">
      <c r="A7" s="384" t="str">
        <f>txtMunicipality</f>
        <v>HOOGLEDE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18666.857217999997</v>
      </c>
      <c r="D10" s="971">
        <f ca="1">tertiair!C16</f>
        <v>6955.7142857142853</v>
      </c>
      <c r="E10" s="971">
        <f ca="1">tertiair!D16</f>
        <v>17476.39687212143</v>
      </c>
      <c r="F10" s="971">
        <f>tertiair!E16</f>
        <v>188.14917600814078</v>
      </c>
      <c r="G10" s="971">
        <f ca="1">tertiair!F16</f>
        <v>2382.0115856997595</v>
      </c>
      <c r="H10" s="971">
        <f>tertiair!G16</f>
        <v>0</v>
      </c>
      <c r="I10" s="971">
        <f>tertiair!H16</f>
        <v>0</v>
      </c>
      <c r="J10" s="971">
        <f>tertiair!I16</f>
        <v>0</v>
      </c>
      <c r="K10" s="971">
        <f>tertiair!J16</f>
        <v>5.1722832095515897E-2</v>
      </c>
      <c r="L10" s="971">
        <f>tertiair!K16</f>
        <v>0</v>
      </c>
      <c r="M10" s="971">
        <f ca="1">tertiair!L16</f>
        <v>0</v>
      </c>
      <c r="N10" s="971">
        <f>tertiair!M16</f>
        <v>0</v>
      </c>
      <c r="O10" s="971">
        <f ca="1">tertiair!N16</f>
        <v>0</v>
      </c>
      <c r="P10" s="971">
        <f>tertiair!O16</f>
        <v>0</v>
      </c>
      <c r="Q10" s="972">
        <f>tertiair!P16</f>
        <v>114.4</v>
      </c>
      <c r="R10" s="666">
        <f ca="1">SUM(C10:Q10)</f>
        <v>45783.58086037571</v>
      </c>
      <c r="S10" s="67"/>
    </row>
    <row r="11" spans="1:19" s="439" customFormat="1">
      <c r="A11" s="775" t="s">
        <v>213</v>
      </c>
      <c r="B11" s="780"/>
      <c r="C11" s="971">
        <f>huishoudens!B8</f>
        <v>16899.336861882937</v>
      </c>
      <c r="D11" s="971">
        <f>huishoudens!C8</f>
        <v>0</v>
      </c>
      <c r="E11" s="971">
        <f>huishoudens!D8</f>
        <v>33060.380733600003</v>
      </c>
      <c r="F11" s="971">
        <f>huishoudens!E8</f>
        <v>952.10427815417972</v>
      </c>
      <c r="G11" s="971">
        <f>huishoudens!F8</f>
        <v>24122.054582883346</v>
      </c>
      <c r="H11" s="971">
        <f>huishoudens!G8</f>
        <v>0</v>
      </c>
      <c r="I11" s="971">
        <f>huishoudens!H8</f>
        <v>0</v>
      </c>
      <c r="J11" s="971">
        <f>huishoudens!I8</f>
        <v>0</v>
      </c>
      <c r="K11" s="971">
        <f>huishoudens!J8</f>
        <v>116.07262037052237</v>
      </c>
      <c r="L11" s="971">
        <f>huishoudens!K8</f>
        <v>0</v>
      </c>
      <c r="M11" s="971">
        <f>huishoudens!L8</f>
        <v>0</v>
      </c>
      <c r="N11" s="971">
        <f>huishoudens!M8</f>
        <v>0</v>
      </c>
      <c r="O11" s="971">
        <f>huishoudens!N8</f>
        <v>5912.1186409831171</v>
      </c>
      <c r="P11" s="971">
        <f>huishoudens!O8</f>
        <v>315.79333333333335</v>
      </c>
      <c r="Q11" s="972">
        <f>huishoudens!P8</f>
        <v>533.86666666666667</v>
      </c>
      <c r="R11" s="666">
        <f>SUM(C11:Q11)</f>
        <v>81911.727717874106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54440.117045999999</v>
      </c>
      <c r="D13" s="971">
        <f>industrie!C18</f>
        <v>0</v>
      </c>
      <c r="E13" s="971">
        <f>industrie!D18</f>
        <v>33892.725177190005</v>
      </c>
      <c r="F13" s="971">
        <f>industrie!E18</f>
        <v>7620.96391230259</v>
      </c>
      <c r="G13" s="971">
        <f>industrie!F18</f>
        <v>21160.017386045194</v>
      </c>
      <c r="H13" s="971">
        <f>industrie!G18</f>
        <v>0</v>
      </c>
      <c r="I13" s="971">
        <f>industrie!H18</f>
        <v>0</v>
      </c>
      <c r="J13" s="971">
        <f>industrie!I18</f>
        <v>0</v>
      </c>
      <c r="K13" s="971">
        <f>industrie!J18</f>
        <v>1.5678168557666536</v>
      </c>
      <c r="L13" s="971">
        <f>industrie!K18</f>
        <v>0</v>
      </c>
      <c r="M13" s="971">
        <f>industrie!L18</f>
        <v>0</v>
      </c>
      <c r="N13" s="971">
        <f>industrie!M18</f>
        <v>0</v>
      </c>
      <c r="O13" s="971">
        <f>industrie!N18</f>
        <v>5317.3111598851274</v>
      </c>
      <c r="P13" s="971">
        <f>industrie!O18</f>
        <v>0</v>
      </c>
      <c r="Q13" s="972">
        <f>industrie!P18</f>
        <v>0</v>
      </c>
      <c r="R13" s="666">
        <f>SUM(C13:Q13)</f>
        <v>122432.70249827867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90006.31112588293</v>
      </c>
      <c r="D16" s="698">
        <f t="shared" ref="D16:R16" ca="1" si="0">SUM(D9:D15)</f>
        <v>6955.7142857142853</v>
      </c>
      <c r="E16" s="698">
        <f t="shared" ca="1" si="0"/>
        <v>84429.502782911441</v>
      </c>
      <c r="F16" s="698">
        <f t="shared" si="0"/>
        <v>8761.2173664649108</v>
      </c>
      <c r="G16" s="698">
        <f t="shared" ca="1" si="0"/>
        <v>47664.083554628298</v>
      </c>
      <c r="H16" s="698">
        <f t="shared" si="0"/>
        <v>0</v>
      </c>
      <c r="I16" s="698">
        <f t="shared" si="0"/>
        <v>0</v>
      </c>
      <c r="J16" s="698">
        <f t="shared" si="0"/>
        <v>0</v>
      </c>
      <c r="K16" s="698">
        <f t="shared" si="0"/>
        <v>117.69216005838454</v>
      </c>
      <c r="L16" s="698">
        <f t="shared" si="0"/>
        <v>0</v>
      </c>
      <c r="M16" s="698">
        <f t="shared" ca="1" si="0"/>
        <v>0</v>
      </c>
      <c r="N16" s="698">
        <f t="shared" si="0"/>
        <v>0</v>
      </c>
      <c r="O16" s="698">
        <f t="shared" ca="1" si="0"/>
        <v>11229.429800868245</v>
      </c>
      <c r="P16" s="698">
        <f t="shared" si="0"/>
        <v>315.79333333333335</v>
      </c>
      <c r="Q16" s="698">
        <f t="shared" si="0"/>
        <v>648.26666666666665</v>
      </c>
      <c r="R16" s="698">
        <f t="shared" ca="1" si="0"/>
        <v>250128.01107652849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5.3434878296627248</v>
      </c>
      <c r="D19" s="971">
        <f>transport!C54</f>
        <v>0</v>
      </c>
      <c r="E19" s="971">
        <f>transport!D54</f>
        <v>0</v>
      </c>
      <c r="F19" s="971">
        <f>transport!E54</f>
        <v>0</v>
      </c>
      <c r="G19" s="971">
        <f>transport!F54</f>
        <v>0</v>
      </c>
      <c r="H19" s="971">
        <f>transport!G54</f>
        <v>501.96764269147923</v>
      </c>
      <c r="I19" s="971">
        <f>transport!H54</f>
        <v>0</v>
      </c>
      <c r="J19" s="971">
        <f>transport!I54</f>
        <v>0</v>
      </c>
      <c r="K19" s="971">
        <f>transport!J54</f>
        <v>0</v>
      </c>
      <c r="L19" s="971">
        <f>transport!K54</f>
        <v>0</v>
      </c>
      <c r="M19" s="971">
        <f>transport!L54</f>
        <v>0</v>
      </c>
      <c r="N19" s="971">
        <f>transport!M54</f>
        <v>28.906809376710591</v>
      </c>
      <c r="O19" s="971">
        <f>transport!N54</f>
        <v>0</v>
      </c>
      <c r="P19" s="971">
        <f>transport!O54</f>
        <v>0</v>
      </c>
      <c r="Q19" s="972">
        <f>transport!P54</f>
        <v>0</v>
      </c>
      <c r="R19" s="666">
        <f>SUM(C19:Q19)</f>
        <v>536.21793989785249</v>
      </c>
      <c r="S19" s="67"/>
    </row>
    <row r="20" spans="1:19" s="439" customFormat="1">
      <c r="A20" s="775" t="s">
        <v>295</v>
      </c>
      <c r="B20" s="780"/>
      <c r="C20" s="971">
        <f>transport!B14</f>
        <v>31.463469131234913</v>
      </c>
      <c r="D20" s="971">
        <f>transport!C14</f>
        <v>0</v>
      </c>
      <c r="E20" s="971">
        <f>transport!D14</f>
        <v>56.937608839709213</v>
      </c>
      <c r="F20" s="971">
        <f>transport!E14</f>
        <v>98.475601537295404</v>
      </c>
      <c r="G20" s="971">
        <f>transport!F14</f>
        <v>0</v>
      </c>
      <c r="H20" s="971">
        <f>transport!G14</f>
        <v>48895.123016267898</v>
      </c>
      <c r="I20" s="971">
        <f>transport!H14</f>
        <v>9123.4013754667067</v>
      </c>
      <c r="J20" s="971">
        <f>transport!I14</f>
        <v>0</v>
      </c>
      <c r="K20" s="971">
        <f>transport!J14</f>
        <v>0</v>
      </c>
      <c r="L20" s="971">
        <f>transport!K14</f>
        <v>0</v>
      </c>
      <c r="M20" s="971">
        <f>transport!L14</f>
        <v>0</v>
      </c>
      <c r="N20" s="971">
        <f>transport!M14</f>
        <v>3125.3122375822963</v>
      </c>
      <c r="O20" s="971">
        <f>transport!N14</f>
        <v>0</v>
      </c>
      <c r="P20" s="971">
        <f>transport!O14</f>
        <v>0</v>
      </c>
      <c r="Q20" s="972">
        <f>transport!P14</f>
        <v>0</v>
      </c>
      <c r="R20" s="666">
        <f>SUM(C20:Q20)</f>
        <v>61330.713308825136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36.806956960897637</v>
      </c>
      <c r="D22" s="778">
        <f t="shared" ref="D22:R22" si="1">SUM(D18:D21)</f>
        <v>0</v>
      </c>
      <c r="E22" s="778">
        <f t="shared" si="1"/>
        <v>56.937608839709213</v>
      </c>
      <c r="F22" s="778">
        <f t="shared" si="1"/>
        <v>98.475601537295404</v>
      </c>
      <c r="G22" s="778">
        <f t="shared" si="1"/>
        <v>0</v>
      </c>
      <c r="H22" s="778">
        <f t="shared" si="1"/>
        <v>49397.09065895938</v>
      </c>
      <c r="I22" s="778">
        <f t="shared" si="1"/>
        <v>9123.4013754667067</v>
      </c>
      <c r="J22" s="778">
        <f t="shared" si="1"/>
        <v>0</v>
      </c>
      <c r="K22" s="778">
        <f t="shared" si="1"/>
        <v>0</v>
      </c>
      <c r="L22" s="778">
        <f t="shared" si="1"/>
        <v>0</v>
      </c>
      <c r="M22" s="778">
        <f t="shared" si="1"/>
        <v>0</v>
      </c>
      <c r="N22" s="778">
        <f t="shared" si="1"/>
        <v>3154.2190469590068</v>
      </c>
      <c r="O22" s="778">
        <f t="shared" si="1"/>
        <v>0</v>
      </c>
      <c r="P22" s="778">
        <f t="shared" si="1"/>
        <v>0</v>
      </c>
      <c r="Q22" s="778">
        <f t="shared" si="1"/>
        <v>0</v>
      </c>
      <c r="R22" s="778">
        <f t="shared" si="1"/>
        <v>61866.931248722991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5133.0644239999992</v>
      </c>
      <c r="D24" s="971">
        <f>+landbouw!C8</f>
        <v>0</v>
      </c>
      <c r="E24" s="971">
        <f>+landbouw!D8</f>
        <v>3731.1055066120002</v>
      </c>
      <c r="F24" s="971">
        <f>+landbouw!E8</f>
        <v>150.87644160971089</v>
      </c>
      <c r="G24" s="971">
        <f>+landbouw!F8</f>
        <v>21384.069014141358</v>
      </c>
      <c r="H24" s="971">
        <f>+landbouw!G8</f>
        <v>0</v>
      </c>
      <c r="I24" s="971">
        <f>+landbouw!H8</f>
        <v>0</v>
      </c>
      <c r="J24" s="971">
        <f>+landbouw!I8</f>
        <v>0</v>
      </c>
      <c r="K24" s="971">
        <f>+landbouw!J8</f>
        <v>743.67080121726042</v>
      </c>
      <c r="L24" s="971">
        <f>+landbouw!K8</f>
        <v>0</v>
      </c>
      <c r="M24" s="971">
        <f>+landbouw!L8</f>
        <v>0</v>
      </c>
      <c r="N24" s="971">
        <f>+landbouw!M8</f>
        <v>0</v>
      </c>
      <c r="O24" s="971">
        <f>+landbouw!N8</f>
        <v>0</v>
      </c>
      <c r="P24" s="971">
        <f>+landbouw!O8</f>
        <v>0</v>
      </c>
      <c r="Q24" s="972">
        <f>+landbouw!P8</f>
        <v>0</v>
      </c>
      <c r="R24" s="666">
        <f>SUM(C24:Q24)</f>
        <v>31142.786187580328</v>
      </c>
      <c r="S24" s="67"/>
    </row>
    <row r="25" spans="1:19" s="439" customFormat="1" ht="15" thickBot="1">
      <c r="A25" s="797" t="s">
        <v>802</v>
      </c>
      <c r="B25" s="974"/>
      <c r="C25" s="975">
        <f>IF(Onbekend_ele_kWh="---",0,Onbekend_ele_kWh)/1000+IF(REST_rest_ele_kWh="---",0,REST_rest_ele_kWh)/1000</f>
        <v>388.28265799999997</v>
      </c>
      <c r="D25" s="975"/>
      <c r="E25" s="975">
        <f>IF(onbekend_gas_kWh="---",0,onbekend_gas_kWh)/1000+IF(REST_rest_gas_kWh="---",0,REST_rest_gas_kWh)/1000</f>
        <v>604.10669999999993</v>
      </c>
      <c r="F25" s="975"/>
      <c r="G25" s="975"/>
      <c r="H25" s="975"/>
      <c r="I25" s="975"/>
      <c r="J25" s="975"/>
      <c r="K25" s="975"/>
      <c r="L25" s="975"/>
      <c r="M25" s="975"/>
      <c r="N25" s="975"/>
      <c r="O25" s="975"/>
      <c r="P25" s="975"/>
      <c r="Q25" s="976"/>
      <c r="R25" s="666">
        <f>SUM(C25:Q25)</f>
        <v>992.3893579999999</v>
      </c>
      <c r="S25" s="67"/>
    </row>
    <row r="26" spans="1:19" s="439" customFormat="1" ht="15.75" thickBot="1">
      <c r="A26" s="671" t="s">
        <v>803</v>
      </c>
      <c r="B26" s="783"/>
      <c r="C26" s="778">
        <f>SUM(C24:C25)</f>
        <v>5521.3470819999993</v>
      </c>
      <c r="D26" s="778">
        <f t="shared" ref="D26:R26" si="2">SUM(D24:D25)</f>
        <v>0</v>
      </c>
      <c r="E26" s="778">
        <f t="shared" si="2"/>
        <v>4335.212206612</v>
      </c>
      <c r="F26" s="778">
        <f t="shared" si="2"/>
        <v>150.87644160971089</v>
      </c>
      <c r="G26" s="778">
        <f t="shared" si="2"/>
        <v>21384.069014141358</v>
      </c>
      <c r="H26" s="778">
        <f t="shared" si="2"/>
        <v>0</v>
      </c>
      <c r="I26" s="778">
        <f t="shared" si="2"/>
        <v>0</v>
      </c>
      <c r="J26" s="778">
        <f t="shared" si="2"/>
        <v>0</v>
      </c>
      <c r="K26" s="778">
        <f t="shared" si="2"/>
        <v>743.67080121726042</v>
      </c>
      <c r="L26" s="778">
        <f t="shared" si="2"/>
        <v>0</v>
      </c>
      <c r="M26" s="778">
        <f t="shared" si="2"/>
        <v>0</v>
      </c>
      <c r="N26" s="778">
        <f t="shared" si="2"/>
        <v>0</v>
      </c>
      <c r="O26" s="778">
        <f t="shared" si="2"/>
        <v>0</v>
      </c>
      <c r="P26" s="778">
        <f t="shared" si="2"/>
        <v>0</v>
      </c>
      <c r="Q26" s="778">
        <f t="shared" si="2"/>
        <v>0</v>
      </c>
      <c r="R26" s="778">
        <f t="shared" si="2"/>
        <v>32135.175545580329</v>
      </c>
      <c r="S26" s="67"/>
    </row>
    <row r="27" spans="1:19" s="439" customFormat="1" ht="17.25" thickTop="1" thickBot="1">
      <c r="A27" s="672" t="s">
        <v>109</v>
      </c>
      <c r="B27" s="771"/>
      <c r="C27" s="673">
        <f ca="1">C22+C16+C26</f>
        <v>95564.465164843816</v>
      </c>
      <c r="D27" s="673">
        <f t="shared" ref="D27:R27" ca="1" si="3">D22+D16+D26</f>
        <v>6955.7142857142853</v>
      </c>
      <c r="E27" s="673">
        <f t="shared" ca="1" si="3"/>
        <v>88821.652598363158</v>
      </c>
      <c r="F27" s="673">
        <f t="shared" si="3"/>
        <v>9010.5694096119169</v>
      </c>
      <c r="G27" s="673">
        <f t="shared" ca="1" si="3"/>
        <v>69048.152568769656</v>
      </c>
      <c r="H27" s="673">
        <f t="shared" si="3"/>
        <v>49397.09065895938</v>
      </c>
      <c r="I27" s="673">
        <f t="shared" si="3"/>
        <v>9123.4013754667067</v>
      </c>
      <c r="J27" s="673">
        <f t="shared" si="3"/>
        <v>0</v>
      </c>
      <c r="K27" s="673">
        <f t="shared" si="3"/>
        <v>861.36296127564492</v>
      </c>
      <c r="L27" s="673">
        <f t="shared" si="3"/>
        <v>0</v>
      </c>
      <c r="M27" s="673">
        <f t="shared" ca="1" si="3"/>
        <v>0</v>
      </c>
      <c r="N27" s="673">
        <f t="shared" si="3"/>
        <v>3154.2190469590068</v>
      </c>
      <c r="O27" s="673">
        <f t="shared" ca="1" si="3"/>
        <v>11229.429800868245</v>
      </c>
      <c r="P27" s="673">
        <f t="shared" si="3"/>
        <v>315.79333333333335</v>
      </c>
      <c r="Q27" s="673">
        <f t="shared" si="3"/>
        <v>648.26666666666665</v>
      </c>
      <c r="R27" s="673">
        <f t="shared" ca="1" si="3"/>
        <v>344130.1178708318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3565.1688098507552</v>
      </c>
      <c r="D40" s="971">
        <f ca="1">tertiair!C20</f>
        <v>27.499159663865548</v>
      </c>
      <c r="E40" s="971">
        <f ca="1">tertiair!D20</f>
        <v>3530.2321681685289</v>
      </c>
      <c r="F40" s="971">
        <f>tertiair!E20</f>
        <v>42.70986295384796</v>
      </c>
      <c r="G40" s="971">
        <f ca="1">tertiair!F20</f>
        <v>635.99709338183584</v>
      </c>
      <c r="H40" s="971">
        <f>tertiair!G20</f>
        <v>0</v>
      </c>
      <c r="I40" s="971">
        <f>tertiair!H20</f>
        <v>0</v>
      </c>
      <c r="J40" s="971">
        <f>tertiair!I20</f>
        <v>0</v>
      </c>
      <c r="K40" s="971">
        <f>tertiair!J20</f>
        <v>1.8309882561812627E-2</v>
      </c>
      <c r="L40" s="971">
        <f>tertiair!K20</f>
        <v>0</v>
      </c>
      <c r="M40" s="971">
        <f ca="1">tertiair!L20</f>
        <v>0</v>
      </c>
      <c r="N40" s="971">
        <f>tertiair!M20</f>
        <v>0</v>
      </c>
      <c r="O40" s="971">
        <f ca="1">tertiair!N20</f>
        <v>0</v>
      </c>
      <c r="P40" s="971">
        <f>tertiair!O20</f>
        <v>0</v>
      </c>
      <c r="Q40" s="740">
        <f>tertiair!P20</f>
        <v>0</v>
      </c>
      <c r="R40" s="816">
        <f t="shared" ca="1" si="4"/>
        <v>7801.6254039013947</v>
      </c>
    </row>
    <row r="41" spans="1:18">
      <c r="A41" s="788" t="s">
        <v>213</v>
      </c>
      <c r="B41" s="795"/>
      <c r="C41" s="971">
        <f ca="1">huishoudens!B12</f>
        <v>3227.5914463549625</v>
      </c>
      <c r="D41" s="971">
        <f ca="1">huishoudens!C12</f>
        <v>0</v>
      </c>
      <c r="E41" s="971">
        <f>huishoudens!D12</f>
        <v>6678.1969081872012</v>
      </c>
      <c r="F41" s="971">
        <f>huishoudens!E12</f>
        <v>216.12767114099881</v>
      </c>
      <c r="G41" s="971">
        <f>huishoudens!F12</f>
        <v>6440.5885736298533</v>
      </c>
      <c r="H41" s="971">
        <f>huishoudens!G12</f>
        <v>0</v>
      </c>
      <c r="I41" s="971">
        <f>huishoudens!H12</f>
        <v>0</v>
      </c>
      <c r="J41" s="971">
        <f>huishoudens!I12</f>
        <v>0</v>
      </c>
      <c r="K41" s="971">
        <f>huishoudens!J12</f>
        <v>41.089707611164918</v>
      </c>
      <c r="L41" s="971">
        <f>huishoudens!K12</f>
        <v>0</v>
      </c>
      <c r="M41" s="971">
        <f>huishoudens!L12</f>
        <v>0</v>
      </c>
      <c r="N41" s="971">
        <f>huishoudens!M12</f>
        <v>0</v>
      </c>
      <c r="O41" s="971">
        <f>huishoudens!N12</f>
        <v>0</v>
      </c>
      <c r="P41" s="971">
        <f>huishoudens!O12</f>
        <v>0</v>
      </c>
      <c r="Q41" s="740">
        <f>huishoudens!P12</f>
        <v>0</v>
      </c>
      <c r="R41" s="816">
        <f t="shared" ca="1" si="4"/>
        <v>16603.594306924184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10397.476395216067</v>
      </c>
      <c r="D43" s="971">
        <f ca="1">industrie!C22</f>
        <v>0</v>
      </c>
      <c r="E43" s="971">
        <f>industrie!D22</f>
        <v>6846.3304857923813</v>
      </c>
      <c r="F43" s="971">
        <f>industrie!E22</f>
        <v>1729.9588080926881</v>
      </c>
      <c r="G43" s="971">
        <f>industrie!F22</f>
        <v>5649.7246420740676</v>
      </c>
      <c r="H43" s="971">
        <f>industrie!G22</f>
        <v>0</v>
      </c>
      <c r="I43" s="971">
        <f>industrie!H22</f>
        <v>0</v>
      </c>
      <c r="J43" s="971">
        <f>industrie!I22</f>
        <v>0</v>
      </c>
      <c r="K43" s="971">
        <f>industrie!J22</f>
        <v>0.5550071669413954</v>
      </c>
      <c r="L43" s="971">
        <f>industrie!K22</f>
        <v>0</v>
      </c>
      <c r="M43" s="971">
        <f>industrie!L22</f>
        <v>0</v>
      </c>
      <c r="N43" s="971">
        <f>industrie!M22</f>
        <v>0</v>
      </c>
      <c r="O43" s="971">
        <f>industrie!N22</f>
        <v>0</v>
      </c>
      <c r="P43" s="971">
        <f>industrie!O22</f>
        <v>0</v>
      </c>
      <c r="Q43" s="740">
        <f>industrie!P22</f>
        <v>0</v>
      </c>
      <c r="R43" s="815">
        <f t="shared" ca="1" si="4"/>
        <v>24624.045338342145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17190.236651421787</v>
      </c>
      <c r="D46" s="698">
        <f t="shared" ref="D46:Q46" ca="1" si="5">SUM(D39:D45)</f>
        <v>27.499159663865548</v>
      </c>
      <c r="E46" s="698">
        <f t="shared" ca="1" si="5"/>
        <v>17054.759562148109</v>
      </c>
      <c r="F46" s="698">
        <f t="shared" si="5"/>
        <v>1988.7963421875347</v>
      </c>
      <c r="G46" s="698">
        <f t="shared" ca="1" si="5"/>
        <v>12726.310309085757</v>
      </c>
      <c r="H46" s="698">
        <f t="shared" si="5"/>
        <v>0</v>
      </c>
      <c r="I46" s="698">
        <f t="shared" si="5"/>
        <v>0</v>
      </c>
      <c r="J46" s="698">
        <f t="shared" si="5"/>
        <v>0</v>
      </c>
      <c r="K46" s="698">
        <f t="shared" si="5"/>
        <v>41.663024660668128</v>
      </c>
      <c r="L46" s="698">
        <f t="shared" si="5"/>
        <v>0</v>
      </c>
      <c r="M46" s="698">
        <f t="shared" ca="1" si="5"/>
        <v>0</v>
      </c>
      <c r="N46" s="698">
        <f t="shared" si="5"/>
        <v>0</v>
      </c>
      <c r="O46" s="698">
        <f t="shared" ca="1" si="5"/>
        <v>0</v>
      </c>
      <c r="P46" s="698">
        <f t="shared" si="5"/>
        <v>0</v>
      </c>
      <c r="Q46" s="698">
        <f t="shared" si="5"/>
        <v>0</v>
      </c>
      <c r="R46" s="698">
        <f ca="1">SUM(R39:R45)</f>
        <v>49029.26504916772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1.0205486613869195</v>
      </c>
      <c r="D49" s="971">
        <f ca="1">transport!C58</f>
        <v>0</v>
      </c>
      <c r="E49" s="971">
        <f>transport!D58</f>
        <v>0</v>
      </c>
      <c r="F49" s="971">
        <f>transport!E58</f>
        <v>0</v>
      </c>
      <c r="G49" s="971">
        <f>transport!F58</f>
        <v>0</v>
      </c>
      <c r="H49" s="971">
        <f>transport!G58</f>
        <v>134.02536059862496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135.04590926001188</v>
      </c>
    </row>
    <row r="50" spans="1:18">
      <c r="A50" s="791" t="s">
        <v>295</v>
      </c>
      <c r="B50" s="801"/>
      <c r="C50" s="669">
        <f ca="1">transport!B18</f>
        <v>6.0091839502696498</v>
      </c>
      <c r="D50" s="669">
        <f>transport!C18</f>
        <v>0</v>
      </c>
      <c r="E50" s="669">
        <f>transport!D18</f>
        <v>11.501396985621263</v>
      </c>
      <c r="F50" s="669">
        <f>transport!E18</f>
        <v>22.353961548966058</v>
      </c>
      <c r="G50" s="669">
        <f>transport!F18</f>
        <v>0</v>
      </c>
      <c r="H50" s="669">
        <f>transport!G18</f>
        <v>13054.997845343529</v>
      </c>
      <c r="I50" s="669">
        <f>transport!H18</f>
        <v>2271.7269424912101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15366.589330319595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7.029732611656569</v>
      </c>
      <c r="D52" s="698">
        <f t="shared" ref="D52:Q52" ca="1" si="6">SUM(D48:D51)</f>
        <v>0</v>
      </c>
      <c r="E52" s="698">
        <f t="shared" si="6"/>
        <v>11.501396985621263</v>
      </c>
      <c r="F52" s="698">
        <f t="shared" si="6"/>
        <v>22.353961548966058</v>
      </c>
      <c r="G52" s="698">
        <f t="shared" si="6"/>
        <v>0</v>
      </c>
      <c r="H52" s="698">
        <f t="shared" si="6"/>
        <v>13189.023205942154</v>
      </c>
      <c r="I52" s="698">
        <f t="shared" si="6"/>
        <v>2271.7269424912101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15501.635239579608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980.36005577590481</v>
      </c>
      <c r="D54" s="669">
        <f ca="1">+landbouw!C12</f>
        <v>0</v>
      </c>
      <c r="E54" s="669">
        <f>+landbouw!D12</f>
        <v>753.68331233562412</v>
      </c>
      <c r="F54" s="669">
        <f>+landbouw!E12</f>
        <v>34.248952245404375</v>
      </c>
      <c r="G54" s="669">
        <f>+landbouw!F12</f>
        <v>5709.5464267757425</v>
      </c>
      <c r="H54" s="669">
        <f>+landbouw!G12</f>
        <v>0</v>
      </c>
      <c r="I54" s="669">
        <f>+landbouw!H12</f>
        <v>0</v>
      </c>
      <c r="J54" s="669">
        <f>+landbouw!I12</f>
        <v>0</v>
      </c>
      <c r="K54" s="669">
        <f>+landbouw!J12</f>
        <v>263.25946363091015</v>
      </c>
      <c r="L54" s="669">
        <f>+landbouw!K12</f>
        <v>0</v>
      </c>
      <c r="M54" s="669">
        <f>+landbouw!L12</f>
        <v>0</v>
      </c>
      <c r="N54" s="669">
        <f>+landbouw!M12</f>
        <v>0</v>
      </c>
      <c r="O54" s="669">
        <f>+landbouw!N12</f>
        <v>0</v>
      </c>
      <c r="P54" s="669">
        <f>+landbouw!O12</f>
        <v>0</v>
      </c>
      <c r="Q54" s="670">
        <f>+landbouw!P12</f>
        <v>0</v>
      </c>
      <c r="R54" s="697">
        <f ca="1">SUM(C54:Q54)</f>
        <v>7741.0982107635864</v>
      </c>
    </row>
    <row r="55" spans="1:18" ht="15" thickBot="1">
      <c r="A55" s="791" t="s">
        <v>802</v>
      </c>
      <c r="B55" s="801"/>
      <c r="C55" s="669">
        <f ca="1">C25*'EF ele_warmte'!B12</f>
        <v>74.157808437764615</v>
      </c>
      <c r="D55" s="669"/>
      <c r="E55" s="669">
        <f>E25*EF_CO2_aardgas</f>
        <v>122.0295534</v>
      </c>
      <c r="F55" s="669"/>
      <c r="G55" s="669"/>
      <c r="H55" s="669"/>
      <c r="I55" s="669"/>
      <c r="J55" s="669"/>
      <c r="K55" s="669"/>
      <c r="L55" s="669"/>
      <c r="M55" s="669"/>
      <c r="N55" s="669"/>
      <c r="O55" s="669"/>
      <c r="P55" s="669"/>
      <c r="Q55" s="670"/>
      <c r="R55" s="697">
        <f ca="1">SUM(C55:Q55)</f>
        <v>196.18736183776463</v>
      </c>
    </row>
    <row r="56" spans="1:18" ht="15.75" thickBot="1">
      <c r="A56" s="789" t="s">
        <v>803</v>
      </c>
      <c r="B56" s="802"/>
      <c r="C56" s="698">
        <f ca="1">SUM(C54:C55)</f>
        <v>1054.5178642136693</v>
      </c>
      <c r="D56" s="698">
        <f t="shared" ref="D56:Q56" ca="1" si="7">SUM(D54:D55)</f>
        <v>0</v>
      </c>
      <c r="E56" s="698">
        <f t="shared" si="7"/>
        <v>875.71286573562406</v>
      </c>
      <c r="F56" s="698">
        <f t="shared" si="7"/>
        <v>34.248952245404375</v>
      </c>
      <c r="G56" s="698">
        <f t="shared" si="7"/>
        <v>5709.5464267757425</v>
      </c>
      <c r="H56" s="698">
        <f t="shared" si="7"/>
        <v>0</v>
      </c>
      <c r="I56" s="698">
        <f t="shared" si="7"/>
        <v>0</v>
      </c>
      <c r="J56" s="698">
        <f t="shared" si="7"/>
        <v>0</v>
      </c>
      <c r="K56" s="698">
        <f t="shared" si="7"/>
        <v>263.25946363091015</v>
      </c>
      <c r="L56" s="698">
        <f t="shared" si="7"/>
        <v>0</v>
      </c>
      <c r="M56" s="698">
        <f t="shared" si="7"/>
        <v>0</v>
      </c>
      <c r="N56" s="698">
        <f t="shared" si="7"/>
        <v>0</v>
      </c>
      <c r="O56" s="698">
        <f t="shared" si="7"/>
        <v>0</v>
      </c>
      <c r="P56" s="698">
        <f t="shared" si="7"/>
        <v>0</v>
      </c>
      <c r="Q56" s="699">
        <f t="shared" si="7"/>
        <v>0</v>
      </c>
      <c r="R56" s="700">
        <f ca="1">SUM(R54:R55)</f>
        <v>7937.2855726013513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18251.784248247113</v>
      </c>
      <c r="D61" s="706">
        <f t="shared" ref="D61:Q61" ca="1" si="8">D46+D52+D56</f>
        <v>27.499159663865548</v>
      </c>
      <c r="E61" s="706">
        <f t="shared" ca="1" si="8"/>
        <v>17941.973824869354</v>
      </c>
      <c r="F61" s="706">
        <f t="shared" si="8"/>
        <v>2045.3992559819051</v>
      </c>
      <c r="G61" s="706">
        <f t="shared" ca="1" si="8"/>
        <v>18435.8567358615</v>
      </c>
      <c r="H61" s="706">
        <f t="shared" si="8"/>
        <v>13189.023205942154</v>
      </c>
      <c r="I61" s="706">
        <f t="shared" si="8"/>
        <v>2271.7269424912101</v>
      </c>
      <c r="J61" s="706">
        <f t="shared" si="8"/>
        <v>0</v>
      </c>
      <c r="K61" s="706">
        <f t="shared" si="8"/>
        <v>304.92248829157825</v>
      </c>
      <c r="L61" s="706">
        <f t="shared" si="8"/>
        <v>0</v>
      </c>
      <c r="M61" s="706">
        <f t="shared" ca="1" si="8"/>
        <v>0</v>
      </c>
      <c r="N61" s="706">
        <f t="shared" si="8"/>
        <v>0</v>
      </c>
      <c r="O61" s="706">
        <f t="shared" ca="1" si="8"/>
        <v>0</v>
      </c>
      <c r="P61" s="706">
        <f t="shared" si="8"/>
        <v>0</v>
      </c>
      <c r="Q61" s="706">
        <f t="shared" si="8"/>
        <v>0</v>
      </c>
      <c r="R61" s="706">
        <f ca="1">R46+R52+R56</f>
        <v>72468.185861348669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0.19098923660341444</v>
      </c>
      <c r="D63" s="747">
        <f t="shared" ca="1" si="9"/>
        <v>3.9534630857888447E-3</v>
      </c>
      <c r="E63" s="982">
        <f t="shared" ca="1" si="9"/>
        <v>0.20199999999999996</v>
      </c>
      <c r="F63" s="747">
        <f t="shared" si="9"/>
        <v>0.22700000000000001</v>
      </c>
      <c r="G63" s="747">
        <f t="shared" ca="1" si="9"/>
        <v>0.26700000000000002</v>
      </c>
      <c r="H63" s="747">
        <f t="shared" si="9"/>
        <v>0.26700000000000002</v>
      </c>
      <c r="I63" s="747">
        <f t="shared" si="9"/>
        <v>0.24900000000000003</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8195.3075337017399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4788</v>
      </c>
      <c r="C76" s="716">
        <f>'lokale energieproductie'!B8*IFERROR(SUM(D76:H76)/SUM(D76:O76),0)</f>
        <v>81.000000000000014</v>
      </c>
      <c r="D76" s="992">
        <f>'lokale energieproductie'!C8</f>
        <v>95.294117647058826</v>
      </c>
      <c r="E76" s="993">
        <f>'lokale energieproductie'!D8</f>
        <v>0</v>
      </c>
      <c r="F76" s="993">
        <f>'lokale energieproductie'!E8</f>
        <v>0</v>
      </c>
      <c r="G76" s="993">
        <f>'lokale energieproductie'!F8</f>
        <v>0</v>
      </c>
      <c r="H76" s="993">
        <f>'lokale energieproductie'!G8</f>
        <v>0</v>
      </c>
      <c r="I76" s="993">
        <f>'lokale energieproductie'!I8</f>
        <v>0</v>
      </c>
      <c r="J76" s="993">
        <f>'lokale energieproductie'!J8</f>
        <v>5632.9411764705883</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19.249411764705883</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12983.30753370174</v>
      </c>
      <c r="C78" s="721">
        <f>SUM(C72:C77)</f>
        <v>81.000000000000014</v>
      </c>
      <c r="D78" s="722">
        <f t="shared" ref="D78:H78" si="10">SUM(D76:D77)</f>
        <v>95.294117647058826</v>
      </c>
      <c r="E78" s="722">
        <f t="shared" si="10"/>
        <v>0</v>
      </c>
      <c r="F78" s="722">
        <f t="shared" si="10"/>
        <v>0</v>
      </c>
      <c r="G78" s="722">
        <f t="shared" si="10"/>
        <v>0</v>
      </c>
      <c r="H78" s="722">
        <f t="shared" si="10"/>
        <v>0</v>
      </c>
      <c r="I78" s="722">
        <f>SUM(I76:I77)</f>
        <v>0</v>
      </c>
      <c r="J78" s="722">
        <f>SUM(J76:J77)</f>
        <v>5632.9411764705883</v>
      </c>
      <c r="K78" s="722">
        <f t="shared" ref="K78:L78" si="11">SUM(K76:K77)</f>
        <v>0</v>
      </c>
      <c r="L78" s="722">
        <f t="shared" si="11"/>
        <v>0</v>
      </c>
      <c r="M78" s="722">
        <f>SUM(M76:M77)</f>
        <v>0</v>
      </c>
      <c r="N78" s="722">
        <f>SUM(N76:N77)</f>
        <v>0</v>
      </c>
      <c r="O78" s="826">
        <f>SUM(O76:O77)</f>
        <v>0</v>
      </c>
      <c r="P78" s="723">
        <v>0</v>
      </c>
      <c r="Q78" s="723">
        <f>SUM(Q76:Q77)</f>
        <v>19.249411764705883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6839.9999999999991</v>
      </c>
      <c r="C87" s="732">
        <f>'lokale energieproductie'!B17*IFERROR(SUM(D87:H87)/SUM(D87:O87),0)</f>
        <v>115.71428571428572</v>
      </c>
      <c r="D87" s="743">
        <f>'lokale energieproductie'!C17</f>
        <v>136.1344537815126</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8047.0588235294108</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27.499159663865548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6839.9999999999991</v>
      </c>
      <c r="C90" s="721">
        <f>SUM(C87:C89)</f>
        <v>115.71428571428572</v>
      </c>
      <c r="D90" s="721">
        <f t="shared" ref="D90:H90" si="12">SUM(D87:D89)</f>
        <v>136.1344537815126</v>
      </c>
      <c r="E90" s="721">
        <f t="shared" si="12"/>
        <v>0</v>
      </c>
      <c r="F90" s="721">
        <f t="shared" si="12"/>
        <v>0</v>
      </c>
      <c r="G90" s="721">
        <f t="shared" si="12"/>
        <v>0</v>
      </c>
      <c r="H90" s="721">
        <f t="shared" si="12"/>
        <v>0</v>
      </c>
      <c r="I90" s="721">
        <f>SUM(I87:I89)</f>
        <v>0</v>
      </c>
      <c r="J90" s="721">
        <f>SUM(J87:J89)</f>
        <v>8047.0588235294108</v>
      </c>
      <c r="K90" s="721">
        <f t="shared" ref="K90:L90" si="13">SUM(K87:K89)</f>
        <v>0</v>
      </c>
      <c r="L90" s="721">
        <f t="shared" si="13"/>
        <v>0</v>
      </c>
      <c r="M90" s="721">
        <f>SUM(M87:M89)</f>
        <v>0</v>
      </c>
      <c r="N90" s="721">
        <f>SUM(N87:N89)</f>
        <v>0</v>
      </c>
      <c r="O90" s="721">
        <f>SUM(O87:O89)</f>
        <v>0</v>
      </c>
      <c r="P90" s="721">
        <v>0</v>
      </c>
      <c r="Q90" s="721">
        <f>SUM(Q87:Q89)</f>
        <v>27.499159663865548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16899.336861882937</v>
      </c>
      <c r="C4" s="443">
        <f>huishoudens!C8</f>
        <v>0</v>
      </c>
      <c r="D4" s="443">
        <f>huishoudens!D8</f>
        <v>33060.380733600003</v>
      </c>
      <c r="E4" s="443">
        <f>huishoudens!E8</f>
        <v>952.10427815417972</v>
      </c>
      <c r="F4" s="443">
        <f>huishoudens!F8</f>
        <v>24122.054582883346</v>
      </c>
      <c r="G4" s="443">
        <f>huishoudens!G8</f>
        <v>0</v>
      </c>
      <c r="H4" s="443">
        <f>huishoudens!H8</f>
        <v>0</v>
      </c>
      <c r="I4" s="443">
        <f>huishoudens!I8</f>
        <v>0</v>
      </c>
      <c r="J4" s="443">
        <f>huishoudens!J8</f>
        <v>116.07262037052237</v>
      </c>
      <c r="K4" s="443">
        <f>huishoudens!K8</f>
        <v>0</v>
      </c>
      <c r="L4" s="443">
        <f>huishoudens!L8</f>
        <v>0</v>
      </c>
      <c r="M4" s="443">
        <f>huishoudens!M8</f>
        <v>0</v>
      </c>
      <c r="N4" s="443">
        <f>huishoudens!N8</f>
        <v>5912.1186409831171</v>
      </c>
      <c r="O4" s="443">
        <f>huishoudens!O8</f>
        <v>315.79333333333335</v>
      </c>
      <c r="P4" s="444">
        <f>huishoudens!P8</f>
        <v>533.86666666666667</v>
      </c>
      <c r="Q4" s="445">
        <f>SUM(B4:P4)</f>
        <v>81911.727717874106</v>
      </c>
    </row>
    <row r="5" spans="1:17">
      <c r="A5" s="442" t="s">
        <v>149</v>
      </c>
      <c r="B5" s="443">
        <f ca="1">tertiair!B16</f>
        <v>17844.776217999999</v>
      </c>
      <c r="C5" s="443">
        <f ca="1">tertiair!C16</f>
        <v>6955.7142857142853</v>
      </c>
      <c r="D5" s="443">
        <f ca="1">tertiair!D16</f>
        <v>17476.39687212143</v>
      </c>
      <c r="E5" s="443">
        <f>tertiair!E16</f>
        <v>188.14917600814078</v>
      </c>
      <c r="F5" s="443">
        <f ca="1">tertiair!F16</f>
        <v>2382.0115856997595</v>
      </c>
      <c r="G5" s="443">
        <f>tertiair!G16</f>
        <v>0</v>
      </c>
      <c r="H5" s="443">
        <f>tertiair!H16</f>
        <v>0</v>
      </c>
      <c r="I5" s="443">
        <f>tertiair!I16</f>
        <v>0</v>
      </c>
      <c r="J5" s="443">
        <f>tertiair!J16</f>
        <v>5.1722832095515897E-2</v>
      </c>
      <c r="K5" s="443">
        <f>tertiair!K16</f>
        <v>0</v>
      </c>
      <c r="L5" s="443">
        <f ca="1">tertiair!L16</f>
        <v>0</v>
      </c>
      <c r="M5" s="443">
        <f>tertiair!M16</f>
        <v>0</v>
      </c>
      <c r="N5" s="443">
        <f ca="1">tertiair!N16</f>
        <v>0</v>
      </c>
      <c r="O5" s="443">
        <f>tertiair!O16</f>
        <v>0</v>
      </c>
      <c r="P5" s="444">
        <f>tertiair!P16</f>
        <v>114.4</v>
      </c>
      <c r="Q5" s="442">
        <f t="shared" ref="Q5:Q14" ca="1" si="0">SUM(B5:P5)</f>
        <v>44961.499860375712</v>
      </c>
    </row>
    <row r="6" spans="1:17">
      <c r="A6" s="442" t="s">
        <v>187</v>
      </c>
      <c r="B6" s="443">
        <f>'openbare verlichting'!B8</f>
        <v>822.08100000000002</v>
      </c>
      <c r="C6" s="443"/>
      <c r="D6" s="443"/>
      <c r="E6" s="443"/>
      <c r="F6" s="443"/>
      <c r="G6" s="443"/>
      <c r="H6" s="443"/>
      <c r="I6" s="443"/>
      <c r="J6" s="443"/>
      <c r="K6" s="443"/>
      <c r="L6" s="443"/>
      <c r="M6" s="443"/>
      <c r="N6" s="443"/>
      <c r="O6" s="443"/>
      <c r="P6" s="444"/>
      <c r="Q6" s="442">
        <f t="shared" si="0"/>
        <v>822.08100000000002</v>
      </c>
    </row>
    <row r="7" spans="1:17">
      <c r="A7" s="442" t="s">
        <v>105</v>
      </c>
      <c r="B7" s="443">
        <f>landbouw!B8</f>
        <v>5133.0644239999992</v>
      </c>
      <c r="C7" s="443">
        <f>landbouw!C8</f>
        <v>0</v>
      </c>
      <c r="D7" s="443">
        <f>landbouw!D8</f>
        <v>3731.1055066120002</v>
      </c>
      <c r="E7" s="443">
        <f>landbouw!E8</f>
        <v>150.87644160971089</v>
      </c>
      <c r="F7" s="443">
        <f>landbouw!F8</f>
        <v>21384.069014141358</v>
      </c>
      <c r="G7" s="443">
        <f>landbouw!G8</f>
        <v>0</v>
      </c>
      <c r="H7" s="443">
        <f>landbouw!H8</f>
        <v>0</v>
      </c>
      <c r="I7" s="443">
        <f>landbouw!I8</f>
        <v>0</v>
      </c>
      <c r="J7" s="443">
        <f>landbouw!J8</f>
        <v>743.67080121726042</v>
      </c>
      <c r="K7" s="443">
        <f>landbouw!K8</f>
        <v>0</v>
      </c>
      <c r="L7" s="443">
        <f>landbouw!L8</f>
        <v>0</v>
      </c>
      <c r="M7" s="443">
        <f>landbouw!M8</f>
        <v>0</v>
      </c>
      <c r="N7" s="443">
        <f>landbouw!N8</f>
        <v>0</v>
      </c>
      <c r="O7" s="443">
        <f>landbouw!O8</f>
        <v>0</v>
      </c>
      <c r="P7" s="444">
        <f>landbouw!P8</f>
        <v>0</v>
      </c>
      <c r="Q7" s="442">
        <f t="shared" si="0"/>
        <v>31142.786187580328</v>
      </c>
    </row>
    <row r="8" spans="1:17">
      <c r="A8" s="442" t="s">
        <v>621</v>
      </c>
      <c r="B8" s="443">
        <f>industrie!B18</f>
        <v>54440.117045999999</v>
      </c>
      <c r="C8" s="443">
        <f>industrie!C18</f>
        <v>0</v>
      </c>
      <c r="D8" s="443">
        <f>industrie!D18</f>
        <v>33892.725177190005</v>
      </c>
      <c r="E8" s="443">
        <f>industrie!E18</f>
        <v>7620.96391230259</v>
      </c>
      <c r="F8" s="443">
        <f>industrie!F18</f>
        <v>21160.017386045194</v>
      </c>
      <c r="G8" s="443">
        <f>industrie!G18</f>
        <v>0</v>
      </c>
      <c r="H8" s="443">
        <f>industrie!H18</f>
        <v>0</v>
      </c>
      <c r="I8" s="443">
        <f>industrie!I18</f>
        <v>0</v>
      </c>
      <c r="J8" s="443">
        <f>industrie!J18</f>
        <v>1.5678168557666536</v>
      </c>
      <c r="K8" s="443">
        <f>industrie!K18</f>
        <v>0</v>
      </c>
      <c r="L8" s="443">
        <f>industrie!L18</f>
        <v>0</v>
      </c>
      <c r="M8" s="443">
        <f>industrie!M18</f>
        <v>0</v>
      </c>
      <c r="N8" s="443">
        <f>industrie!N18</f>
        <v>5317.3111598851274</v>
      </c>
      <c r="O8" s="443">
        <f>industrie!O18</f>
        <v>0</v>
      </c>
      <c r="P8" s="444">
        <f>industrie!P18</f>
        <v>0</v>
      </c>
      <c r="Q8" s="442">
        <f t="shared" si="0"/>
        <v>122432.70249827867</v>
      </c>
    </row>
    <row r="9" spans="1:17" s="448" customFormat="1">
      <c r="A9" s="446" t="s">
        <v>547</v>
      </c>
      <c r="B9" s="447">
        <f>transport!B14</f>
        <v>31.463469131234913</v>
      </c>
      <c r="C9" s="447">
        <f>transport!C14</f>
        <v>0</v>
      </c>
      <c r="D9" s="447">
        <f>transport!D14</f>
        <v>56.937608839709213</v>
      </c>
      <c r="E9" s="447">
        <f>transport!E14</f>
        <v>98.475601537295404</v>
      </c>
      <c r="F9" s="447">
        <f>transport!F14</f>
        <v>0</v>
      </c>
      <c r="G9" s="447">
        <f>transport!G14</f>
        <v>48895.123016267898</v>
      </c>
      <c r="H9" s="447">
        <f>transport!H14</f>
        <v>9123.4013754667067</v>
      </c>
      <c r="I9" s="447">
        <f>transport!I14</f>
        <v>0</v>
      </c>
      <c r="J9" s="447">
        <f>transport!J14</f>
        <v>0</v>
      </c>
      <c r="K9" s="447">
        <f>transport!K14</f>
        <v>0</v>
      </c>
      <c r="L9" s="447">
        <f>transport!L14</f>
        <v>0</v>
      </c>
      <c r="M9" s="447">
        <f>transport!M14</f>
        <v>3125.3122375822963</v>
      </c>
      <c r="N9" s="447">
        <f>transport!N14</f>
        <v>0</v>
      </c>
      <c r="O9" s="447">
        <f>transport!O14</f>
        <v>0</v>
      </c>
      <c r="P9" s="447">
        <f>transport!P14</f>
        <v>0</v>
      </c>
      <c r="Q9" s="446">
        <f>SUM(B9:P9)</f>
        <v>61330.713308825136</v>
      </c>
    </row>
    <row r="10" spans="1:17">
      <c r="A10" s="442" t="s">
        <v>537</v>
      </c>
      <c r="B10" s="443">
        <f>transport!B54</f>
        <v>5.3434878296627248</v>
      </c>
      <c r="C10" s="443">
        <f>transport!C54</f>
        <v>0</v>
      </c>
      <c r="D10" s="443">
        <f>transport!D54</f>
        <v>0</v>
      </c>
      <c r="E10" s="443">
        <f>transport!E54</f>
        <v>0</v>
      </c>
      <c r="F10" s="443">
        <f>transport!F54</f>
        <v>0</v>
      </c>
      <c r="G10" s="443">
        <f>transport!G54</f>
        <v>501.96764269147923</v>
      </c>
      <c r="H10" s="443">
        <f>transport!H54</f>
        <v>0</v>
      </c>
      <c r="I10" s="443">
        <f>transport!I54</f>
        <v>0</v>
      </c>
      <c r="J10" s="443">
        <f>transport!J54</f>
        <v>0</v>
      </c>
      <c r="K10" s="443">
        <f>transport!K54</f>
        <v>0</v>
      </c>
      <c r="L10" s="443">
        <f>transport!L54</f>
        <v>0</v>
      </c>
      <c r="M10" s="443">
        <f>transport!M54</f>
        <v>28.906809376710591</v>
      </c>
      <c r="N10" s="443">
        <f>transport!N54</f>
        <v>0</v>
      </c>
      <c r="O10" s="443">
        <f>transport!O54</f>
        <v>0</v>
      </c>
      <c r="P10" s="444">
        <f>transport!P54</f>
        <v>0</v>
      </c>
      <c r="Q10" s="442">
        <f t="shared" si="0"/>
        <v>536.21793989785249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388.28265799999997</v>
      </c>
      <c r="C14" s="450"/>
      <c r="D14" s="450">
        <f>'SEAP template'!E25</f>
        <v>604.10669999999993</v>
      </c>
      <c r="E14" s="450"/>
      <c r="F14" s="450"/>
      <c r="G14" s="450"/>
      <c r="H14" s="450"/>
      <c r="I14" s="450"/>
      <c r="J14" s="450"/>
      <c r="K14" s="450"/>
      <c r="L14" s="450"/>
      <c r="M14" s="450"/>
      <c r="N14" s="450"/>
      <c r="O14" s="450"/>
      <c r="P14" s="451"/>
      <c r="Q14" s="442">
        <f t="shared" si="0"/>
        <v>992.3893579999999</v>
      </c>
    </row>
    <row r="15" spans="1:17" s="452" customFormat="1">
      <c r="A15" s="997" t="s">
        <v>541</v>
      </c>
      <c r="B15" s="945">
        <f ca="1">SUM(B4:B14)</f>
        <v>95564.465164843845</v>
      </c>
      <c r="C15" s="945">
        <f t="shared" ref="C15:Q15" ca="1" si="1">SUM(C4:C14)</f>
        <v>6955.7142857142853</v>
      </c>
      <c r="D15" s="945">
        <f t="shared" ca="1" si="1"/>
        <v>88821.652598363158</v>
      </c>
      <c r="E15" s="945">
        <f t="shared" si="1"/>
        <v>9010.5694096119169</v>
      </c>
      <c r="F15" s="945">
        <f t="shared" ca="1" si="1"/>
        <v>69048.152568769656</v>
      </c>
      <c r="G15" s="945">
        <f t="shared" si="1"/>
        <v>49397.09065895938</v>
      </c>
      <c r="H15" s="945">
        <f t="shared" si="1"/>
        <v>9123.4013754667067</v>
      </c>
      <c r="I15" s="945">
        <f t="shared" si="1"/>
        <v>0</v>
      </c>
      <c r="J15" s="945">
        <f t="shared" si="1"/>
        <v>861.36296127564492</v>
      </c>
      <c r="K15" s="945">
        <f t="shared" si="1"/>
        <v>0</v>
      </c>
      <c r="L15" s="945">
        <f t="shared" ca="1" si="1"/>
        <v>0</v>
      </c>
      <c r="M15" s="945">
        <f t="shared" si="1"/>
        <v>3154.2190469590068</v>
      </c>
      <c r="N15" s="945">
        <f t="shared" ca="1" si="1"/>
        <v>11229.429800868245</v>
      </c>
      <c r="O15" s="945">
        <f t="shared" si="1"/>
        <v>315.79333333333335</v>
      </c>
      <c r="P15" s="945">
        <f t="shared" si="1"/>
        <v>648.26666666666665</v>
      </c>
      <c r="Q15" s="945">
        <f t="shared" ca="1" si="1"/>
        <v>344130.1178708318</v>
      </c>
    </row>
    <row r="17" spans="1:17">
      <c r="A17" s="453" t="s">
        <v>542</v>
      </c>
      <c r="B17" s="752">
        <f ca="1">huishoudens!B10</f>
        <v>0.19098923660341438</v>
      </c>
      <c r="C17" s="752">
        <f ca="1">huishoudens!C10</f>
        <v>3.9534630857888447E-3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3227.5914463549625</v>
      </c>
      <c r="C22" s="443">
        <f t="shared" ref="C22:C32" ca="1" si="3">C4*$C$17</f>
        <v>0</v>
      </c>
      <c r="D22" s="443">
        <f t="shared" ref="D22:D32" si="4">D4*$D$17</f>
        <v>6678.1969081872012</v>
      </c>
      <c r="E22" s="443">
        <f t="shared" ref="E22:E32" si="5">E4*$E$17</f>
        <v>216.12767114099881</v>
      </c>
      <c r="F22" s="443">
        <f t="shared" ref="F22:F32" si="6">F4*$F$17</f>
        <v>6440.5885736298533</v>
      </c>
      <c r="G22" s="443">
        <f t="shared" ref="G22:G32" si="7">G4*$G$17</f>
        <v>0</v>
      </c>
      <c r="H22" s="443">
        <f t="shared" ref="H22:H32" si="8">H4*$H$17</f>
        <v>0</v>
      </c>
      <c r="I22" s="443">
        <f t="shared" ref="I22:I32" si="9">I4*$I$17</f>
        <v>0</v>
      </c>
      <c r="J22" s="443">
        <f t="shared" ref="J22:J32" si="10">J4*$J$17</f>
        <v>41.089707611164918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16603.594306924184</v>
      </c>
    </row>
    <row r="23" spans="1:17">
      <c r="A23" s="442" t="s">
        <v>149</v>
      </c>
      <c r="B23" s="443">
        <f t="shared" ca="1" si="2"/>
        <v>3408.1601872345836</v>
      </c>
      <c r="C23" s="443">
        <f t="shared" ca="1" si="3"/>
        <v>27.499159663865548</v>
      </c>
      <c r="D23" s="443">
        <f t="shared" ca="1" si="4"/>
        <v>3530.2321681685289</v>
      </c>
      <c r="E23" s="443">
        <f t="shared" si="5"/>
        <v>42.70986295384796</v>
      </c>
      <c r="F23" s="443">
        <f t="shared" ca="1" si="6"/>
        <v>635.99709338183584</v>
      </c>
      <c r="G23" s="443">
        <f t="shared" si="7"/>
        <v>0</v>
      </c>
      <c r="H23" s="443">
        <f t="shared" si="8"/>
        <v>0</v>
      </c>
      <c r="I23" s="443">
        <f t="shared" si="9"/>
        <v>0</v>
      </c>
      <c r="J23" s="443">
        <f t="shared" si="10"/>
        <v>1.8309882561812627E-2</v>
      </c>
      <c r="K23" s="443">
        <f t="shared" si="11"/>
        <v>0</v>
      </c>
      <c r="L23" s="443">
        <f t="shared" ca="1" si="12"/>
        <v>0</v>
      </c>
      <c r="M23" s="443">
        <f t="shared" si="13"/>
        <v>0</v>
      </c>
      <c r="N23" s="443">
        <f t="shared" ca="1" si="14"/>
        <v>0</v>
      </c>
      <c r="O23" s="443">
        <f t="shared" si="15"/>
        <v>0</v>
      </c>
      <c r="P23" s="444">
        <f t="shared" si="16"/>
        <v>0</v>
      </c>
      <c r="Q23" s="442">
        <f t="shared" ref="Q23:Q32" ca="1" si="17">SUM(B23:P23)</f>
        <v>7644.6167812852236</v>
      </c>
    </row>
    <row r="24" spans="1:17">
      <c r="A24" s="442" t="s">
        <v>187</v>
      </c>
      <c r="B24" s="443">
        <f t="shared" ca="1" si="2"/>
        <v>157.00862261617149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157.00862261617149</v>
      </c>
    </row>
    <row r="25" spans="1:17">
      <c r="A25" s="442" t="s">
        <v>105</v>
      </c>
      <c r="B25" s="443">
        <f t="shared" ca="1" si="2"/>
        <v>980.36005577590481</v>
      </c>
      <c r="C25" s="443">
        <f t="shared" ca="1" si="3"/>
        <v>0</v>
      </c>
      <c r="D25" s="443">
        <f t="shared" si="4"/>
        <v>753.68331233562412</v>
      </c>
      <c r="E25" s="443">
        <f t="shared" si="5"/>
        <v>34.248952245404375</v>
      </c>
      <c r="F25" s="443">
        <f t="shared" si="6"/>
        <v>5709.5464267757425</v>
      </c>
      <c r="G25" s="443">
        <f t="shared" si="7"/>
        <v>0</v>
      </c>
      <c r="H25" s="443">
        <f t="shared" si="8"/>
        <v>0</v>
      </c>
      <c r="I25" s="443">
        <f t="shared" si="9"/>
        <v>0</v>
      </c>
      <c r="J25" s="443">
        <f t="shared" si="10"/>
        <v>263.25946363091015</v>
      </c>
      <c r="K25" s="443">
        <f t="shared" si="11"/>
        <v>0</v>
      </c>
      <c r="L25" s="443">
        <f t="shared" si="12"/>
        <v>0</v>
      </c>
      <c r="M25" s="443">
        <f t="shared" si="13"/>
        <v>0</v>
      </c>
      <c r="N25" s="443">
        <f t="shared" si="14"/>
        <v>0</v>
      </c>
      <c r="O25" s="443">
        <f t="shared" si="15"/>
        <v>0</v>
      </c>
      <c r="P25" s="444">
        <f t="shared" si="16"/>
        <v>0</v>
      </c>
      <c r="Q25" s="442">
        <f t="shared" ca="1" si="17"/>
        <v>7741.0982107635864</v>
      </c>
    </row>
    <row r="26" spans="1:17">
      <c r="A26" s="442" t="s">
        <v>621</v>
      </c>
      <c r="B26" s="443">
        <f t="shared" ca="1" si="2"/>
        <v>10397.476395216067</v>
      </c>
      <c r="C26" s="443">
        <f t="shared" ca="1" si="3"/>
        <v>0</v>
      </c>
      <c r="D26" s="443">
        <f t="shared" si="4"/>
        <v>6846.3304857923813</v>
      </c>
      <c r="E26" s="443">
        <f t="shared" si="5"/>
        <v>1729.9588080926881</v>
      </c>
      <c r="F26" s="443">
        <f t="shared" si="6"/>
        <v>5649.7246420740676</v>
      </c>
      <c r="G26" s="443">
        <f t="shared" si="7"/>
        <v>0</v>
      </c>
      <c r="H26" s="443">
        <f t="shared" si="8"/>
        <v>0</v>
      </c>
      <c r="I26" s="443">
        <f t="shared" si="9"/>
        <v>0</v>
      </c>
      <c r="J26" s="443">
        <f t="shared" si="10"/>
        <v>0.5550071669413954</v>
      </c>
      <c r="K26" s="443">
        <f t="shared" si="11"/>
        <v>0</v>
      </c>
      <c r="L26" s="443">
        <f t="shared" si="12"/>
        <v>0</v>
      </c>
      <c r="M26" s="443">
        <f t="shared" si="13"/>
        <v>0</v>
      </c>
      <c r="N26" s="443">
        <f t="shared" si="14"/>
        <v>0</v>
      </c>
      <c r="O26" s="443">
        <f t="shared" si="15"/>
        <v>0</v>
      </c>
      <c r="P26" s="444">
        <f t="shared" si="16"/>
        <v>0</v>
      </c>
      <c r="Q26" s="442">
        <f t="shared" ca="1" si="17"/>
        <v>24624.045338342145</v>
      </c>
    </row>
    <row r="27" spans="1:17" s="448" customFormat="1">
      <c r="A27" s="446" t="s">
        <v>547</v>
      </c>
      <c r="B27" s="746">
        <f t="shared" ca="1" si="2"/>
        <v>6.0091839502696498</v>
      </c>
      <c r="C27" s="447">
        <f t="shared" ca="1" si="3"/>
        <v>0</v>
      </c>
      <c r="D27" s="447">
        <f t="shared" si="4"/>
        <v>11.501396985621263</v>
      </c>
      <c r="E27" s="447">
        <f t="shared" si="5"/>
        <v>22.353961548966058</v>
      </c>
      <c r="F27" s="447">
        <f t="shared" si="6"/>
        <v>0</v>
      </c>
      <c r="G27" s="447">
        <f t="shared" si="7"/>
        <v>13054.997845343529</v>
      </c>
      <c r="H27" s="447">
        <f t="shared" si="8"/>
        <v>2271.7269424912101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15366.589330319595</v>
      </c>
    </row>
    <row r="28" spans="1:17">
      <c r="A28" s="442" t="s">
        <v>537</v>
      </c>
      <c r="B28" s="443">
        <f t="shared" ca="1" si="2"/>
        <v>1.0205486613869195</v>
      </c>
      <c r="C28" s="443">
        <f t="shared" ca="1" si="3"/>
        <v>0</v>
      </c>
      <c r="D28" s="443">
        <f t="shared" si="4"/>
        <v>0</v>
      </c>
      <c r="E28" s="443">
        <f t="shared" si="5"/>
        <v>0</v>
      </c>
      <c r="F28" s="443">
        <f t="shared" si="6"/>
        <v>0</v>
      </c>
      <c r="G28" s="443">
        <f t="shared" si="7"/>
        <v>134.02536059862496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135.04590926001188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74.157808437764615</v>
      </c>
      <c r="C32" s="443">
        <f t="shared" ca="1" si="3"/>
        <v>0</v>
      </c>
      <c r="D32" s="443">
        <f t="shared" si="4"/>
        <v>122.0295534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196.18736183776463</v>
      </c>
    </row>
    <row r="33" spans="1:17" s="452" customFormat="1">
      <c r="A33" s="997" t="s">
        <v>541</v>
      </c>
      <c r="B33" s="945">
        <f ca="1">SUM(B22:B32)</f>
        <v>18251.784248247113</v>
      </c>
      <c r="C33" s="945">
        <f t="shared" ref="C33:Q33" ca="1" si="18">SUM(C22:C32)</f>
        <v>27.499159663865548</v>
      </c>
      <c r="D33" s="945">
        <f t="shared" ca="1" si="18"/>
        <v>17941.973824869357</v>
      </c>
      <c r="E33" s="945">
        <f t="shared" si="18"/>
        <v>2045.3992559819053</v>
      </c>
      <c r="F33" s="945">
        <f t="shared" ca="1" si="18"/>
        <v>18435.8567358615</v>
      </c>
      <c r="G33" s="945">
        <f t="shared" si="18"/>
        <v>13189.023205942154</v>
      </c>
      <c r="H33" s="945">
        <f t="shared" si="18"/>
        <v>2271.7269424912101</v>
      </c>
      <c r="I33" s="945">
        <f t="shared" si="18"/>
        <v>0</v>
      </c>
      <c r="J33" s="945">
        <f t="shared" si="18"/>
        <v>304.92248829157825</v>
      </c>
      <c r="K33" s="945">
        <f t="shared" si="18"/>
        <v>0</v>
      </c>
      <c r="L33" s="945">
        <f t="shared" ca="1" si="18"/>
        <v>0</v>
      </c>
      <c r="M33" s="945">
        <f t="shared" si="18"/>
        <v>0</v>
      </c>
      <c r="N33" s="945">
        <f t="shared" ca="1" si="18"/>
        <v>0</v>
      </c>
      <c r="O33" s="945">
        <f t="shared" si="18"/>
        <v>0</v>
      </c>
      <c r="P33" s="945">
        <f t="shared" si="18"/>
        <v>0</v>
      </c>
      <c r="Q33" s="945">
        <f t="shared" ca="1" si="18"/>
        <v>72468.185861348669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8195.3075337017399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4788</v>
      </c>
      <c r="C8" s="1014">
        <f>'SEAP template'!C76</f>
        <v>81.000000000000014</v>
      </c>
      <c r="D8" s="1014">
        <f>'SEAP template'!D76</f>
        <v>95.294117647058826</v>
      </c>
      <c r="E8" s="1014">
        <f>'SEAP template'!E76</f>
        <v>0</v>
      </c>
      <c r="F8" s="1014">
        <f>'SEAP template'!F76</f>
        <v>0</v>
      </c>
      <c r="G8" s="1014">
        <f>'SEAP template'!G76</f>
        <v>0</v>
      </c>
      <c r="H8" s="1014">
        <f>'SEAP template'!H76</f>
        <v>0</v>
      </c>
      <c r="I8" s="1014">
        <f>'SEAP template'!I76</f>
        <v>0</v>
      </c>
      <c r="J8" s="1014">
        <f>'SEAP template'!J76</f>
        <v>5632.9411764705883</v>
      </c>
      <c r="K8" s="1014">
        <f>'SEAP template'!K76</f>
        <v>0</v>
      </c>
      <c r="L8" s="1014">
        <f>'SEAP template'!L76</f>
        <v>0</v>
      </c>
      <c r="M8" s="1014">
        <f>'SEAP template'!M76</f>
        <v>0</v>
      </c>
      <c r="N8" s="1014">
        <f>'SEAP template'!N76</f>
        <v>0</v>
      </c>
      <c r="O8" s="1014">
        <f>'SEAP template'!O76</f>
        <v>0</v>
      </c>
      <c r="P8" s="1015">
        <f>'SEAP template'!Q76</f>
        <v>19.249411764705883</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12983.30753370174</v>
      </c>
      <c r="C10" s="1018">
        <f>SUM(C4:C9)</f>
        <v>81.000000000000014</v>
      </c>
      <c r="D10" s="1018">
        <f t="shared" ref="D10:H10" si="0">SUM(D8:D9)</f>
        <v>95.294117647058826</v>
      </c>
      <c r="E10" s="1018">
        <f t="shared" si="0"/>
        <v>0</v>
      </c>
      <c r="F10" s="1018">
        <f t="shared" si="0"/>
        <v>0</v>
      </c>
      <c r="G10" s="1018">
        <f t="shared" si="0"/>
        <v>0</v>
      </c>
      <c r="H10" s="1018">
        <f t="shared" si="0"/>
        <v>0</v>
      </c>
      <c r="I10" s="1018">
        <f>SUM(I8:I9)</f>
        <v>0</v>
      </c>
      <c r="J10" s="1018">
        <f>SUM(J8:J9)</f>
        <v>5632.9411764705883</v>
      </c>
      <c r="K10" s="1018">
        <f t="shared" ref="K10:L10" si="1">SUM(K8:K9)</f>
        <v>0</v>
      </c>
      <c r="L10" s="1018">
        <f t="shared" si="1"/>
        <v>0</v>
      </c>
      <c r="M10" s="1018">
        <f>SUM(M8:M9)</f>
        <v>0</v>
      </c>
      <c r="N10" s="1018">
        <f>SUM(N8:N9)</f>
        <v>0</v>
      </c>
      <c r="O10" s="1018">
        <f>SUM(O8:O9)</f>
        <v>0</v>
      </c>
      <c r="P10" s="1018">
        <f>SUM(P8:P9)</f>
        <v>19.249411764705883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0.19098923660341438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6839.9999999999991</v>
      </c>
      <c r="C17" s="1020">
        <f>'SEAP template'!C87</f>
        <v>115.71428571428572</v>
      </c>
      <c r="D17" s="1015">
        <f>'SEAP template'!D87</f>
        <v>136.1344537815126</v>
      </c>
      <c r="E17" s="1015">
        <f>'SEAP template'!E87</f>
        <v>0</v>
      </c>
      <c r="F17" s="1015">
        <f>'SEAP template'!F87</f>
        <v>0</v>
      </c>
      <c r="G17" s="1015">
        <f>'SEAP template'!G87</f>
        <v>0</v>
      </c>
      <c r="H17" s="1015">
        <f>'SEAP template'!H87</f>
        <v>0</v>
      </c>
      <c r="I17" s="1015">
        <f>'SEAP template'!I87</f>
        <v>0</v>
      </c>
      <c r="J17" s="1015">
        <f>'SEAP template'!J87</f>
        <v>8047.0588235294108</v>
      </c>
      <c r="K17" s="1015">
        <f>'SEAP template'!K87</f>
        <v>0</v>
      </c>
      <c r="L17" s="1015">
        <f>'SEAP template'!L87</f>
        <v>0</v>
      </c>
      <c r="M17" s="1015">
        <f>'SEAP template'!M87</f>
        <v>0</v>
      </c>
      <c r="N17" s="1015">
        <f>'SEAP template'!N87</f>
        <v>0</v>
      </c>
      <c r="O17" s="1015">
        <f>'SEAP template'!O87</f>
        <v>0</v>
      </c>
      <c r="P17" s="1015">
        <f>'SEAP template'!Q87</f>
        <v>27.499159663865548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6839.9999999999991</v>
      </c>
      <c r="C20" s="1018">
        <f>SUM(C17:C19)</f>
        <v>115.71428571428572</v>
      </c>
      <c r="D20" s="1018">
        <f t="shared" ref="D20:H20" si="2">SUM(D17:D19)</f>
        <v>136.1344537815126</v>
      </c>
      <c r="E20" s="1018">
        <f t="shared" si="2"/>
        <v>0</v>
      </c>
      <c r="F20" s="1018">
        <f t="shared" si="2"/>
        <v>0</v>
      </c>
      <c r="G20" s="1018">
        <f t="shared" si="2"/>
        <v>0</v>
      </c>
      <c r="H20" s="1018">
        <f t="shared" si="2"/>
        <v>0</v>
      </c>
      <c r="I20" s="1018">
        <f>SUM(I17:I19)</f>
        <v>0</v>
      </c>
      <c r="J20" s="1018">
        <f>SUM(J17:J19)</f>
        <v>8047.0588235294108</v>
      </c>
      <c r="K20" s="1018">
        <f t="shared" ref="K20:L20" si="3">SUM(K17:K19)</f>
        <v>0</v>
      </c>
      <c r="L20" s="1018">
        <f t="shared" si="3"/>
        <v>0</v>
      </c>
      <c r="M20" s="1018">
        <f>SUM(M17:M19)</f>
        <v>0</v>
      </c>
      <c r="N20" s="1018">
        <f>SUM(N17:N19)</f>
        <v>0</v>
      </c>
      <c r="O20" s="1018">
        <f>SUM(O17:O19)</f>
        <v>0</v>
      </c>
      <c r="P20" s="1018">
        <f>SUM(P17:P19)</f>
        <v>27.499159663865548</v>
      </c>
    </row>
    <row r="22" spans="1:16">
      <c r="A22" s="453" t="s">
        <v>827</v>
      </c>
      <c r="B22" s="752" t="s">
        <v>821</v>
      </c>
      <c r="C22" s="752">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0.19098923660341438</v>
      </c>
      <c r="C17" s="490">
        <f ca="1">'EF ele_warmte'!B22</f>
        <v>3.9534630857888447E-3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0.19098923660341438</v>
      </c>
      <c r="C17" s="490">
        <f ca="1">'EF ele_warmte'!B22</f>
        <v>3.9534630857888447E-3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0.19098923660341438</v>
      </c>
      <c r="C29" s="491">
        <f ca="1">'EF ele_warmte'!B22</f>
        <v>3.9534630857888447E-3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4018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2654.55</v>
      </c>
      <c r="C14" s="324"/>
      <c r="D14" s="324"/>
      <c r="E14" s="324"/>
      <c r="F14" s="324"/>
    </row>
    <row r="15" spans="1:6">
      <c r="A15" s="1289" t="s">
        <v>177</v>
      </c>
      <c r="B15" s="1290">
        <v>22</v>
      </c>
      <c r="C15" s="324"/>
      <c r="D15" s="324"/>
      <c r="E15" s="324"/>
      <c r="F15" s="324"/>
    </row>
    <row r="16" spans="1:6">
      <c r="A16" s="1289" t="s">
        <v>6</v>
      </c>
      <c r="B16" s="1290">
        <v>672</v>
      </c>
      <c r="C16" s="324"/>
      <c r="D16" s="324"/>
      <c r="E16" s="324"/>
      <c r="F16" s="324"/>
    </row>
    <row r="17" spans="1:6">
      <c r="A17" s="1289" t="s">
        <v>7</v>
      </c>
      <c r="B17" s="1290">
        <v>752</v>
      </c>
      <c r="C17" s="324"/>
      <c r="D17" s="324"/>
      <c r="E17" s="324"/>
      <c r="F17" s="324"/>
    </row>
    <row r="18" spans="1:6">
      <c r="A18" s="1289" t="s">
        <v>8</v>
      </c>
      <c r="B18" s="1290">
        <v>815</v>
      </c>
      <c r="C18" s="324"/>
      <c r="D18" s="324"/>
      <c r="E18" s="324"/>
      <c r="F18" s="324"/>
    </row>
    <row r="19" spans="1:6">
      <c r="A19" s="1289" t="s">
        <v>9</v>
      </c>
      <c r="B19" s="1290">
        <v>754</v>
      </c>
      <c r="C19" s="324"/>
      <c r="D19" s="324"/>
      <c r="E19" s="324"/>
      <c r="F19" s="324"/>
    </row>
    <row r="20" spans="1:6">
      <c r="A20" s="1289" t="s">
        <v>10</v>
      </c>
      <c r="B20" s="1290">
        <v>608</v>
      </c>
      <c r="C20" s="324"/>
      <c r="D20" s="324"/>
      <c r="E20" s="324"/>
      <c r="F20" s="324"/>
    </row>
    <row r="21" spans="1:6">
      <c r="A21" s="1289" t="s">
        <v>11</v>
      </c>
      <c r="B21" s="1290">
        <v>23028</v>
      </c>
      <c r="C21" s="324"/>
      <c r="D21" s="324"/>
      <c r="E21" s="324"/>
      <c r="F21" s="324"/>
    </row>
    <row r="22" spans="1:6">
      <c r="A22" s="1289" t="s">
        <v>12</v>
      </c>
      <c r="B22" s="1290">
        <v>57728</v>
      </c>
      <c r="C22" s="324"/>
      <c r="D22" s="324"/>
      <c r="E22" s="324"/>
      <c r="F22" s="324"/>
    </row>
    <row r="23" spans="1:6">
      <c r="A23" s="1289" t="s">
        <v>13</v>
      </c>
      <c r="B23" s="1290">
        <v>970</v>
      </c>
      <c r="C23" s="324"/>
      <c r="D23" s="324"/>
      <c r="E23" s="324"/>
      <c r="F23" s="324"/>
    </row>
    <row r="24" spans="1:6">
      <c r="A24" s="1289" t="s">
        <v>14</v>
      </c>
      <c r="B24" s="1290">
        <v>47</v>
      </c>
      <c r="C24" s="324"/>
      <c r="D24" s="324"/>
      <c r="E24" s="324"/>
      <c r="F24" s="324"/>
    </row>
    <row r="25" spans="1:6">
      <c r="A25" s="1289" t="s">
        <v>15</v>
      </c>
      <c r="B25" s="1290">
        <v>6053</v>
      </c>
      <c r="C25" s="324"/>
      <c r="D25" s="324"/>
      <c r="E25" s="324"/>
      <c r="F25" s="324"/>
    </row>
    <row r="26" spans="1:6">
      <c r="A26" s="1289" t="s">
        <v>16</v>
      </c>
      <c r="B26" s="1290">
        <v>400</v>
      </c>
      <c r="C26" s="324"/>
      <c r="D26" s="324"/>
      <c r="E26" s="324"/>
      <c r="F26" s="324"/>
    </row>
    <row r="27" spans="1:6">
      <c r="A27" s="1289" t="s">
        <v>17</v>
      </c>
      <c r="B27" s="1290">
        <v>1200</v>
      </c>
      <c r="C27" s="324"/>
      <c r="D27" s="324"/>
      <c r="E27" s="324"/>
      <c r="F27" s="324"/>
    </row>
    <row r="28" spans="1:6">
      <c r="A28" s="1289" t="s">
        <v>18</v>
      </c>
      <c r="B28" s="1291">
        <v>60973</v>
      </c>
      <c r="C28" s="324"/>
      <c r="D28" s="324"/>
      <c r="E28" s="324"/>
      <c r="F28" s="324"/>
    </row>
    <row r="29" spans="1:6">
      <c r="A29" s="1289" t="s">
        <v>716</v>
      </c>
      <c r="B29" s="1291">
        <v>166</v>
      </c>
      <c r="C29" s="324"/>
      <c r="D29" s="324"/>
      <c r="E29" s="324"/>
      <c r="F29" s="324"/>
    </row>
    <row r="30" spans="1:6">
      <c r="A30" s="1284" t="s">
        <v>717</v>
      </c>
      <c r="B30" s="1292">
        <v>44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9</v>
      </c>
      <c r="F36" s="1290">
        <v>14036</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10865</v>
      </c>
    </row>
    <row r="39" spans="1:6">
      <c r="A39" s="1289" t="s">
        <v>29</v>
      </c>
      <c r="B39" s="1289" t="s">
        <v>30</v>
      </c>
      <c r="C39" s="1290">
        <v>2477</v>
      </c>
      <c r="D39" s="1290">
        <v>36652306.799999997</v>
      </c>
      <c r="E39" s="1290">
        <v>3653</v>
      </c>
      <c r="F39" s="1290">
        <v>13535576.550000001</v>
      </c>
    </row>
    <row r="40" spans="1:6">
      <c r="A40" s="1289" t="s">
        <v>29</v>
      </c>
      <c r="B40" s="1289" t="s">
        <v>28</v>
      </c>
      <c r="C40" s="1290">
        <v>0</v>
      </c>
      <c r="D40" s="1290">
        <v>0</v>
      </c>
      <c r="E40" s="1290">
        <v>0</v>
      </c>
      <c r="F40" s="1290">
        <v>0</v>
      </c>
    </row>
    <row r="41" spans="1:6">
      <c r="A41" s="1289" t="s">
        <v>31</v>
      </c>
      <c r="B41" s="1289" t="s">
        <v>32</v>
      </c>
      <c r="C41" s="1290">
        <v>74</v>
      </c>
      <c r="D41" s="1290">
        <v>6756303.3159999996</v>
      </c>
      <c r="E41" s="1290">
        <v>143</v>
      </c>
      <c r="F41" s="1290">
        <v>25998484.359999999</v>
      </c>
    </row>
    <row r="42" spans="1:6">
      <c r="A42" s="1289" t="s">
        <v>31</v>
      </c>
      <c r="B42" s="1289" t="s">
        <v>33</v>
      </c>
      <c r="C42" s="1290">
        <v>0</v>
      </c>
      <c r="D42" s="1290">
        <v>0</v>
      </c>
      <c r="E42" s="1290">
        <v>0</v>
      </c>
      <c r="F42" s="1290">
        <v>0</v>
      </c>
    </row>
    <row r="43" spans="1:6">
      <c r="A43" s="1289" t="s">
        <v>31</v>
      </c>
      <c r="B43" s="1289" t="s">
        <v>34</v>
      </c>
      <c r="C43" s="1290">
        <v>0</v>
      </c>
      <c r="D43" s="1290">
        <v>0</v>
      </c>
      <c r="E43" s="1290">
        <v>3</v>
      </c>
      <c r="F43" s="1290">
        <v>19736143</v>
      </c>
    </row>
    <row r="44" spans="1:6">
      <c r="A44" s="1289" t="s">
        <v>31</v>
      </c>
      <c r="B44" s="1289" t="s">
        <v>35</v>
      </c>
      <c r="C44" s="1290">
        <v>9</v>
      </c>
      <c r="D44" s="1290">
        <v>357229.02899999998</v>
      </c>
      <c r="E44" s="1290">
        <v>33</v>
      </c>
      <c r="F44" s="1290">
        <v>455987.18599999999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5</v>
      </c>
      <c r="D47" s="1290">
        <v>18430596</v>
      </c>
      <c r="E47" s="1290">
        <v>8</v>
      </c>
      <c r="F47" s="1290">
        <v>7957318</v>
      </c>
    </row>
    <row r="48" spans="1:6">
      <c r="A48" s="1289" t="s">
        <v>31</v>
      </c>
      <c r="B48" s="1289" t="s">
        <v>28</v>
      </c>
      <c r="C48" s="1290">
        <v>2</v>
      </c>
      <c r="D48" s="1290">
        <v>11709018</v>
      </c>
      <c r="E48" s="1290">
        <v>4</v>
      </c>
      <c r="F48" s="1290">
        <v>94174.5</v>
      </c>
    </row>
    <row r="49" spans="1:6">
      <c r="A49" s="1289" t="s">
        <v>31</v>
      </c>
      <c r="B49" s="1289" t="s">
        <v>39</v>
      </c>
      <c r="C49" s="1290">
        <v>0</v>
      </c>
      <c r="D49" s="1290">
        <v>0</v>
      </c>
      <c r="E49" s="1290">
        <v>0</v>
      </c>
      <c r="F49" s="1290">
        <v>0</v>
      </c>
    </row>
    <row r="50" spans="1:6">
      <c r="A50" s="1289" t="s">
        <v>31</v>
      </c>
      <c r="B50" s="1289" t="s">
        <v>40</v>
      </c>
      <c r="C50" s="1290">
        <v>6</v>
      </c>
      <c r="D50" s="1290">
        <v>321937</v>
      </c>
      <c r="E50" s="1290">
        <v>9</v>
      </c>
      <c r="F50" s="1290">
        <v>198010</v>
      </c>
    </row>
    <row r="51" spans="1:6">
      <c r="A51" s="1289" t="s">
        <v>41</v>
      </c>
      <c r="B51" s="1289" t="s">
        <v>42</v>
      </c>
      <c r="C51" s="1290">
        <v>31</v>
      </c>
      <c r="D51" s="1290">
        <v>4136480.6060000001</v>
      </c>
      <c r="E51" s="1290">
        <v>186</v>
      </c>
      <c r="F51" s="1290">
        <v>5133064.4239999996</v>
      </c>
    </row>
    <row r="52" spans="1:6">
      <c r="A52" s="1289" t="s">
        <v>41</v>
      </c>
      <c r="B52" s="1289" t="s">
        <v>28</v>
      </c>
      <c r="C52" s="1290">
        <v>0</v>
      </c>
      <c r="D52" s="1290">
        <v>0</v>
      </c>
      <c r="E52" s="1290">
        <v>0</v>
      </c>
      <c r="F52" s="1290">
        <v>0</v>
      </c>
    </row>
    <row r="53" spans="1:6">
      <c r="A53" s="1289" t="s">
        <v>43</v>
      </c>
      <c r="B53" s="1289" t="s">
        <v>44</v>
      </c>
      <c r="C53" s="1290">
        <v>36</v>
      </c>
      <c r="D53" s="1290">
        <v>604106.69999999995</v>
      </c>
      <c r="E53" s="1290">
        <v>70</v>
      </c>
      <c r="F53" s="1290">
        <v>388282.658</v>
      </c>
    </row>
    <row r="54" spans="1:6">
      <c r="A54" s="1289" t="s">
        <v>45</v>
      </c>
      <c r="B54" s="1289" t="s">
        <v>46</v>
      </c>
      <c r="C54" s="1290">
        <v>0</v>
      </c>
      <c r="D54" s="1290">
        <v>0</v>
      </c>
      <c r="E54" s="1290">
        <v>1</v>
      </c>
      <c r="F54" s="1290">
        <v>822081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64</v>
      </c>
      <c r="D57" s="1290">
        <v>3881980.037</v>
      </c>
      <c r="E57" s="1290">
        <v>106</v>
      </c>
      <c r="F57" s="1290">
        <v>2382872.9939999999</v>
      </c>
    </row>
    <row r="58" spans="1:6">
      <c r="A58" s="1289" t="s">
        <v>48</v>
      </c>
      <c r="B58" s="1289" t="s">
        <v>50</v>
      </c>
      <c r="C58" s="1290">
        <v>27</v>
      </c>
      <c r="D58" s="1290">
        <v>3506288.4759999998</v>
      </c>
      <c r="E58" s="1290">
        <v>31</v>
      </c>
      <c r="F58" s="1290">
        <v>3288943</v>
      </c>
    </row>
    <row r="59" spans="1:6">
      <c r="A59" s="1289" t="s">
        <v>48</v>
      </c>
      <c r="B59" s="1289" t="s">
        <v>51</v>
      </c>
      <c r="C59" s="1290">
        <v>89</v>
      </c>
      <c r="D59" s="1290">
        <v>3603073.1519999998</v>
      </c>
      <c r="E59" s="1290">
        <v>187</v>
      </c>
      <c r="F59" s="1290">
        <v>4507267.943</v>
      </c>
    </row>
    <row r="60" spans="1:6">
      <c r="A60" s="1289" t="s">
        <v>48</v>
      </c>
      <c r="B60" s="1289" t="s">
        <v>52</v>
      </c>
      <c r="C60" s="1290">
        <v>23</v>
      </c>
      <c r="D60" s="1290">
        <v>1697340.371</v>
      </c>
      <c r="E60" s="1290">
        <v>36</v>
      </c>
      <c r="F60" s="1290">
        <v>1145217.7590000001</v>
      </c>
    </row>
    <row r="61" spans="1:6">
      <c r="A61" s="1289" t="s">
        <v>48</v>
      </c>
      <c r="B61" s="1289" t="s">
        <v>53</v>
      </c>
      <c r="C61" s="1290">
        <v>71</v>
      </c>
      <c r="D61" s="1290">
        <v>1459669.1</v>
      </c>
      <c r="E61" s="1290">
        <v>138</v>
      </c>
      <c r="F61" s="1290">
        <v>1305685.95</v>
      </c>
    </row>
    <row r="62" spans="1:6">
      <c r="A62" s="1289" t="s">
        <v>48</v>
      </c>
      <c r="B62" s="1289" t="s">
        <v>54</v>
      </c>
      <c r="C62" s="1290">
        <v>13</v>
      </c>
      <c r="D62" s="1290">
        <v>5483384.3890000004</v>
      </c>
      <c r="E62" s="1290">
        <v>12</v>
      </c>
      <c r="F62" s="1290">
        <v>345788.57199999999</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70552</v>
      </c>
      <c r="E65" s="1290">
        <v>0</v>
      </c>
      <c r="F65" s="1290">
        <v>0</v>
      </c>
    </row>
    <row r="66" spans="1:6">
      <c r="A66" s="1289" t="s">
        <v>55</v>
      </c>
      <c r="B66" s="1289" t="s">
        <v>57</v>
      </c>
      <c r="C66" s="1290">
        <v>0</v>
      </c>
      <c r="D66" s="1290">
        <v>0</v>
      </c>
      <c r="E66" s="1290">
        <v>5</v>
      </c>
      <c r="F66" s="1290">
        <v>185592.30600000001</v>
      </c>
    </row>
    <row r="67" spans="1:6">
      <c r="A67" s="1289" t="s">
        <v>55</v>
      </c>
      <c r="B67" s="1289" t="s">
        <v>58</v>
      </c>
      <c r="C67" s="1290">
        <v>0</v>
      </c>
      <c r="D67" s="1290">
        <v>0</v>
      </c>
      <c r="E67" s="1290">
        <v>0</v>
      </c>
      <c r="F67" s="1290">
        <v>0</v>
      </c>
    </row>
    <row r="68" spans="1:6">
      <c r="A68" s="1284" t="s">
        <v>55</v>
      </c>
      <c r="B68" s="1284" t="s">
        <v>59</v>
      </c>
      <c r="C68" s="1292">
        <v>0</v>
      </c>
      <c r="D68" s="1292">
        <v>0</v>
      </c>
      <c r="E68" s="1292">
        <v>9</v>
      </c>
      <c r="F68" s="1292">
        <v>89343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41589913</v>
      </c>
      <c r="E73" s="441"/>
      <c r="F73" s="324"/>
    </row>
    <row r="74" spans="1:6">
      <c r="A74" s="1289" t="s">
        <v>63</v>
      </c>
      <c r="B74" s="1289" t="s">
        <v>642</v>
      </c>
      <c r="C74" s="1302" t="s">
        <v>644</v>
      </c>
      <c r="D74" s="1290">
        <v>5190702</v>
      </c>
      <c r="E74" s="441"/>
      <c r="F74" s="324"/>
    </row>
    <row r="75" spans="1:6">
      <c r="A75" s="1289" t="s">
        <v>64</v>
      </c>
      <c r="B75" s="1289" t="s">
        <v>641</v>
      </c>
      <c r="C75" s="1302" t="s">
        <v>645</v>
      </c>
      <c r="D75" s="1290">
        <v>16465834</v>
      </c>
      <c r="E75" s="441"/>
      <c r="F75" s="324"/>
    </row>
    <row r="76" spans="1:6">
      <c r="A76" s="1289" t="s">
        <v>64</v>
      </c>
      <c r="B76" s="1289" t="s">
        <v>642</v>
      </c>
      <c r="C76" s="1302" t="s">
        <v>646</v>
      </c>
      <c r="D76" s="1290">
        <v>2070504</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145844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3363.760311882937</v>
      </c>
      <c r="C91" s="324"/>
      <c r="D91" s="324"/>
      <c r="E91" s="324"/>
      <c r="F91" s="324"/>
    </row>
    <row r="92" spans="1:6">
      <c r="A92" s="1284" t="s">
        <v>68</v>
      </c>
      <c r="B92" s="1285">
        <v>4831.5472218188024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1600</v>
      </c>
      <c r="C97" s="324"/>
      <c r="D97" s="324"/>
      <c r="E97" s="324"/>
      <c r="F97" s="324"/>
    </row>
    <row r="98" spans="1:6">
      <c r="A98" s="1289" t="s">
        <v>71</v>
      </c>
      <c r="B98" s="1290">
        <v>0</v>
      </c>
      <c r="C98" s="324"/>
      <c r="D98" s="324"/>
      <c r="E98" s="324"/>
      <c r="F98" s="324"/>
    </row>
    <row r="99" spans="1:6">
      <c r="A99" s="1289" t="s">
        <v>72</v>
      </c>
      <c r="B99" s="1290">
        <v>132</v>
      </c>
      <c r="C99" s="324"/>
      <c r="D99" s="324"/>
      <c r="E99" s="324"/>
      <c r="F99" s="324"/>
    </row>
    <row r="100" spans="1:6">
      <c r="A100" s="1289" t="s">
        <v>73</v>
      </c>
      <c r="B100" s="1290">
        <v>309</v>
      </c>
      <c r="C100" s="324"/>
      <c r="D100" s="324"/>
      <c r="E100" s="324"/>
      <c r="F100" s="324"/>
    </row>
    <row r="101" spans="1:6">
      <c r="A101" s="1289" t="s">
        <v>74</v>
      </c>
      <c r="B101" s="1290">
        <v>104</v>
      </c>
      <c r="C101" s="324"/>
      <c r="D101" s="324"/>
      <c r="E101" s="324"/>
      <c r="F101" s="324"/>
    </row>
    <row r="102" spans="1:6">
      <c r="A102" s="1289" t="s">
        <v>75</v>
      </c>
      <c r="B102" s="1290">
        <v>64</v>
      </c>
      <c r="C102" s="324"/>
      <c r="D102" s="324"/>
      <c r="E102" s="324"/>
      <c r="F102" s="324"/>
    </row>
    <row r="103" spans="1:6">
      <c r="A103" s="1289" t="s">
        <v>76</v>
      </c>
      <c r="B103" s="1290">
        <v>98</v>
      </c>
      <c r="C103" s="324"/>
      <c r="D103" s="324"/>
      <c r="E103" s="324"/>
      <c r="F103" s="324"/>
    </row>
    <row r="104" spans="1:6">
      <c r="A104" s="1289" t="s">
        <v>77</v>
      </c>
      <c r="B104" s="1290">
        <v>1210</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16</v>
      </c>
      <c r="C123" s="1290">
        <v>25</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176</v>
      </c>
      <c r="C129" s="324"/>
      <c r="D129" s="324"/>
      <c r="E129" s="324"/>
      <c r="F129" s="324"/>
    </row>
    <row r="130" spans="1:6">
      <c r="A130" s="1289" t="s">
        <v>283</v>
      </c>
      <c r="B130" s="1290">
        <v>0</v>
      </c>
      <c r="C130" s="324"/>
      <c r="D130" s="324"/>
      <c r="E130" s="324"/>
      <c r="F130" s="324"/>
    </row>
    <row r="131" spans="1:6">
      <c r="A131" s="1289" t="s">
        <v>284</v>
      </c>
      <c r="B131" s="1290">
        <v>5</v>
      </c>
      <c r="C131" s="324"/>
      <c r="D131" s="324"/>
      <c r="E131" s="324"/>
      <c r="F131" s="324"/>
    </row>
    <row r="132" spans="1:6">
      <c r="A132" s="1284" t="s">
        <v>285</v>
      </c>
      <c r="B132" s="1285">
        <v>12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95564.465164843816</v>
      </c>
      <c r="C3" s="43" t="s">
        <v>163</v>
      </c>
      <c r="D3" s="43"/>
      <c r="E3" s="154"/>
      <c r="F3" s="43"/>
      <c r="G3" s="43"/>
      <c r="H3" s="43"/>
      <c r="I3" s="43"/>
      <c r="J3" s="43"/>
      <c r="K3" s="96"/>
    </row>
    <row r="4" spans="1:11">
      <c r="A4" s="350" t="s">
        <v>164</v>
      </c>
      <c r="B4" s="49">
        <f>IF(ISERROR('SEAP template'!B78+'SEAP template'!C78),0,'SEAP template'!B78+'SEAP template'!C78)</f>
        <v>13064.30753370174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19.249411764705883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0.19098923660341438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27.499159663865548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6955.7142857142853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3.9534630857888447E-3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822.08100000000002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822.08100000000002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0.19098923660341438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157.00862261617149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13535.576550000002</v>
      </c>
      <c r="C5" s="17">
        <f>IF(ISERROR('Eigen informatie GS &amp; warmtenet'!B57),0,'Eigen informatie GS &amp; warmtenet'!B57)</f>
        <v>0</v>
      </c>
      <c r="D5" s="30">
        <f>(SUM(HH_hh_gas_kWh,HH_rest_gas_kWh)/1000)*0.902</f>
        <v>33060.380733600003</v>
      </c>
      <c r="E5" s="17">
        <f>B32*B41</f>
        <v>952.10427815417972</v>
      </c>
      <c r="F5" s="17">
        <f>B36*B45</f>
        <v>24122.054582883346</v>
      </c>
      <c r="G5" s="18"/>
      <c r="H5" s="17"/>
      <c r="I5" s="17"/>
      <c r="J5" s="17">
        <f>B35*B44+C35*C44</f>
        <v>116.07262037052237</v>
      </c>
      <c r="K5" s="17"/>
      <c r="L5" s="17"/>
      <c r="M5" s="17"/>
      <c r="N5" s="17">
        <f>B34*B43+C34*C43</f>
        <v>5912.1186409831171</v>
      </c>
      <c r="O5" s="17">
        <f>B52*B53*B54</f>
        <v>315.79333333333335</v>
      </c>
      <c r="P5" s="17">
        <f>B60*B61*B62/1000-B60*B61*B62/1000/B63</f>
        <v>533.86666666666667</v>
      </c>
    </row>
    <row r="6" spans="1:16">
      <c r="A6" s="16" t="s">
        <v>607</v>
      </c>
      <c r="B6" s="754">
        <f>kWh_PV_kleiner_dan_10kW</f>
        <v>3363.760311882937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16899.336861882937</v>
      </c>
      <c r="C8" s="21">
        <f>C5</f>
        <v>0</v>
      </c>
      <c r="D8" s="21">
        <f>D5</f>
        <v>33060.380733600003</v>
      </c>
      <c r="E8" s="21">
        <f>E5</f>
        <v>952.10427815417972</v>
      </c>
      <c r="F8" s="21">
        <f>F5</f>
        <v>24122.054582883346</v>
      </c>
      <c r="G8" s="21"/>
      <c r="H8" s="21"/>
      <c r="I8" s="21"/>
      <c r="J8" s="21">
        <f>J5</f>
        <v>116.07262037052237</v>
      </c>
      <c r="K8" s="21"/>
      <c r="L8" s="21">
        <f>L5</f>
        <v>0</v>
      </c>
      <c r="M8" s="21">
        <f>M5</f>
        <v>0</v>
      </c>
      <c r="N8" s="21">
        <f>N5</f>
        <v>5912.1186409831171</v>
      </c>
      <c r="O8" s="21">
        <f>O5</f>
        <v>315.79333333333335</v>
      </c>
      <c r="P8" s="21">
        <f>P5</f>
        <v>533.86666666666667</v>
      </c>
    </row>
    <row r="9" spans="1:16">
      <c r="B9" s="19"/>
      <c r="C9" s="19"/>
      <c r="D9" s="254"/>
      <c r="E9" s="19"/>
      <c r="F9" s="19"/>
      <c r="G9" s="19"/>
      <c r="H9" s="19"/>
      <c r="I9" s="19"/>
      <c r="J9" s="19"/>
      <c r="K9" s="19"/>
      <c r="L9" s="19"/>
      <c r="M9" s="19"/>
      <c r="N9" s="19"/>
      <c r="O9" s="19"/>
      <c r="P9" s="19"/>
    </row>
    <row r="10" spans="1:16">
      <c r="A10" s="24" t="s">
        <v>207</v>
      </c>
      <c r="B10" s="25">
        <f ca="1">'EF ele_warmte'!B12</f>
        <v>0.19098923660341438</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3227.5914463549625</v>
      </c>
      <c r="C12" s="23">
        <f ca="1">C10*C8</f>
        <v>0</v>
      </c>
      <c r="D12" s="23">
        <f>D8*D10</f>
        <v>6678.1969081872012</v>
      </c>
      <c r="E12" s="23">
        <f>E10*E8</f>
        <v>216.12767114099881</v>
      </c>
      <c r="F12" s="23">
        <f>F10*F8</f>
        <v>6440.5885736298533</v>
      </c>
      <c r="G12" s="23"/>
      <c r="H12" s="23"/>
      <c r="I12" s="23"/>
      <c r="J12" s="23">
        <f>J10*J8</f>
        <v>41.089707611164918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4018</v>
      </c>
      <c r="C26" s="36"/>
      <c r="D26" s="225"/>
    </row>
    <row r="27" spans="1:5" s="15" customFormat="1">
      <c r="A27" s="227" t="s">
        <v>762</v>
      </c>
      <c r="B27" s="37">
        <f>SUM(HH_hh_gas_aantal,HH_rest_gas_aantal)</f>
        <v>2477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2353.15</v>
      </c>
      <c r="C31" s="34" t="s">
        <v>104</v>
      </c>
      <c r="D31" s="171"/>
    </row>
    <row r="32" spans="1:5">
      <c r="A32" s="168" t="s">
        <v>72</v>
      </c>
      <c r="B32" s="33">
        <f>IF((B21*($B$26-($B$27-0.05*$B$27)-$B$60))&lt;0,0,B21*($B$26-($B$27-0.05*$B$27)-$B$60))</f>
        <v>18.006159093953794</v>
      </c>
      <c r="C32" s="34" t="s">
        <v>104</v>
      </c>
      <c r="D32" s="171"/>
    </row>
    <row r="33" spans="1:6">
      <c r="A33" s="168" t="s">
        <v>73</v>
      </c>
      <c r="B33" s="33">
        <f>IF((B22*($B$26-($B$27-0.05*$B$27)-$B$60))&lt;0,0,B22*($B$26-($B$27-0.05*$B$27)-$B$60))</f>
        <v>374.36316858261864</v>
      </c>
      <c r="C33" s="34" t="s">
        <v>104</v>
      </c>
      <c r="D33" s="171"/>
    </row>
    <row r="34" spans="1:6">
      <c r="A34" s="168" t="s">
        <v>74</v>
      </c>
      <c r="B34" s="33">
        <f>IF((B24*($B$26-($B$27-0.05*$B$27)-$B$60))&lt;0,0,B24*($B$26-($B$27-0.05*$B$27)-$B$60))</f>
        <v>74.447525865004366</v>
      </c>
      <c r="C34" s="33">
        <f>B26*C24</f>
        <v>822.46672846418483</v>
      </c>
      <c r="D34" s="230"/>
    </row>
    <row r="35" spans="1:6">
      <c r="A35" s="168" t="s">
        <v>76</v>
      </c>
      <c r="B35" s="33">
        <f>IF((B19*($B$26-($B$27-0.05*$B$27)-$B$60))&lt;0,0,B19*($B$26-($B$27-0.05*$B$27)-$B$60))</f>
        <v>13.628720817789011</v>
      </c>
      <c r="C35" s="33">
        <f>B35/2</f>
        <v>6.8143604088945056</v>
      </c>
      <c r="D35" s="230"/>
    </row>
    <row r="36" spans="1:6">
      <c r="A36" s="168" t="s">
        <v>77</v>
      </c>
      <c r="B36" s="33">
        <f>IF((B18*($B$26-($B$27-0.05*$B$27)-$B$60))&lt;0,0,B18*($B$26-($B$27-0.05*$B$27)-$B$60))</f>
        <v>1156.4044256406341</v>
      </c>
      <c r="C36" s="34" t="s">
        <v>104</v>
      </c>
      <c r="D36" s="171"/>
    </row>
    <row r="37" spans="1:6">
      <c r="A37" s="168" t="s">
        <v>78</v>
      </c>
      <c r="B37" s="33">
        <f>B60</f>
        <v>28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202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12975.776217999999</v>
      </c>
      <c r="C5" s="17">
        <f>IF(ISERROR('Eigen informatie GS &amp; warmtenet'!B58),0,'Eigen informatie GS &amp; warmtenet'!B58)</f>
        <v>0</v>
      </c>
      <c r="D5" s="30">
        <f>SUM(D6:D12)</f>
        <v>17707.825443550002</v>
      </c>
      <c r="E5" s="17">
        <f>SUM(E6:E12)</f>
        <v>188.14917600814078</v>
      </c>
      <c r="F5" s="17">
        <f>SUM(F6:F12)</f>
        <v>2382.0115856997595</v>
      </c>
      <c r="G5" s="18"/>
      <c r="H5" s="17"/>
      <c r="I5" s="17"/>
      <c r="J5" s="17">
        <f>SUM(J6:J12)</f>
        <v>5.1722832095515897E-2</v>
      </c>
      <c r="K5" s="17"/>
      <c r="L5" s="17"/>
      <c r="M5" s="17"/>
      <c r="N5" s="17">
        <f>SUM(N6:N12)</f>
        <v>2083.1457244876819</v>
      </c>
      <c r="O5" s="17">
        <f>B38*B39*B40</f>
        <v>0</v>
      </c>
      <c r="P5" s="17">
        <f>B46*B47*B48/1000-B46*B47*B48/1000/B49</f>
        <v>114.4</v>
      </c>
      <c r="R5" s="32"/>
    </row>
    <row r="6" spans="1:18">
      <c r="A6" s="32" t="s">
        <v>53</v>
      </c>
      <c r="B6" s="37">
        <f>B26</f>
        <v>1305.68595</v>
      </c>
      <c r="C6" s="33"/>
      <c r="D6" s="37">
        <f>IF(ISERROR(TER_kantoor_gas_kWh/1000),0,TER_kantoor_gas_kWh/1000)*0.902</f>
        <v>1316.6215282000001</v>
      </c>
      <c r="E6" s="33">
        <f>$C$26*'E Balans VL '!I12/100/3.6*1000000</f>
        <v>8.1836052702563954E-3</v>
      </c>
      <c r="F6" s="33">
        <f>$C$26*('E Balans VL '!L12+'E Balans VL '!N12)/100/3.6*1000000</f>
        <v>196.20811393990778</v>
      </c>
      <c r="G6" s="34"/>
      <c r="H6" s="33"/>
      <c r="I6" s="33"/>
      <c r="J6" s="33">
        <f>$C$26*('E Balans VL '!D12+'E Balans VL '!E12)/100/3.6*1000000</f>
        <v>0</v>
      </c>
      <c r="K6" s="33"/>
      <c r="L6" s="33"/>
      <c r="M6" s="33"/>
      <c r="N6" s="33">
        <f>$C$26*'E Balans VL '!Y12/100/3.6*1000000</f>
        <v>1.2486950219876287</v>
      </c>
      <c r="O6" s="33"/>
      <c r="P6" s="33"/>
      <c r="R6" s="32"/>
    </row>
    <row r="7" spans="1:18">
      <c r="A7" s="32" t="s">
        <v>52</v>
      </c>
      <c r="B7" s="37">
        <f t="shared" ref="B7:B12" si="0">B27</f>
        <v>1145.2177590000001</v>
      </c>
      <c r="C7" s="33"/>
      <c r="D7" s="37">
        <f>IF(ISERROR(TER_horeca_gas_kWh/1000),0,TER_horeca_gas_kWh/1000)*0.902</f>
        <v>1531.001014642</v>
      </c>
      <c r="E7" s="33">
        <f>$C$27*'E Balans VL '!I9/100/3.6*1000000</f>
        <v>16.399327552016477</v>
      </c>
      <c r="F7" s="33">
        <f>$C$27*('E Balans VL '!L9+'E Balans VL '!N9)/100/3.6*1000000</f>
        <v>145.02233902624209</v>
      </c>
      <c r="G7" s="34"/>
      <c r="H7" s="33"/>
      <c r="I7" s="33"/>
      <c r="J7" s="33">
        <f>$C$27*('E Balans VL '!D9+'E Balans VL '!E9)/100/3.6*1000000</f>
        <v>0</v>
      </c>
      <c r="K7" s="33"/>
      <c r="L7" s="33"/>
      <c r="M7" s="33"/>
      <c r="N7" s="33">
        <f>$C$27*'E Balans VL '!Y9/100/3.6*1000000</f>
        <v>0.3292248558283557</v>
      </c>
      <c r="O7" s="33"/>
      <c r="P7" s="33"/>
      <c r="R7" s="32"/>
    </row>
    <row r="8" spans="1:18">
      <c r="A8" s="6" t="s">
        <v>51</v>
      </c>
      <c r="B8" s="37">
        <f t="shared" si="0"/>
        <v>4507.2679429999998</v>
      </c>
      <c r="C8" s="33"/>
      <c r="D8" s="37">
        <f>IF(ISERROR(TER_handel_gas_kWh/1000),0,TER_handel_gas_kWh/1000)*0.902</f>
        <v>3249.9719831040002</v>
      </c>
      <c r="E8" s="33">
        <f>$C$28*'E Balans VL '!I13/100/3.6*1000000</f>
        <v>163.47805248122847</v>
      </c>
      <c r="F8" s="33">
        <f>$C$28*('E Balans VL '!L13+'E Balans VL '!N13)/100/3.6*1000000</f>
        <v>868.1454448113592</v>
      </c>
      <c r="G8" s="34"/>
      <c r="H8" s="33"/>
      <c r="I8" s="33"/>
      <c r="J8" s="33">
        <f>$C$28*('E Balans VL '!D13+'E Balans VL '!E13)/100/3.6*1000000</f>
        <v>0</v>
      </c>
      <c r="K8" s="33"/>
      <c r="L8" s="33"/>
      <c r="M8" s="33"/>
      <c r="N8" s="33">
        <f>$C$28*'E Balans VL '!Y13/100/3.6*1000000</f>
        <v>6.2436031771564755</v>
      </c>
      <c r="O8" s="33"/>
      <c r="P8" s="33"/>
      <c r="R8" s="32"/>
    </row>
    <row r="9" spans="1:18">
      <c r="A9" s="32" t="s">
        <v>50</v>
      </c>
      <c r="B9" s="37">
        <f t="shared" si="0"/>
        <v>3288.9430000000002</v>
      </c>
      <c r="C9" s="33"/>
      <c r="D9" s="37">
        <f>IF(ISERROR(TER_gezond_gas_kWh/1000),0,TER_gezond_gas_kWh/1000)*0.902</f>
        <v>3162.6722053519998</v>
      </c>
      <c r="E9" s="33">
        <f>$C$29*'E Balans VL '!I10/100/3.6*1000000</f>
        <v>0.20592030424563848</v>
      </c>
      <c r="F9" s="33">
        <f>$C$29*('E Balans VL '!L10+'E Balans VL '!N10)/100/3.6*1000000</f>
        <v>488.58249652776379</v>
      </c>
      <c r="G9" s="34"/>
      <c r="H9" s="33"/>
      <c r="I9" s="33"/>
      <c r="J9" s="33">
        <f>$C$29*('E Balans VL '!D10+'E Balans VL '!E10)/100/3.6*1000000</f>
        <v>0</v>
      </c>
      <c r="K9" s="33"/>
      <c r="L9" s="33"/>
      <c r="M9" s="33"/>
      <c r="N9" s="33">
        <f>$C$29*'E Balans VL '!Y10/100/3.6*1000000</f>
        <v>50.873687679871864</v>
      </c>
      <c r="O9" s="33"/>
      <c r="P9" s="33"/>
      <c r="R9" s="32"/>
    </row>
    <row r="10" spans="1:18">
      <c r="A10" s="32" t="s">
        <v>49</v>
      </c>
      <c r="B10" s="37">
        <f t="shared" si="0"/>
        <v>2382.8729939999998</v>
      </c>
      <c r="C10" s="33"/>
      <c r="D10" s="37">
        <f>IF(ISERROR(TER_ander_gas_kWh/1000),0,TER_ander_gas_kWh/1000)*0.902</f>
        <v>3501.5459933739999</v>
      </c>
      <c r="E10" s="33">
        <f>$C$30*'E Balans VL '!I14/100/3.6*1000000</f>
        <v>2.8402994593549304</v>
      </c>
      <c r="F10" s="33">
        <f>$C$30*('E Balans VL '!L14+'E Balans VL '!N14)/100/3.6*1000000</f>
        <v>623.46550944330738</v>
      </c>
      <c r="G10" s="34"/>
      <c r="H10" s="33"/>
      <c r="I10" s="33"/>
      <c r="J10" s="33">
        <f>$C$30*('E Balans VL '!D14+'E Balans VL '!E14)/100/3.6*1000000</f>
        <v>5.1722832095515897E-2</v>
      </c>
      <c r="K10" s="33"/>
      <c r="L10" s="33"/>
      <c r="M10" s="33"/>
      <c r="N10" s="33">
        <f>$C$30*'E Balans VL '!Y14/100/3.6*1000000</f>
        <v>2023.4774384233815</v>
      </c>
      <c r="O10" s="33"/>
      <c r="P10" s="33"/>
      <c r="R10" s="32"/>
    </row>
    <row r="11" spans="1:18">
      <c r="A11" s="32" t="s">
        <v>54</v>
      </c>
      <c r="B11" s="37">
        <f t="shared" si="0"/>
        <v>345.78857199999999</v>
      </c>
      <c r="C11" s="33"/>
      <c r="D11" s="37">
        <f>IF(ISERROR(TER_onderwijs_gas_kWh/1000),0,TER_onderwijs_gas_kWh/1000)*0.902</f>
        <v>4946.0127188780007</v>
      </c>
      <c r="E11" s="33">
        <f>$C$31*'E Balans VL '!I11/100/3.6*1000000</f>
        <v>5.2173926060250215</v>
      </c>
      <c r="F11" s="33">
        <f>$C$31*('E Balans VL '!L11+'E Balans VL '!N11)/100/3.6*1000000</f>
        <v>60.587681951178922</v>
      </c>
      <c r="G11" s="34"/>
      <c r="H11" s="33"/>
      <c r="I11" s="33"/>
      <c r="J11" s="33">
        <f>$C$31*('E Balans VL '!D11+'E Balans VL '!E11)/100/3.6*1000000</f>
        <v>0</v>
      </c>
      <c r="K11" s="33"/>
      <c r="L11" s="33"/>
      <c r="M11" s="33"/>
      <c r="N11" s="33">
        <f>$C$31*'E Balans VL '!Y11/100/3.6*1000000</f>
        <v>0.9730753294563339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energieproductie'!N39+'lokale energieproductie'!N32</f>
        <v>4869</v>
      </c>
      <c r="C13" s="243">
        <f ca="1">'lokale energieproductie'!O39+'lokale energieproductie'!O32</f>
        <v>6955.7142857142853</v>
      </c>
      <c r="D13" s="302">
        <f ca="1">('lokale energieproductie'!P32+'lokale energieproductie'!P39)*(-1)</f>
        <v>-231.42857142857144</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-13680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17844.776217999999</v>
      </c>
      <c r="C16" s="21">
        <f t="shared" ca="1" si="1"/>
        <v>6955.7142857142853</v>
      </c>
      <c r="D16" s="21">
        <f t="shared" ca="1" si="1"/>
        <v>17476.39687212143</v>
      </c>
      <c r="E16" s="21">
        <f t="shared" si="1"/>
        <v>188.14917600814078</v>
      </c>
      <c r="F16" s="21">
        <f t="shared" ca="1" si="1"/>
        <v>2382.0115856997595</v>
      </c>
      <c r="G16" s="21">
        <f t="shared" si="1"/>
        <v>0</v>
      </c>
      <c r="H16" s="21">
        <f t="shared" si="1"/>
        <v>0</v>
      </c>
      <c r="I16" s="21">
        <f t="shared" si="1"/>
        <v>0</v>
      </c>
      <c r="J16" s="21">
        <f t="shared" si="1"/>
        <v>5.1722832095515897E-2</v>
      </c>
      <c r="K16" s="21">
        <f t="shared" si="1"/>
        <v>0</v>
      </c>
      <c r="L16" s="21">
        <f t="shared" ca="1" si="1"/>
        <v>0</v>
      </c>
      <c r="M16" s="21">
        <f t="shared" si="1"/>
        <v>0</v>
      </c>
      <c r="N16" s="21">
        <f t="shared" ca="1" si="1"/>
        <v>0</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0.19098923660341438</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3408.1601872345836</v>
      </c>
      <c r="C20" s="23">
        <f t="shared" ref="C20:P20" ca="1" si="2">C16*C18</f>
        <v>27.499159663865548</v>
      </c>
      <c r="D20" s="23">
        <f t="shared" ca="1" si="2"/>
        <v>3530.2321681685289</v>
      </c>
      <c r="E20" s="23">
        <f t="shared" si="2"/>
        <v>42.70986295384796</v>
      </c>
      <c r="F20" s="23">
        <f t="shared" ca="1" si="2"/>
        <v>635.99709338183584</v>
      </c>
      <c r="G20" s="23">
        <f t="shared" si="2"/>
        <v>0</v>
      </c>
      <c r="H20" s="23">
        <f t="shared" si="2"/>
        <v>0</v>
      </c>
      <c r="I20" s="23">
        <f t="shared" si="2"/>
        <v>0</v>
      </c>
      <c r="J20" s="23">
        <f t="shared" si="2"/>
        <v>1.8309882561812627E-2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1305.68595</v>
      </c>
      <c r="C26" s="39">
        <f>IF(ISERROR(B26*3.6/1000000/'E Balans VL '!Z12*100),0,B26*3.6/1000000/'E Balans VL '!Z12*100)</f>
        <v>2.7600132609382183E-2</v>
      </c>
      <c r="D26" s="233" t="s">
        <v>726</v>
      </c>
      <c r="F26" s="6"/>
    </row>
    <row r="27" spans="1:18">
      <c r="A27" s="228" t="s">
        <v>52</v>
      </c>
      <c r="B27" s="33">
        <f>IF(ISERROR(TER_horeca_ele_kWh/1000),0,TER_horeca_ele_kWh/1000)</f>
        <v>1145.2177590000001</v>
      </c>
      <c r="C27" s="39">
        <f>IF(ISERROR(B27*3.6/1000000/'E Balans VL '!Z9*100),0,B27*3.6/1000000/'E Balans VL '!Z9*100)</f>
        <v>9.0277089097520025E-2</v>
      </c>
      <c r="D27" s="233" t="s">
        <v>726</v>
      </c>
      <c r="F27" s="6"/>
    </row>
    <row r="28" spans="1:18">
      <c r="A28" s="168" t="s">
        <v>51</v>
      </c>
      <c r="B28" s="33">
        <f>IF(ISERROR(TER_handel_ele_kWh/1000),0,TER_handel_ele_kWh/1000)</f>
        <v>4507.2679429999998</v>
      </c>
      <c r="C28" s="39">
        <f>IF(ISERROR(B28*3.6/1000000/'E Balans VL '!Z13*100),0,B28*3.6/1000000/'E Balans VL '!Z13*100)</f>
        <v>0.13081912710904861</v>
      </c>
      <c r="D28" s="233" t="s">
        <v>726</v>
      </c>
      <c r="F28" s="6"/>
    </row>
    <row r="29" spans="1:18">
      <c r="A29" s="228" t="s">
        <v>50</v>
      </c>
      <c r="B29" s="33">
        <f>IF(ISERROR(TER_gezond_ele_kWh/1000),0,TER_gezond_ele_kWh/1000)</f>
        <v>3288.9430000000002</v>
      </c>
      <c r="C29" s="39">
        <f>IF(ISERROR(B29*3.6/1000000/'E Balans VL '!Z10*100),0,B29*3.6/1000000/'E Balans VL '!Z10*100)</f>
        <v>0.3463797037696062</v>
      </c>
      <c r="D29" s="233" t="s">
        <v>726</v>
      </c>
      <c r="F29" s="6"/>
    </row>
    <row r="30" spans="1:18">
      <c r="A30" s="228" t="s">
        <v>49</v>
      </c>
      <c r="B30" s="33">
        <f>IF(ISERROR(TER_ander_ele_kWh/1000),0,TER_ander_ele_kWh/1000)</f>
        <v>2382.8729939999998</v>
      </c>
      <c r="C30" s="39">
        <f>IF(ISERROR(B30*3.6/1000000/'E Balans VL '!Z14*100),0,B30*3.6/1000000/'E Balans VL '!Z14*100)</f>
        <v>0.17576122959487978</v>
      </c>
      <c r="D30" s="233" t="s">
        <v>726</v>
      </c>
      <c r="F30" s="6"/>
    </row>
    <row r="31" spans="1:18">
      <c r="A31" s="228" t="s">
        <v>54</v>
      </c>
      <c r="B31" s="33">
        <f>IF(ISERROR(TER_onderwijs_ele_kWh/1000),0,TER_onderwijs_ele_kWh/1000)</f>
        <v>345.78857199999999</v>
      </c>
      <c r="C31" s="39">
        <f>IF(ISERROR(B31*3.6/1000000/'E Balans VL '!Z11*100),0,B31*3.6/1000000/'E Balans VL '!Z11*100)</f>
        <v>8.5875500118227838E-2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6</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54440.117045999999</v>
      </c>
      <c r="C5" s="17">
        <f>IF(ISERROR('Eigen informatie GS &amp; warmtenet'!B59),0,'Eigen informatie GS &amp; warmtenet'!B59)</f>
        <v>0</v>
      </c>
      <c r="D5" s="30">
        <f>SUM(D6:D15)</f>
        <v>33892.725177190005</v>
      </c>
      <c r="E5" s="17">
        <f>SUM(E6:E15)</f>
        <v>7620.96391230259</v>
      </c>
      <c r="F5" s="17">
        <f>SUM(F6:F15)</f>
        <v>21160.017386045194</v>
      </c>
      <c r="G5" s="18"/>
      <c r="H5" s="17"/>
      <c r="I5" s="17"/>
      <c r="J5" s="17">
        <f>SUM(J6:J15)</f>
        <v>1.5678168557666536</v>
      </c>
      <c r="K5" s="17"/>
      <c r="L5" s="17"/>
      <c r="M5" s="17"/>
      <c r="N5" s="17">
        <f>SUM(N6:N15)</f>
        <v>5317.3111598851274</v>
      </c>
      <c r="O5" s="17">
        <f>B43*B44*B45</f>
        <v>0</v>
      </c>
      <c r="P5" s="17">
        <f>B51*B52*B53/1000-B51*B52*B53/1000/B54</f>
        <v>0</v>
      </c>
      <c r="R5" s="32"/>
    </row>
    <row r="6" spans="1:18">
      <c r="A6" s="6" t="s">
        <v>34</v>
      </c>
      <c r="B6" s="37">
        <f>IF( ISERROR(IND_ijzer_ele_kWh/1000),0,IND_ijzer_ele_kWh/1000)</f>
        <v>19736.143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455.98718600000001</v>
      </c>
      <c r="C8" s="33"/>
      <c r="D8" s="37">
        <f>IF( ISERROR(IND_metaal_Gas_kWH/1000),0,IND_metaal_Gas_kWH/1000)*0.902</f>
        <v>322.22058415800001</v>
      </c>
      <c r="E8" s="33">
        <f>C30*'E Balans VL '!I18/100/3.6*1000000</f>
        <v>4.1923617786575766</v>
      </c>
      <c r="F8" s="33">
        <f>C30*'E Balans VL '!L18/100/3.6*1000000+C30*'E Balans VL '!N18/100/3.6*1000000</f>
        <v>42.756416696652195</v>
      </c>
      <c r="G8" s="34"/>
      <c r="H8" s="33"/>
      <c r="I8" s="33"/>
      <c r="J8" s="40">
        <f>C30*'E Balans VL '!D18/100/3.6*1000000+C30*'E Balans VL '!E18/100/3.6*1000000</f>
        <v>0</v>
      </c>
      <c r="K8" s="33"/>
      <c r="L8" s="33"/>
      <c r="M8" s="33"/>
      <c r="N8" s="33">
        <f>C30*'E Balans VL '!Y18/100/3.6*1000000</f>
        <v>6.5054107588476686</v>
      </c>
      <c r="O8" s="33"/>
      <c r="P8" s="33"/>
      <c r="R8" s="32"/>
    </row>
    <row r="9" spans="1:18">
      <c r="A9" s="6" t="s">
        <v>32</v>
      </c>
      <c r="B9" s="37">
        <f t="shared" si="0"/>
        <v>25998.484359999999</v>
      </c>
      <c r="C9" s="33"/>
      <c r="D9" s="37">
        <f>IF( ISERROR(IND_andere_gas_kWh/1000),0,IND_andere_gas_kWh/1000)*0.902</f>
        <v>6094.185591032</v>
      </c>
      <c r="E9" s="33">
        <f>C31*'E Balans VL '!I19/100/3.6*1000000</f>
        <v>7599.8631092207052</v>
      </c>
      <c r="F9" s="33">
        <f>C31*'E Balans VL '!L19/100/3.6*1000000+C31*'E Balans VL '!N19/100/3.6*1000000</f>
        <v>20891.750087703334</v>
      </c>
      <c r="G9" s="34"/>
      <c r="H9" s="33"/>
      <c r="I9" s="33"/>
      <c r="J9" s="40">
        <f>C31*'E Balans VL '!D19/100/3.6*1000000+C31*'E Balans VL '!E19/100/3.6*1000000</f>
        <v>0</v>
      </c>
      <c r="K9" s="33"/>
      <c r="L9" s="33"/>
      <c r="M9" s="33"/>
      <c r="N9" s="33">
        <f>C31*'E Balans VL '!Y19/100/3.6*1000000</f>
        <v>2039.2858028662708</v>
      </c>
      <c r="O9" s="33"/>
      <c r="P9" s="33"/>
      <c r="R9" s="32"/>
    </row>
    <row r="10" spans="1:18">
      <c r="A10" s="6" t="s">
        <v>40</v>
      </c>
      <c r="B10" s="37">
        <f t="shared" si="0"/>
        <v>198.01</v>
      </c>
      <c r="C10" s="33"/>
      <c r="D10" s="37">
        <f>IF( ISERROR(IND_voed_gas_kWh/1000),0,IND_voed_gas_kWh/1000)*0.902</f>
        <v>290.38717400000002</v>
      </c>
      <c r="E10" s="33">
        <f>C32*'E Balans VL '!I20/100/3.6*1000000</f>
        <v>0.41889322518141281</v>
      </c>
      <c r="F10" s="33">
        <f>C32*'E Balans VL '!L20/100/3.6*1000000+C32*'E Balans VL '!N20/100/3.6*1000000</f>
        <v>12.589678061283779</v>
      </c>
      <c r="G10" s="34"/>
      <c r="H10" s="33"/>
      <c r="I10" s="33"/>
      <c r="J10" s="40">
        <f>C32*'E Balans VL '!D20/100/3.6*1000000+C32*'E Balans VL '!E20/100/3.6*1000000</f>
        <v>0</v>
      </c>
      <c r="K10" s="33"/>
      <c r="L10" s="33"/>
      <c r="M10" s="33"/>
      <c r="N10" s="33">
        <f>C32*'E Balans VL '!Y20/100/3.6*1000000</f>
        <v>13.664644010425429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7957.3180000000002</v>
      </c>
      <c r="C13" s="33"/>
      <c r="D13" s="37">
        <f>IF( ISERROR(IND_papier_gas_kWh/1000),0,IND_papier_gas_kWh/1000)*0.902</f>
        <v>16624.397592000001</v>
      </c>
      <c r="E13" s="33">
        <f>C35*'E Balans VL '!I23/100/3.6*1000000</f>
        <v>11.28961441750066</v>
      </c>
      <c r="F13" s="33">
        <f>C35*'E Balans VL '!L23/100/3.6*1000000+C35*'E Balans VL '!N23/100/3.6*1000000</f>
        <v>194.2680538248475</v>
      </c>
      <c r="G13" s="34"/>
      <c r="H13" s="33"/>
      <c r="I13" s="33"/>
      <c r="J13" s="40">
        <f>C35*'E Balans VL '!D23/100/3.6*1000000+C35*'E Balans VL '!E23/100/3.6*1000000</f>
        <v>1.2306739365538906</v>
      </c>
      <c r="K13" s="33"/>
      <c r="L13" s="33"/>
      <c r="M13" s="33"/>
      <c r="N13" s="33">
        <f>C35*'E Balans VL '!Y23/100/3.6*1000000</f>
        <v>3251.2447614266343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94.174499999999995</v>
      </c>
      <c r="C15" s="33"/>
      <c r="D15" s="37">
        <f>IF( ISERROR(IND_rest_gas_kWh/1000),0,IND_rest_gas_kWh/1000)*0.902</f>
        <v>10561.534236</v>
      </c>
      <c r="E15" s="33">
        <f>C37*'E Balans VL '!I15/100/3.6*1000000</f>
        <v>5.1999336605438398</v>
      </c>
      <c r="F15" s="33">
        <f>C37*'E Balans VL '!L15/100/3.6*1000000+C37*'E Balans VL '!N15/100/3.6*1000000</f>
        <v>18.653149759079689</v>
      </c>
      <c r="G15" s="34"/>
      <c r="H15" s="33"/>
      <c r="I15" s="33"/>
      <c r="J15" s="40">
        <f>C37*'E Balans VL '!D15/100/3.6*1000000+C37*'E Balans VL '!E15/100/3.6*1000000</f>
        <v>0.33714291921276301</v>
      </c>
      <c r="K15" s="33"/>
      <c r="L15" s="33"/>
      <c r="M15" s="33"/>
      <c r="N15" s="33">
        <f>C37*'E Balans VL '!Y15/100/3.6*1000000</f>
        <v>6.6105408229493356</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54440.117045999999</v>
      </c>
      <c r="C18" s="21">
        <f>C5+C16</f>
        <v>0</v>
      </c>
      <c r="D18" s="21">
        <f>MAX((D5+D16),0)</f>
        <v>33892.725177190005</v>
      </c>
      <c r="E18" s="21">
        <f>MAX((E5+E16),0)</f>
        <v>7620.96391230259</v>
      </c>
      <c r="F18" s="21">
        <f>MAX((F5+F16),0)</f>
        <v>21160.017386045194</v>
      </c>
      <c r="G18" s="21"/>
      <c r="H18" s="21"/>
      <c r="I18" s="21"/>
      <c r="J18" s="21">
        <f>MAX((J5+J16),0)</f>
        <v>1.5678168557666536</v>
      </c>
      <c r="K18" s="21"/>
      <c r="L18" s="21">
        <f>MAX((L5+L16),0)</f>
        <v>0</v>
      </c>
      <c r="M18" s="21"/>
      <c r="N18" s="21">
        <f>MAX((N5+N16),0)</f>
        <v>5317.3111598851274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0.19098923660341438</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10397.476395216067</v>
      </c>
      <c r="C22" s="23">
        <f ca="1">C18*C20</f>
        <v>0</v>
      </c>
      <c r="D22" s="23">
        <f>D18*D20</f>
        <v>6846.3304857923813</v>
      </c>
      <c r="E22" s="23">
        <f>E18*E20</f>
        <v>1729.9588080926881</v>
      </c>
      <c r="F22" s="23">
        <f>F18*F20</f>
        <v>5649.7246420740676</v>
      </c>
      <c r="G22" s="23"/>
      <c r="H22" s="23"/>
      <c r="I22" s="23"/>
      <c r="J22" s="23">
        <f>J18*J20</f>
        <v>0.5550071669413954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455.98718600000001</v>
      </c>
      <c r="C30" s="39">
        <f>IF(ISERROR(B30*3.6/1000000/'E Balans VL '!Z18*100),0,B30*3.6/1000000/'E Balans VL '!Z18*100)</f>
        <v>2.5841963058238049E-2</v>
      </c>
      <c r="D30" s="233" t="s">
        <v>726</v>
      </c>
    </row>
    <row r="31" spans="1:18">
      <c r="A31" s="6" t="s">
        <v>32</v>
      </c>
      <c r="B31" s="37">
        <f>IF( ISERROR(IND_ander_ele_kWh/1000),0,IND_ander_ele_kWh/1000)</f>
        <v>25998.484359999999</v>
      </c>
      <c r="C31" s="39">
        <f>IF(ISERROR(B31*3.6/1000000/'E Balans VL '!Z19*100),0,B31*3.6/1000000/'E Balans VL '!Z19*100)</f>
        <v>1.179182994764884</v>
      </c>
      <c r="D31" s="233" t="s">
        <v>726</v>
      </c>
    </row>
    <row r="32" spans="1:18">
      <c r="A32" s="168" t="s">
        <v>40</v>
      </c>
      <c r="B32" s="37">
        <f>IF( ISERROR(IND_voed_ele_kWh/1000),0,IND_voed_ele_kWh/1000)</f>
        <v>198.01</v>
      </c>
      <c r="C32" s="39">
        <f>IF(ISERROR(B32*3.6/1000000/'E Balans VL '!Z20*100),0,B32*3.6/1000000/'E Balans VL '!Z20*100)</f>
        <v>6.1253481895018214E-3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7957.3180000000002</v>
      </c>
      <c r="C35" s="39">
        <f>IF(ISERROR(B35*3.6/1000000/'E Balans VL '!Z22*100),0,B35*3.6/1000000/'E Balans VL '!Z22*100)</f>
        <v>1.4312732427376524</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94.174499999999995</v>
      </c>
      <c r="C37" s="39">
        <f>IF(ISERROR(B37*3.6/1000000/'E Balans VL '!Z15*100),0,B37*3.6/1000000/'E Balans VL '!Z15*100)</f>
        <v>7.4644856978556447E-4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5133.0644239999992</v>
      </c>
      <c r="C5" s="17">
        <f>'Eigen informatie GS &amp; warmtenet'!B60</f>
        <v>0</v>
      </c>
      <c r="D5" s="30">
        <f>IF(ISERROR(SUM(LB_lb_gas_kWh,LB_rest_gas_kWh)/1000),0,SUM(LB_lb_gas_kWh,LB_rest_gas_kWh)/1000)*0.902</f>
        <v>3731.1055066120002</v>
      </c>
      <c r="E5" s="17">
        <f>B17*'E Balans VL '!I25/3.6*1000000/100</f>
        <v>150.87644160971089</v>
      </c>
      <c r="F5" s="17">
        <f>B17*('E Balans VL '!L25/3.6*1000000+'E Balans VL '!N25/3.6*1000000)/100</f>
        <v>21384.069014141358</v>
      </c>
      <c r="G5" s="18"/>
      <c r="H5" s="17"/>
      <c r="I5" s="17"/>
      <c r="J5" s="17">
        <f>('E Balans VL '!D25+'E Balans VL '!E25)/3.6*1000000*landbouw!B17/100</f>
        <v>743.67080121726042</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5133.0644239999992</v>
      </c>
      <c r="C8" s="21">
        <f>C5+C6</f>
        <v>0</v>
      </c>
      <c r="D8" s="21">
        <f>MAX((D5+D6),0)</f>
        <v>3731.1055066120002</v>
      </c>
      <c r="E8" s="21">
        <f>MAX((E5+E6),0)</f>
        <v>150.87644160971089</v>
      </c>
      <c r="F8" s="21">
        <f>MAX((F5+F6),0)</f>
        <v>21384.069014141358</v>
      </c>
      <c r="G8" s="21"/>
      <c r="H8" s="21"/>
      <c r="I8" s="21"/>
      <c r="J8" s="21">
        <f>MAX((J5+J6),0)</f>
        <v>743.67080121726042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0.19098923660341438</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980.36005577590481</v>
      </c>
      <c r="C12" s="23">
        <f ca="1">C8*C10</f>
        <v>0</v>
      </c>
      <c r="D12" s="23">
        <f>D8*D10</f>
        <v>753.68331233562412</v>
      </c>
      <c r="E12" s="23">
        <f>E8*E10</f>
        <v>34.248952245404375</v>
      </c>
      <c r="F12" s="23">
        <f>F8*F10</f>
        <v>5709.5464267757425</v>
      </c>
      <c r="G12" s="23"/>
      <c r="H12" s="23"/>
      <c r="I12" s="23"/>
      <c r="J12" s="23">
        <f>J8*J10</f>
        <v>263.25946363091015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0.72839794626409315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370.15973371206303</v>
      </c>
      <c r="C26" s="243">
        <f>B26*'GWP N2O_CH4'!B5</f>
        <v>7773.354407953324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428.32408286785869</v>
      </c>
      <c r="C27" s="243">
        <f>B27*'GWP N2O_CH4'!B5</f>
        <v>8994.8057402250324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6.1342080601709439</v>
      </c>
      <c r="C28" s="243">
        <f>B28*'GWP N2O_CH4'!B4</f>
        <v>1901.6044986529926</v>
      </c>
      <c r="D28" s="50"/>
    </row>
    <row r="29" spans="1:4">
      <c r="A29" s="41" t="s">
        <v>265</v>
      </c>
      <c r="B29" s="243">
        <f>B34*'ha_N2O bodem landbouw'!B4</f>
        <v>17.271140414052855</v>
      </c>
      <c r="C29" s="243">
        <f>B29*'GWP N2O_CH4'!B4</f>
        <v>5354.053528356385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3.9412147234891681E-3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1.1326848887244569E-4</v>
      </c>
      <c r="C5" s="429" t="s">
        <v>204</v>
      </c>
      <c r="D5" s="414">
        <f>SUM(D6:D11)</f>
        <v>2.0497539182295316E-4</v>
      </c>
      <c r="E5" s="414">
        <f>SUM(E6:E11)</f>
        <v>3.5451216553426346E-4</v>
      </c>
      <c r="F5" s="427" t="s">
        <v>204</v>
      </c>
      <c r="G5" s="414">
        <f>SUM(G6:G11)</f>
        <v>0.17602244285856444</v>
      </c>
      <c r="H5" s="414">
        <f>SUM(H6:H11)</f>
        <v>3.2844244951680146E-2</v>
      </c>
      <c r="I5" s="429" t="s">
        <v>204</v>
      </c>
      <c r="J5" s="429" t="s">
        <v>204</v>
      </c>
      <c r="K5" s="429" t="s">
        <v>204</v>
      </c>
      <c r="L5" s="429" t="s">
        <v>204</v>
      </c>
      <c r="M5" s="414">
        <f>SUM(M6:M11)</f>
        <v>1.1251124055296267E-2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7.2950626113941873E-5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1.2264283081449599E-4</v>
      </c>
      <c r="E6" s="857">
        <f>vkm_GW_PW*SUMIFS(TableVerdeelsleutelVkm[LPG],TableVerdeelsleutelVkm[Voertuigtype],"Lichte voertuigen")*SUMIFS(TableECFTransport[EnergieConsumptieFactor (PJ per km)],TableECFTransport[Index],CONCATENATE($A6,"_LPG_LPG"))</f>
        <v>2.1579111147466059E-4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6.4024597983938045E-2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1.9814617614322443E-2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4.3240240153244302E-3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1.5182046908208857E-6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4.87653701938792E-2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7.9563562630937001E-7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2.8491432755846499E-3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3.8194065821169174E-5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8.2332561008457175E-5</v>
      </c>
      <c r="E8" s="417">
        <f>vkm_NGW_PW*SUMIFS(TableVerdeelsleutelVkm[LPG],TableVerdeelsleutelVkm[Voertuigtype],"Lichte voertuigen")*SUMIFS(TableECFTransport[EnergieConsumptieFactor (PJ per km)],TableECFTransport[Index],CONCATENATE($A8,"_LPG_LPG"))</f>
        <v>1.3872105405960289E-4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3.8274429348635834E-2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1.3028448629523464E-2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2.6197701024571474E-3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6.0559224651374846E-7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2.495804533211134E-2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3.830722079277426E-7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1.4581866619300409E-3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31.463469131234913</v>
      </c>
      <c r="C14" s="21"/>
      <c r="D14" s="21">
        <f t="shared" ref="D14:M14" si="0">((D5)*10^9/3600)+D12</f>
        <v>56.937608839709213</v>
      </c>
      <c r="E14" s="21">
        <f t="shared" si="0"/>
        <v>98.475601537295404</v>
      </c>
      <c r="F14" s="21"/>
      <c r="G14" s="21">
        <f t="shared" si="0"/>
        <v>48895.123016267898</v>
      </c>
      <c r="H14" s="21">
        <f t="shared" si="0"/>
        <v>9123.4013754667067</v>
      </c>
      <c r="I14" s="21"/>
      <c r="J14" s="21"/>
      <c r="K14" s="21"/>
      <c r="L14" s="21"/>
      <c r="M14" s="21">
        <f t="shared" si="0"/>
        <v>3125.3122375822963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0.19098923660341438</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6.0091839502696498</v>
      </c>
      <c r="C18" s="23"/>
      <c r="D18" s="23">
        <f t="shared" ref="D18:M18" si="1">D14*D16</f>
        <v>11.501396985621263</v>
      </c>
      <c r="E18" s="23">
        <f t="shared" si="1"/>
        <v>22.353961548966058</v>
      </c>
      <c r="F18" s="23"/>
      <c r="G18" s="23">
        <f t="shared" si="1"/>
        <v>13054.997845343529</v>
      </c>
      <c r="H18" s="23">
        <f t="shared" si="1"/>
        <v>2271.7269424912101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1.9236556186785809E-5</v>
      </c>
      <c r="C50" s="313">
        <f t="shared" ref="C50:P50" si="2">SUM(C51:C52)</f>
        <v>0</v>
      </c>
      <c r="D50" s="313">
        <f t="shared" si="2"/>
        <v>0</v>
      </c>
      <c r="E50" s="313">
        <f t="shared" si="2"/>
        <v>0</v>
      </c>
      <c r="F50" s="313">
        <f t="shared" si="2"/>
        <v>0</v>
      </c>
      <c r="G50" s="313">
        <f t="shared" si="2"/>
        <v>1.8070835136893251E-3</v>
      </c>
      <c r="H50" s="313">
        <f t="shared" si="2"/>
        <v>0</v>
      </c>
      <c r="I50" s="313">
        <f t="shared" si="2"/>
        <v>0</v>
      </c>
      <c r="J50" s="313">
        <f t="shared" si="2"/>
        <v>0</v>
      </c>
      <c r="K50" s="313">
        <f t="shared" si="2"/>
        <v>0</v>
      </c>
      <c r="L50" s="313">
        <f t="shared" si="2"/>
        <v>0</v>
      </c>
      <c r="M50" s="313">
        <f t="shared" si="2"/>
        <v>1.0406451375615812E-4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1.9236556186785809E-5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1.8070835136893251E-3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1.0406451375615812E-4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5.3434878296627248</v>
      </c>
      <c r="C54" s="21">
        <f t="shared" ref="C54:P54" si="3">(C50)*10^9/3600</f>
        <v>0</v>
      </c>
      <c r="D54" s="21">
        <f t="shared" si="3"/>
        <v>0</v>
      </c>
      <c r="E54" s="21">
        <f t="shared" si="3"/>
        <v>0</v>
      </c>
      <c r="F54" s="21">
        <f t="shared" si="3"/>
        <v>0</v>
      </c>
      <c r="G54" s="21">
        <f t="shared" si="3"/>
        <v>501.96764269147923</v>
      </c>
      <c r="H54" s="21">
        <f t="shared" si="3"/>
        <v>0</v>
      </c>
      <c r="I54" s="21">
        <f t="shared" si="3"/>
        <v>0</v>
      </c>
      <c r="J54" s="21">
        <f t="shared" si="3"/>
        <v>0</v>
      </c>
      <c r="K54" s="21">
        <f t="shared" si="3"/>
        <v>0</v>
      </c>
      <c r="L54" s="21">
        <f t="shared" si="3"/>
        <v>0</v>
      </c>
      <c r="M54" s="21">
        <f t="shared" si="3"/>
        <v>28.906809376710591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0.19098923660341438</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1.0205486613869195</v>
      </c>
      <c r="C58" s="23">
        <f t="shared" ref="C58:P58" ca="1" si="4">C54*C56</f>
        <v>0</v>
      </c>
      <c r="D58" s="23">
        <f t="shared" si="4"/>
        <v>0</v>
      </c>
      <c r="E58" s="23">
        <f t="shared" si="4"/>
        <v>0</v>
      </c>
      <c r="F58" s="23">
        <f t="shared" si="4"/>
        <v>0</v>
      </c>
      <c r="G58" s="23">
        <f t="shared" si="4"/>
        <v>134.02536059862496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8195.3075337017399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4869</v>
      </c>
      <c r="C8" s="536">
        <f>B49</f>
        <v>95.294117647058826</v>
      </c>
      <c r="D8" s="1002"/>
      <c r="E8" s="1002">
        <f>E49</f>
        <v>0</v>
      </c>
      <c r="F8" s="1003"/>
      <c r="G8" s="537"/>
      <c r="H8" s="1002">
        <f>I49</f>
        <v>0</v>
      </c>
      <c r="I8" s="1002">
        <f>G49+F49</f>
        <v>0</v>
      </c>
      <c r="J8" s="1002">
        <f>H49+D49+C49</f>
        <v>5632.9411764705883</v>
      </c>
      <c r="K8" s="1002"/>
      <c r="L8" s="1002"/>
      <c r="M8" s="1002"/>
      <c r="N8" s="538"/>
      <c r="O8" s="539">
        <f>C8*$C$12+D8*$D$12+E8*$E$12+F8*$F$12+G8*$G$12+H8*$H$12+I8*$I$12+J8*$J$12</f>
        <v>19.249411764705883</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13064.30753370174</v>
      </c>
      <c r="C10" s="549">
        <f t="shared" ref="C10:L10" si="0">SUM(C8:C9)</f>
        <v>95.294117647058826</v>
      </c>
      <c r="D10" s="549">
        <f t="shared" si="0"/>
        <v>0</v>
      </c>
      <c r="E10" s="549">
        <f t="shared" si="0"/>
        <v>0</v>
      </c>
      <c r="F10" s="549">
        <f t="shared" si="0"/>
        <v>0</v>
      </c>
      <c r="G10" s="549">
        <f t="shared" si="0"/>
        <v>0</v>
      </c>
      <c r="H10" s="549">
        <f t="shared" si="0"/>
        <v>0</v>
      </c>
      <c r="I10" s="549">
        <f t="shared" si="0"/>
        <v>0</v>
      </c>
      <c r="J10" s="549">
        <f t="shared" si="0"/>
        <v>5632.9411764705883</v>
      </c>
      <c r="K10" s="549">
        <f t="shared" si="0"/>
        <v>0</v>
      </c>
      <c r="L10" s="549">
        <f t="shared" si="0"/>
        <v>0</v>
      </c>
      <c r="M10" s="1005"/>
      <c r="N10" s="1005"/>
      <c r="O10" s="550">
        <f>SUM(O4:O9)</f>
        <v>19.249411764705883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6955.7142857142853</v>
      </c>
      <c r="C17" s="561">
        <f>B50</f>
        <v>136.1344537815126</v>
      </c>
      <c r="D17" s="562"/>
      <c r="E17" s="562">
        <f>E50</f>
        <v>0</v>
      </c>
      <c r="F17" s="1008"/>
      <c r="G17" s="563"/>
      <c r="H17" s="561">
        <f>I50</f>
        <v>0</v>
      </c>
      <c r="I17" s="562">
        <f>G50+F50</f>
        <v>0</v>
      </c>
      <c r="J17" s="562">
        <f>H50+D50+C50</f>
        <v>8047.0588235294108</v>
      </c>
      <c r="K17" s="562"/>
      <c r="L17" s="562"/>
      <c r="M17" s="562"/>
      <c r="N17" s="1009"/>
      <c r="O17" s="564">
        <f>C17*$C$22+E17*$E$22+H17*$H$22+I17*$I$22+J17*$J$22+D17*$D$22+F17*$F$22+G17*$G$22+K17*$K$22+L17*$L$22</f>
        <v>27.499159663865548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6955.7142857142853</v>
      </c>
      <c r="C20" s="548">
        <f>SUM(C17:C19)</f>
        <v>136.1344537815126</v>
      </c>
      <c r="D20" s="548">
        <f t="shared" ref="D20:L20" si="1">SUM(D17:D19)</f>
        <v>0</v>
      </c>
      <c r="E20" s="548">
        <f t="shared" si="1"/>
        <v>0</v>
      </c>
      <c r="F20" s="548">
        <f t="shared" si="1"/>
        <v>0</v>
      </c>
      <c r="G20" s="548">
        <f t="shared" si="1"/>
        <v>0</v>
      </c>
      <c r="H20" s="548">
        <f t="shared" si="1"/>
        <v>0</v>
      </c>
      <c r="I20" s="548">
        <f t="shared" si="1"/>
        <v>0</v>
      </c>
      <c r="J20" s="548">
        <f t="shared" si="1"/>
        <v>8047.0588235294108</v>
      </c>
      <c r="K20" s="548">
        <f t="shared" si="1"/>
        <v>0</v>
      </c>
      <c r="L20" s="548">
        <f t="shared" si="1"/>
        <v>0</v>
      </c>
      <c r="M20" s="548"/>
      <c r="N20" s="548"/>
      <c r="O20" s="567">
        <f>SUM(O17:O19)</f>
        <v>27.499159663865548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36006</v>
      </c>
      <c r="C28" s="762">
        <v>8830</v>
      </c>
      <c r="D28" s="619"/>
      <c r="E28" s="618"/>
      <c r="F28" s="618"/>
      <c r="G28" s="618" t="s">
        <v>896</v>
      </c>
      <c r="H28" s="618" t="s">
        <v>897</v>
      </c>
      <c r="I28" s="618"/>
      <c r="J28" s="761"/>
      <c r="K28" s="761"/>
      <c r="L28" s="618" t="s">
        <v>898</v>
      </c>
      <c r="M28" s="618">
        <v>1064</v>
      </c>
      <c r="N28" s="618">
        <v>4788</v>
      </c>
      <c r="O28" s="618">
        <v>6840</v>
      </c>
      <c r="P28" s="618">
        <v>0</v>
      </c>
      <c r="Q28" s="618">
        <v>13680</v>
      </c>
      <c r="R28" s="618">
        <v>0</v>
      </c>
      <c r="S28" s="618">
        <v>0</v>
      </c>
      <c r="T28" s="618">
        <v>0</v>
      </c>
      <c r="U28" s="618">
        <v>0</v>
      </c>
      <c r="V28" s="618">
        <v>0</v>
      </c>
      <c r="W28" s="618">
        <v>0</v>
      </c>
      <c r="X28" s="618">
        <v>1600</v>
      </c>
      <c r="Y28" s="618" t="s">
        <v>49</v>
      </c>
      <c r="Z28" s="620" t="s">
        <v>149</v>
      </c>
    </row>
    <row r="29" spans="1:26" s="572" customFormat="1" ht="63.75" hidden="1">
      <c r="A29" s="571"/>
      <c r="B29" s="762">
        <v>36006</v>
      </c>
      <c r="C29" s="762">
        <v>8830</v>
      </c>
      <c r="D29" s="619"/>
      <c r="E29" s="618"/>
      <c r="F29" s="618"/>
      <c r="G29" s="618" t="s">
        <v>896</v>
      </c>
      <c r="H29" s="618" t="s">
        <v>897</v>
      </c>
      <c r="I29" s="618"/>
      <c r="J29" s="761"/>
      <c r="K29" s="761"/>
      <c r="L29" s="618" t="s">
        <v>898</v>
      </c>
      <c r="M29" s="618">
        <v>18</v>
      </c>
      <c r="N29" s="618">
        <v>81</v>
      </c>
      <c r="O29" s="618">
        <v>115.71428571428572</v>
      </c>
      <c r="P29" s="618">
        <v>231.42857142857144</v>
      </c>
      <c r="Q29" s="618">
        <v>0</v>
      </c>
      <c r="R29" s="618">
        <v>0</v>
      </c>
      <c r="S29" s="618">
        <v>0</v>
      </c>
      <c r="T29" s="618">
        <v>0</v>
      </c>
      <c r="U29" s="618">
        <v>0</v>
      </c>
      <c r="V29" s="618">
        <v>0</v>
      </c>
      <c r="W29" s="618">
        <v>0</v>
      </c>
      <c r="X29" s="618">
        <v>1600</v>
      </c>
      <c r="Y29" s="618" t="s">
        <v>49</v>
      </c>
      <c r="Z29" s="620" t="s">
        <v>149</v>
      </c>
    </row>
    <row r="30" spans="1:26" s="556" customFormat="1" hidden="1">
      <c r="A30" s="574" t="s">
        <v>268</v>
      </c>
      <c r="B30" s="575"/>
      <c r="C30" s="575"/>
      <c r="D30" s="575"/>
      <c r="E30" s="575"/>
      <c r="F30" s="575"/>
      <c r="G30" s="575"/>
      <c r="H30" s="575"/>
      <c r="I30" s="575"/>
      <c r="J30" s="575"/>
      <c r="K30" s="575"/>
      <c r="L30" s="576"/>
      <c r="M30" s="576">
        <f>SUM(M28:M29)</f>
        <v>1082</v>
      </c>
      <c r="N30" s="576">
        <f>SUM(N28:N29)</f>
        <v>4869</v>
      </c>
      <c r="O30" s="576">
        <f>SUM(O28:O29)</f>
        <v>6955.7142857142853</v>
      </c>
      <c r="P30" s="576">
        <f>SUM(P28:P29)</f>
        <v>231.42857142857144</v>
      </c>
      <c r="Q30" s="576">
        <f>SUM(Q28:Q29)</f>
        <v>13680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1082</v>
      </c>
      <c r="N32" s="576">
        <f ca="1">SUMIF($Z$28:AD29,"tertiair",N28:N29)</f>
        <v>4869</v>
      </c>
      <c r="O32" s="576">
        <f ca="1">SUMIF($Z$28:AE29,"tertiair",O28:O29)</f>
        <v>6955.7142857142853</v>
      </c>
      <c r="P32" s="576">
        <f ca="1">SUMIF($Z$28:AF29,"tertiair",P28:P29)</f>
        <v>231.42857142857144</v>
      </c>
      <c r="Q32" s="576">
        <f ca="1">SUMIF($Z$28:AG29,"tertiair",Q28:Q29)</f>
        <v>13680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0.58823529411764697</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95.294117647058826</v>
      </c>
      <c r="C49" s="610">
        <f t="shared" si="2"/>
        <v>5632.9411764705883</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136.1344537815126</v>
      </c>
      <c r="C50" s="613">
        <f t="shared" si="3"/>
        <v>8047.0588235294108</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2021-11-11T12:49:48Z</dcterms:modified>
</cp:coreProperties>
</file>