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EBC0634-2107-45CA-89F0-25DBC750E3A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Q63" i="14" s="1"/>
  <c r="N5" i="13"/>
  <c r="N8" i="13" s="1"/>
  <c r="N12" i="13" s="1"/>
  <c r="O41" i="14" s="1"/>
  <c r="L63" i="14"/>
  <c r="I15" i="48"/>
  <c r="I23" i="48"/>
  <c r="I33" i="48" s="1"/>
  <c r="P15" i="48"/>
  <c r="O8" i="48"/>
  <c r="O26" i="48" s="1"/>
  <c r="P13" i="14"/>
  <c r="P16" i="14" s="1"/>
  <c r="P27" i="14" s="1"/>
  <c r="P33" i="48"/>
  <c r="F24" i="14"/>
  <c r="F26" i="14" s="1"/>
  <c r="E7" i="48"/>
  <c r="E25" i="48" s="1"/>
  <c r="K23" i="48"/>
  <c r="K33" i="48" s="1"/>
  <c r="K15" i="48"/>
  <c r="O23"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O15" i="48" l="1"/>
  <c r="N4" i="48"/>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<sst xmlns="http://schemas.openxmlformats.org/spreadsheetml/2006/main" count="2469" uniqueCount="899">
  <si>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</si>
  <si>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</si>
  <si>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</si>
  <si>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</si>
  <si>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</si>
  <si>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</si>
  <si>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</si>
  <si>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</si>
  <si>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</si>
  <si>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</si>
  <si>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</si>
  <si>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</si>
  <si>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</si>
  <si>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</si>
  <si>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</si>
  <si>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</si>
  <si>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</si>
  <si>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</si>
  <si>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</si>
  <si>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</si>
  <si>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</si>
  <si>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</si>
  <si>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</si>
  <si>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</si>
  <si>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</si>
  <si>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</si>
  <si>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</si>
  <si>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</si>
  <si>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</si>
  <si>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</si>
  <si>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</si>
  <si>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</si>
  <si>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</si>
  <si>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</si>
  <si>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</si>
  <si>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</si>
  <si>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</si>
  <si>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</si>
  <si>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</si>
  <si>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</si>
  <si>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</si>
  <si>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</si>
  <si>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</si>
  <si>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</si>
  <si>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</si>
  <si>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</si>
  <si>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</si>
  <si>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</si>
  <si>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</si>
  <si>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</si>
  <si>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</si>
  <si>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</si>
  <si>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</si>
  <si>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</si>
  <si>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</si>
  <si>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</si>
  <si>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</si>
  <si>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</si>
  <si>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</si>
  <si>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</si>
  <si>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</si>
  <si>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</si>
  <si>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</si>
  <si>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</si>
  <si>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</si>
  <si>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</si>
  <si>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</si>
  <si>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</si>
  <si>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</si>
  <si>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</si>
  <si>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</si>
  <si>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</si>
  <si>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</si>
  <si>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</si>
  <si>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</si>
  <si>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</si>
  <si>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</si>
  <si>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</si>
  <si>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</si>
  <si>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</si>
  <si>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</si>
  <si>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</si>
  <si>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</si>
  <si>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</si>
  <si>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</si>
  <si>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</si>
  <si>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</si>
  <si>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</si>
  <si>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</si>
  <si>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</si>
  <si>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</si>
  <si>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</si>
  <si>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</si>
  <si>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</si>
  <si>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</si>
  <si>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</si>
  <si>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</si>
  <si>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</si>
  <si>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</si>
  <si>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</si>
  <si>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</si>
  <si>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</si>
  <si>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</si>
  <si>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</si>
  <si>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</si>
  <si>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</si>
  <si>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</si>
  <si>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</si>
  <si>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</si>
  <si>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</si>
  <si>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</si>
  <si>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</si>
  <si>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</si>
  <si>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</si>
  <si>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</si>
  <si>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</si>
  <si>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</si>
  <si>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</si>
  <si>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</si>
  <si>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</si>
  <si>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</si>
  <si>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</si>
  <si>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</si>
  <si>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</si>
  <si>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</si>
  <si>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</si>
  <si>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</si>
  <si>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</si>
  <si>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</si>
  <si>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</si>
  <si>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</si>
  <si>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</si>
  <si>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</si>
  <si>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</si>
  <si>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</si>
  <si>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</si>
  <si>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</si>
  <si>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</si>
  <si>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</si>
  <si>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</si>
  <si>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</si>
  <si>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</si>
  <si>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</si>
  <si>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</si>
  <si>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</si>
  <si>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</si>
  <si>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</si>
  <si>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</si>
  <si>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</si>
  <si>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</si>
  <si>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</si>
  <si>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</si>
  <si>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</si>
  <si>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</si>
  <si>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</si>
  <si>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</si>
  <si>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</si>
  <si>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</si>
  <si>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</si>
  <si>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</si>
  <si>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</si>
  <si>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</si>
  <si>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</si>
  <si>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</si>
  <si>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</si>
  <si>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</si>
  <si>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</si>
  <si>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</si>
  <si>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</si>
  <si>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</si>
  <si>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</si>
  <si>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</si>
  <si>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</si>
  <si>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</si>
  <si>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</si>
  <si>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</si>
  <si>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</si>
  <si>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</si>
  <si>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</si>
  <si>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</si>
  <si>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</si>
  <si>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</si>
  <si>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</si>
  <si>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</si>
  <si>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</si>
  <si>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</si>
  <si>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</si>
  <si>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</si>
  <si>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</si>
  <si>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</si>
  <si>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</si>
  <si>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</si>
  <si>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</si>
  <si>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</si>
  <si>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</si>
  <si>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</si>
  <si>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</si>
  <si>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</si>
  <si>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</si>
  <si>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</si>
  <si>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</si>
  <si>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</si>
  <si>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</si>
  <si>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</si>
  <si>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</si>
  <si>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</si>
  <si>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</si>
  <si>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</si>
  <si>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</si>
  <si>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</si>
  <si>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</si>
  <si>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</si>
  <si>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</si>
  <si>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</si>
  <si>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</si>
  <si>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</si>
  <si>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</si>
  <si>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</si>
  <si>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</si>
  <si>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</si>
  <si>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</si>
  <si>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</si>
  <si>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</si>
  <si>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</si>
  <si>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</si>
  <si>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</si>
  <si>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</si>
  <si>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</si>
  <si>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</si>
  <si>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</si>
  <si>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</si>
  <si>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</si>
  <si>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</si>
  <si>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</si>
  <si>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</si>
  <si>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</si>
  <si>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</si>
  <si>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</si>
  <si>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</si>
  <si>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</si>
  <si>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</si>
  <si>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</si>
  <si>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</si>
  <si>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</si>
  <si>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</si>
  <si>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</si>
  <si>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</si>
  <si>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</si>
  <si>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</si>
  <si>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</si>
  <si>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</si>
  <si>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</si>
  <si>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</si>
  <si>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</si>
  <si>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</si>
  <si>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</si>
  <si>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</si>
  <si>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</si>
  <si>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</si>
  <si>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</si>
  <si>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</si>
  <si>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</si>
  <si>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</si>
  <si>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</si>
  <si>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</si>
  <si>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</si>
  <si>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</si>
  <si>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</si>
  <si>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</si>
  <si>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</si>
  <si>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</si>
  <si>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</si>
  <si>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</si>
  <si>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</si>
  <si>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</si>
  <si>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</si>
  <si>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</si>
  <si>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</si>
  <si>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</si>
  <si>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</si>
  <si>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</si>
  <si>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</si>
  <si>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</si>
  <si>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</si>
  <si>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</si>
  <si>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</si>
  <si>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</si>
  <si>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</si>
  <si>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</si>
  <si>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</si>
  <si>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</si>
  <si>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</si>
  <si>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</si>
  <si>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</si>
  <si>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</si>
  <si>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</si>
  <si>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</si>
  <si>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</si>
  <si>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</si>
  <si>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</si>
  <si>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</si>
  <si>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</si>
  <si>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</si>
  <si>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</si>
  <si>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</si>
  <si>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</si>
  <si>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</si>
  <si>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</si>
  <si>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</si>
  <si>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</si>
  <si>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</si>
  <si>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</si>
  <si>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</si>
  <si>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</si>
  <si>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</si>
  <si>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</si>
  <si>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</si>
  <si>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</si>
  <si>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</si>
  <si>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</si>
  <si>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</si>
  <si>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</si>
  <si>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</si>
  <si>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</si>
  <si>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</si>
  <si>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</si>
  <si>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</si>
  <si>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</si>
  <si>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</si>
  <si>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</si>
  <si>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</si>
  <si>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</si>
  <si>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</si>
  <si>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</si>
  <si>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</si>
  <si>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</si>
  <si>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</si>
  <si>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</si>
  <si>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</si>
  <si>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</si>
  <si>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</si>
  <si>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</si>
  <si>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</si>
  <si>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</si>
  <si>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</si>
  <si>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</si>
  <si>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</si>
  <si>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</si>
  <si>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</si>
  <si>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</si>
  <si>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</si>
  <si>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</si>
  <si>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</si>
  <si>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</si>
  <si>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</si>
  <si>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</si>
  <si>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</si>
  <si>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</si>
  <si>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</si>
  <si>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</si>
  <si>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</si>
  <si>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</si>
  <si>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</si>
  <si>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</si>
  <si>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</si>
  <si>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</si>
  <si>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</si>
  <si>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</si>
  <si>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</si>
  <si>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</si>
  <si>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</si>
  <si>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</si>
  <si>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</si>
  <si>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</si>
  <si>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</si>
  <si>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</si>
  <si>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</si>
  <si>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</si>
  <si>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</si>
  <si>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</si>
  <si>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</si>
  <si>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</si>
  <si>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</si>
  <si>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</si>
  <si>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</si>
  <si>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</si>
  <si>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</si>
  <si>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</si>
  <si>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</si>
  <si>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</si>
  <si>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</si>
  <si>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</si>
  <si>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</si>
  <si>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</si>
  <si>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</si>
  <si>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</si>
  <si>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</si>
  <si>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</si>
  <si>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</si>
  <si>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</si>
  <si>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</si>
  <si>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</si>
  <si>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</si>
  <si>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</si>
  <si>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</si>
  <si>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</si>
  <si>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</si>
  <si>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</si>
  <si>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</si>
  <si>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</si>
  <si>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</si>
  <si>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</si>
  <si>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</si>
  <si>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</si>
  <si>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</si>
  <si>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</si>
  <si>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</si>
  <si>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</si>
  <si>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</si>
  <si>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</si>
  <si>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</si>
  <si>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</si>
  <si>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</si>
  <si>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</si>
  <si>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</si>
  <si>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</si>
  <si>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</si>
  <si>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</si>
  <si>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</si>
  <si>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</si>
  <si>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</si>
  <si>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</si>
  <si>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</si>
  <si>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</si>
  <si>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</si>
  <si>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</si>
  <si>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</si>
  <si>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</si>
  <si>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</si>
  <si>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</si>
  <si>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</si>
  <si>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</si>
  <si>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</si>
  <si>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</si>
  <si>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</si>
  <si>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</si>
  <si>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</si>
  <si>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</si>
  <si>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</si>
  <si>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</si>
  <si>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</si>
  <si>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</si>
  <si>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</si>
  <si>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</si>
  <si>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</si>
  <si>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</si>
  <si>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</si>
  <si>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</si>
  <si>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</si>
  <si>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</si>
  <si>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</si>
  <si>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</si>
  <si>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</si>
  <si>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</si>
  <si>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</si>
  <si>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</si>
  <si>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</si>
  <si>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</si>
  <si>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</si>
  <si>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</si>
  <si>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</si>
  <si>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</si>
  <si>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</si>
  <si>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</si>
  <si>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</si>
  <si>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</si>
  <si>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</si>
  <si>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</si>
  <si>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</si>
  <si>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</si>
  <si>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</si>
  <si>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</si>
  <si>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</si>
  <si>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</si>
  <si>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</si>
  <si>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</si>
  <si>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</si>
  <si>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</si>
  <si>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</si>
  <si>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</si>
  <si>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</si>
  <si>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</si>
  <si>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</si>
  <si>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</si>
  <si>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</si>
  <si>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</si>
  <si>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</si>
  <si>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</si>
  <si>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</si>
  <si>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</si>
  <si>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</si>
  <si>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</si>
  <si>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</si>
  <si>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</si>
  <si>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</si>
  <si>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</si>
  <si>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</si>
  <si>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</si>
  <si>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</si>
  <si>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</si>
  <si>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</si>
  <si>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</si>
  <si>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</si>
  <si>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</si>
  <si>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</si>
  <si>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</si>
  <si>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</si>
  <si>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</si>
  <si>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</si>
  <si>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</si>
  <si>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</si>
  <si>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</si>
  <si>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</si>
  <si>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</si>
  <si>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</si>
  <si>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</si>
  <si>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</si>
  <si>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</si>
  <si>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</si>
  <si>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</si>
  <si>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</si>
  <si>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</si>
  <si>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</si>
  <si>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</si>
  <si>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</si>
  <si>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</si>
  <si>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</si>
  <si>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</si>
  <si>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</si>
  <si>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</si>
  <si>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</si>
  <si>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</si>
  <si>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</si>
  <si>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</si>
  <si>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</si>
  <si>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</si>
  <si>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</si>
  <si>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</si>
  <si>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</si>
  <si>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</si>
  <si>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</si>
  <si>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</si>
  <si>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</si>
  <si>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</si>
  <si>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</si>
  <si>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</si>
  <si>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</si>
  <si>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</si>
  <si>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</si>
  <si>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</si>
  <si>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</si>
  <si>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</si>
  <si>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</si>
  <si>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</si>
  <si>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</si>
  <si>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</si>
  <si>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</si>
  <si>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</si>
  <si>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</si>
  <si>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</si>
  <si>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</si>
  <si>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</si>
  <si>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</si>
  <si>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</si>
  <si>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</si>
  <si>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</si>
  <si>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</si>
  <si>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</si>
  <si>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</si>
  <si>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</si>
  <si>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</si>
  <si>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</si>
  <si>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</si>
  <si>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</si>
  <si>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</si>
  <si>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</si>
  <si>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</si>
  <si>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</si>
  <si>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</si>
  <si>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</si>
  <si>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</si>
  <si>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</si>
  <si>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</si>
  <si>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</si>
  <si>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</si>
  <si>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</si>
  <si>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</si>
  <si>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</si>
  <si>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</si>
  <si>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</si>
  <si>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</si>
  <si>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</si>
  <si>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</si>
  <si>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</si>
  <si>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</si>
  <si>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</si>
  <si>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</si>
  <si>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</si>
  <si>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</si>
  <si>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</si>
  <si>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</si>
  <si>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</si>
  <si>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</si>
  <si>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</si>
  <si>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</si>
  <si>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</si>
  <si>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</si>
  <si>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</si>
  <si>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</si>
  <si>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</si>
  <si>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</si>
  <si>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</si>
  <si>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</si>
  <si>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</si>
  <si>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</si>
  <si>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</si>
  <si>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</si>
  <si>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</si>
  <si>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</si>
  <si>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</si>
  <si>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</si>
  <si>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</si>
  <si>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</si>
  <si>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</si>
  <si>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</si>
  <si>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</si>
  <si>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</si>
  <si>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</si>
  <si>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</si>
  <si>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</si>
  <si>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</si>
  <si>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</si>
  <si>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</si>
  <si>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</si>
  <si>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</si>
  <si>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</si>
  <si>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</si>
  <si>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</si>
  <si>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</si>
  <si>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</si>
  <si>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</si>
  <si>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</si>
  <si>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</si>
  <si>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</si>
  <si>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</si>
  <si>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</si>
  <si>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</si>
  <si>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</si>
  <si>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</si>
  <si>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</si>
  <si>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</si>
  <si>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</si>
  <si>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</si>
  <si>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</si>
  <si>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</si>
  <si>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</si>
  <si>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</si>
  <si>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</si>
  <si>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</si>
  <si>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</si>
  <si>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</si>
  <si>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</si>
  <si>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</si>
  <si>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</si>
  <si>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</si>
  <si>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</si>
  <si>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</si>
  <si>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</si>
  <si>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</si>
  <si>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</si>
  <si>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</si>
  <si>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</si>
  <si>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</si>
  <si>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</si>
  <si>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</si>
  <si>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</si>
  <si>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</si>
  <si>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</si>
  <si>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</si>
  <si>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</si>
  <si>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</si>
  <si>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</si>
  <si>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</si>
  <si>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</si>
  <si>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</si>
  <si>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</si>
  <si>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</si>
  <si>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</si>
  <si>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</si>
  <si>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</si>
  <si>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</si>
  <si>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</si>
  <si>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</si>
  <si>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</si>
  <si>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</si>
  <si>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</si>
  <si>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</si>
  <si>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</si>
  <si>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</si>
  <si>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</si>
  <si>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</si>
  <si>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</si>
  <si>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</si>
  <si>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</si>
  <si>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</si>
  <si>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</si>
  <si>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</si>
  <si>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</si>
  <si>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</si>
  <si>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</si>
  <si>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</si>
  <si>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</si>
  <si>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</si>
  <si>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</si>
  <si>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</si>
  <si>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</si>
  <si>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</si>
  <si>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</si>
  <si>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</si>
  <si>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</si>
  <si>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</si>
  <si>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</si>
  <si>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</si>
  <si>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</si>
  <si>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</si>
  <si>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</si>
  <si>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</si>
  <si>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</si>
  <si>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</si>
  <si>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</si>
  <si>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</si>
  <si>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</si>
  <si>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</si>
  <si>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</si>
  <si>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</si>
  <si>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</si>
  <si>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</si>
  <si>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</si>
  <si>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</si>
  <si>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</si>
  <si>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</si>
  <si>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</si>
  <si>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</si>
  <si>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</si>
  <si>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</si>
  <si>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</si>
  <si>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</si>
  <si>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</si>
  <si>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</si>
  <si>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</si>
  <si>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</si>
  <si>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</si>
  <si>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</si>
  <si>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</si>
  <si>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</si>
  <si>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</si>
  <si>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</si>
  <si>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</si>
  <si>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</si>
  <si>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</si>
  <si>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</si>
  <si>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</si>
  <si>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</si>
  <si>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</si>
  <si>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</si>
  <si>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</si>
  <si>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</si>
  <si>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</si>
  <si>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</si>
  <si>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</si>
  <si>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</si>
  <si>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</si>
  <si>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</si>
  <si>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</si>
  <si>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</si>
  <si>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</si>
  <si>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</si>
  <si>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</si>
  <si>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</si>
  <si>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</si>
  <si>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</si>
  <si>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</si>
  <si>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</si>
  <si>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</si>
  <si>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</si>
  <si>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</si>
  <si>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</si>
  <si>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</si>
  <si>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</si>
  <si>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</si>
  <si>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</si>
  <si>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</si>
  <si>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</si>
  <si>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</si>
  <si>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</si>
  <si>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</si>
  <si>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</si>
  <si>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</si>
  <si>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</si>
  <si>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</si>
  <si>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</si>
  <si>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</si>
  <si>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</si>
  <si>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</si>
  <si>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</si>
  <si>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</si>
  <si>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</si>
  <si>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</si>
  <si>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</si>
  <si>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</si>
  <si>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</si>
  <si>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</si>
  <si>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</si>
  <si>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</si>
  <si>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</si>
  <si>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</si>
  <si>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</si>
  <si>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</si>
  <si>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</si>
  <si>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</si>
  <si>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</si>
  <si>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</si>
  <si>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</si>
  <si>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</si>
  <si>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</si>
  <si>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</si>
  <si>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</si>
  <si>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</si>
  <si>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</si>
  <si>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</si>
  <si>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</si>
  <si>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</si>
  <si>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</si>
  <si>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</si>
  <si>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</si>
  <si>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</si>
  <si>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</si>
  <si>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</si>
  <si>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</si>
  <si>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</si>
  <si>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</si>
  <si>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</si>
  <si>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</si>
  <si>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</si>
  <si>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</si>
  <si>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</si>
  <si>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</si>
  <si>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</si>
  <si>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</si>
  <si>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</si>
  <si>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</si>
  <si>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</si>
  <si>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</si>
  <si>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</si>
  <si>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</si>
  <si>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</si>
  <si>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</si>
  <si>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</si>
  <si>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</si>
  <si>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</si>
  <si>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</si>
  <si>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</si>
  <si>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</si>
  <si>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</si>
  <si>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</si>
  <si>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</si>
  <si>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</si>
  <si>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</si>
  <si>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</si>
  <si>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</si>
  <si>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</si>
  <si>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</si>
  <si>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</si>
  <si>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</si>
  <si>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</si>
  <si>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</si>
  <si>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</si>
  <si>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</si>
  <si>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</si>
  <si>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</si>
  <si>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</si>
  <si>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</si>
  <si>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35013</t>
  </si>
  <si>
    <t>OOSTENDE</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</si>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</sst>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35703223-4A01-43B1-9EEE-08746EA2C5A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627768.02202404023</c:v>
                </c:pt>
                <c:pt idx="1">
                  <c:v>378207.28471208172</c:v>
                </c:pt>
                <c:pt idx="2">
                  <c:v>4192.5434621766299</c:v>
                </c:pt>
                <c:pt idx="3">
                  <c:v>3506.1269762390848</c:v>
                </c:pt>
                <c:pt idx="4">
                  <c:v>148452.57414076713</c:v>
                </c:pt>
                <c:pt idx="5">
                  <c:v>225915.06789706938</c:v>
                </c:pt>
                <c:pt idx="6">
                  <c:v>11340.639638082552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627768.02202404023</c:v>
                </c:pt>
                <c:pt idx="1">
                  <c:v>378207.28471208172</c:v>
                </c:pt>
                <c:pt idx="2">
                  <c:v>4192.5434621766299</c:v>
                </c:pt>
                <c:pt idx="3">
                  <c:v>3506.1269762390848</c:v>
                </c:pt>
                <c:pt idx="4">
                  <c:v>148452.57414076713</c:v>
                </c:pt>
                <c:pt idx="5">
                  <c:v>225915.06789706938</c:v>
                </c:pt>
                <c:pt idx="6">
                  <c:v>11340.639638082552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129437.81107274143</c:v>
                </c:pt>
                <c:pt idx="2">
                  <c:v>75476.548668992211</c:v>
                </c:pt>
                <c:pt idx="3">
                  <c:v>898.12453961608855</c:v>
                </c:pt>
                <c:pt idx="4">
                  <c:v>880.12704810718913</c:v>
                </c:pt>
                <c:pt idx="5">
                  <c:v>30926.359546469052</c:v>
                </c:pt>
                <c:pt idx="6">
                  <c:v>56596.677879892013</c:v>
                </c:pt>
                <c:pt idx="7">
                  <c:v>2790.4991459109769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129437.81107274143</c:v>
                </c:pt>
                <c:pt idx="2">
                  <c:v>75476.548668992211</c:v>
                </c:pt>
                <c:pt idx="3">
                  <c:v>898.12453961608855</c:v>
                </c:pt>
                <c:pt idx="4">
                  <c:v>880.12704810718913</c:v>
                </c:pt>
                <c:pt idx="5">
                  <c:v>30926.359546469052</c:v>
                </c:pt>
                <c:pt idx="6">
                  <c:v>56596.677879892013</c:v>
                </c:pt>
                <c:pt idx="7">
                  <c:v>2790.4991459109769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35013</v>
      </c>
      <c r="B6" s="382"/>
      <c r="C6" s="383"/>
    </row>
    <row r="7" spans="1:7" s="380" customFormat="1" ht="15.75" customHeight="1">
      <c r="A7" s="384" t="str">
        <f>txtMunicipality</f>
        <v>OOSTENDE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152448.91921870809</v>
      </c>
      <c r="D10" s="971">
        <f ca="1">tertiair!C16</f>
        <v>321.42857142857144</v>
      </c>
      <c r="E10" s="971">
        <f ca="1">tertiair!D16</f>
        <v>178719.94004291488</v>
      </c>
      <c r="F10" s="971">
        <f>tertiair!E16</f>
        <v>2077.1151451513165</v>
      </c>
      <c r="G10" s="971">
        <f ca="1">tertiair!F16</f>
        <v>26470.508236754104</v>
      </c>
      <c r="H10" s="971">
        <f>tertiair!G16</f>
        <v>0</v>
      </c>
      <c r="I10" s="971">
        <f>tertiair!H16</f>
        <v>0</v>
      </c>
      <c r="J10" s="971">
        <f>tertiair!I16</f>
        <v>0</v>
      </c>
      <c r="K10" s="971">
        <f>tertiair!J16</f>
        <v>0.55811114803347761</v>
      </c>
      <c r="L10" s="971">
        <f>tertiair!K16</f>
        <v>0</v>
      </c>
      <c r="M10" s="971">
        <f ca="1">tertiair!L16</f>
        <v>0</v>
      </c>
      <c r="N10" s="971">
        <f>tertiair!M16</f>
        <v>0</v>
      </c>
      <c r="O10" s="971">
        <f ca="1">tertiair!N16</f>
        <v>22085.045514819951</v>
      </c>
      <c r="P10" s="971">
        <f>tertiair!O16</f>
        <v>9.3800000000000008</v>
      </c>
      <c r="Q10" s="972">
        <f>tertiair!P16</f>
        <v>266.93333333333334</v>
      </c>
      <c r="R10" s="666">
        <f ca="1">SUM(C10:Q10)</f>
        <v>382399.82817425829</v>
      </c>
      <c r="S10" s="67"/>
    </row>
    <row r="11" spans="1:19" s="439" customFormat="1">
      <c r="A11" s="775" t="s">
        <v>213</v>
      </c>
      <c r="B11" s="780"/>
      <c r="C11" s="971">
        <f>huishoudens!B8</f>
        <v>130101.29967086592</v>
      </c>
      <c r="D11" s="971">
        <f>huishoudens!C8</f>
        <v>0</v>
      </c>
      <c r="E11" s="971">
        <f>huishoudens!D8</f>
        <v>256502.46900143768</v>
      </c>
      <c r="F11" s="971">
        <f>huishoudens!E8</f>
        <v>7072.6250657862993</v>
      </c>
      <c r="G11" s="971">
        <f>huishoudens!F8</f>
        <v>179188.61599058876</v>
      </c>
      <c r="H11" s="971">
        <f>huishoudens!G8</f>
        <v>0</v>
      </c>
      <c r="I11" s="971">
        <f>huishoudens!H8</f>
        <v>0</v>
      </c>
      <c r="J11" s="971">
        <f>huishoudens!I8</f>
        <v>0</v>
      </c>
      <c r="K11" s="971">
        <f>huishoudens!J8</f>
        <v>862.23551676039699</v>
      </c>
      <c r="L11" s="971">
        <f>huishoudens!K8</f>
        <v>0</v>
      </c>
      <c r="M11" s="971">
        <f>huishoudens!L8</f>
        <v>0</v>
      </c>
      <c r="N11" s="971">
        <f>huishoudens!M8</f>
        <v>0</v>
      </c>
      <c r="O11" s="971">
        <f>huishoudens!N8</f>
        <v>52103.030111934553</v>
      </c>
      <c r="P11" s="971">
        <f>huishoudens!O8</f>
        <v>431.48</v>
      </c>
      <c r="Q11" s="972">
        <f>huishoudens!P8</f>
        <v>1506.2666666666667</v>
      </c>
      <c r="R11" s="666">
        <f>SUM(C11:Q11)</f>
        <v>627768.02202404023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65328.787829308159</v>
      </c>
      <c r="D13" s="971">
        <f>industrie!C18</f>
        <v>0</v>
      </c>
      <c r="E13" s="971">
        <f>industrie!D18</f>
        <v>59696.89721704556</v>
      </c>
      <c r="F13" s="971">
        <f>industrie!E18</f>
        <v>4174.4730309243569</v>
      </c>
      <c r="G13" s="971">
        <f>industrie!F18</f>
        <v>14603.749987278912</v>
      </c>
      <c r="H13" s="971">
        <f>industrie!G18</f>
        <v>0</v>
      </c>
      <c r="I13" s="971">
        <f>industrie!H18</f>
        <v>0</v>
      </c>
      <c r="J13" s="971">
        <f>industrie!I18</f>
        <v>0</v>
      </c>
      <c r="K13" s="971">
        <f>industrie!J18</f>
        <v>73.671758773098347</v>
      </c>
      <c r="L13" s="971">
        <f>industrie!K18</f>
        <v>0</v>
      </c>
      <c r="M13" s="971">
        <f>industrie!L18</f>
        <v>0</v>
      </c>
      <c r="N13" s="971">
        <f>industrie!M18</f>
        <v>0</v>
      </c>
      <c r="O13" s="971">
        <f>industrie!N18</f>
        <v>4574.9943174370246</v>
      </c>
      <c r="P13" s="971">
        <f>industrie!O18</f>
        <v>0</v>
      </c>
      <c r="Q13" s="972">
        <f>industrie!P18</f>
        <v>0</v>
      </c>
      <c r="R13" s="666">
        <f>SUM(C13:Q13)</f>
        <v>148452.57414076713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347879.00671888213</v>
      </c>
      <c r="D16" s="698">
        <f t="shared" ref="D16:R16" ca="1" si="0">SUM(D9:D15)</f>
        <v>321.42857142857144</v>
      </c>
      <c r="E16" s="698">
        <f t="shared" ca="1" si="0"/>
        <v>494919.30626139813</v>
      </c>
      <c r="F16" s="698">
        <f t="shared" si="0"/>
        <v>13324.213241861973</v>
      </c>
      <c r="G16" s="698">
        <f t="shared" ca="1" si="0"/>
        <v>220262.87421462178</v>
      </c>
      <c r="H16" s="698">
        <f t="shared" si="0"/>
        <v>0</v>
      </c>
      <c r="I16" s="698">
        <f t="shared" si="0"/>
        <v>0</v>
      </c>
      <c r="J16" s="698">
        <f t="shared" si="0"/>
        <v>0</v>
      </c>
      <c r="K16" s="698">
        <f t="shared" si="0"/>
        <v>936.4653866815288</v>
      </c>
      <c r="L16" s="698">
        <f t="shared" si="0"/>
        <v>0</v>
      </c>
      <c r="M16" s="698">
        <f t="shared" ca="1" si="0"/>
        <v>0</v>
      </c>
      <c r="N16" s="698">
        <f t="shared" si="0"/>
        <v>0</v>
      </c>
      <c r="O16" s="698">
        <f t="shared" ca="1" si="0"/>
        <v>78763.069944191535</v>
      </c>
      <c r="P16" s="698">
        <f t="shared" si="0"/>
        <v>440.86</v>
      </c>
      <c r="Q16" s="698">
        <f t="shared" si="0"/>
        <v>1773.2</v>
      </c>
      <c r="R16" s="698">
        <f t="shared" ca="1" si="0"/>
        <v>1158620.4243390656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1897.8018683148794</v>
      </c>
      <c r="D19" s="971">
        <f>transport!C54</f>
        <v>0</v>
      </c>
      <c r="E19" s="971">
        <f>transport!D54</f>
        <v>0</v>
      </c>
      <c r="F19" s="971">
        <f>transport!E54</f>
        <v>0</v>
      </c>
      <c r="G19" s="971">
        <f>transport!F54</f>
        <v>0</v>
      </c>
      <c r="H19" s="971">
        <f>transport!G54</f>
        <v>8928.6628828005832</v>
      </c>
      <c r="I19" s="971">
        <f>transport!H54</f>
        <v>0</v>
      </c>
      <c r="J19" s="971">
        <f>transport!I54</f>
        <v>0</v>
      </c>
      <c r="K19" s="971">
        <f>transport!J54</f>
        <v>0</v>
      </c>
      <c r="L19" s="971">
        <f>transport!K54</f>
        <v>0</v>
      </c>
      <c r="M19" s="971">
        <f>transport!L54</f>
        <v>0</v>
      </c>
      <c r="N19" s="971">
        <f>transport!M54</f>
        <v>514.17488696708949</v>
      </c>
      <c r="O19" s="971">
        <f>transport!N54</f>
        <v>0</v>
      </c>
      <c r="P19" s="971">
        <f>transport!O54</f>
        <v>0</v>
      </c>
      <c r="Q19" s="972">
        <f>transport!P54</f>
        <v>0</v>
      </c>
      <c r="R19" s="666">
        <f>SUM(C19:Q19)</f>
        <v>11340.639638082552</v>
      </c>
      <c r="S19" s="67"/>
    </row>
    <row r="20" spans="1:19" s="439" customFormat="1">
      <c r="A20" s="775" t="s">
        <v>295</v>
      </c>
      <c r="B20" s="780"/>
      <c r="C20" s="971">
        <f>transport!B14</f>
        <v>125.56021562719297</v>
      </c>
      <c r="D20" s="971">
        <f>transport!C14</f>
        <v>0</v>
      </c>
      <c r="E20" s="971">
        <f>transport!D14</f>
        <v>212.6423223746319</v>
      </c>
      <c r="F20" s="971">
        <f>transport!E14</f>
        <v>384.10805421736495</v>
      </c>
      <c r="G20" s="971">
        <f>transport!F14</f>
        <v>0</v>
      </c>
      <c r="H20" s="971">
        <f>transport!G14</f>
        <v>179289.543828308</v>
      </c>
      <c r="I20" s="971">
        <f>transport!H14</f>
        <v>34414.963672415004</v>
      </c>
      <c r="J20" s="971">
        <f>transport!I14</f>
        <v>0</v>
      </c>
      <c r="K20" s="971">
        <f>transport!J14</f>
        <v>0</v>
      </c>
      <c r="L20" s="971">
        <f>transport!K14</f>
        <v>0</v>
      </c>
      <c r="M20" s="971">
        <f>transport!L14</f>
        <v>0</v>
      </c>
      <c r="N20" s="971">
        <f>transport!M14</f>
        <v>11488.249804127219</v>
      </c>
      <c r="O20" s="971">
        <f>transport!N14</f>
        <v>0</v>
      </c>
      <c r="P20" s="971">
        <f>transport!O14</f>
        <v>0</v>
      </c>
      <c r="Q20" s="972">
        <f>transport!P14</f>
        <v>0</v>
      </c>
      <c r="R20" s="666">
        <f>SUM(C20:Q20)</f>
        <v>225915.06789706938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2023.3620839420723</v>
      </c>
      <c r="D22" s="778">
        <f t="shared" ref="D22:R22" si="1">SUM(D18:D21)</f>
        <v>0</v>
      </c>
      <c r="E22" s="778">
        <f t="shared" si="1"/>
        <v>212.6423223746319</v>
      </c>
      <c r="F22" s="778">
        <f t="shared" si="1"/>
        <v>384.10805421736495</v>
      </c>
      <c r="G22" s="778">
        <f t="shared" si="1"/>
        <v>0</v>
      </c>
      <c r="H22" s="778">
        <f t="shared" si="1"/>
        <v>188218.20671110859</v>
      </c>
      <c r="I22" s="778">
        <f t="shared" si="1"/>
        <v>34414.963672415004</v>
      </c>
      <c r="J22" s="778">
        <f t="shared" si="1"/>
        <v>0</v>
      </c>
      <c r="K22" s="778">
        <f t="shared" si="1"/>
        <v>0</v>
      </c>
      <c r="L22" s="778">
        <f t="shared" si="1"/>
        <v>0</v>
      </c>
      <c r="M22" s="778">
        <f t="shared" si="1"/>
        <v>0</v>
      </c>
      <c r="N22" s="778">
        <f t="shared" si="1"/>
        <v>12002.424691094309</v>
      </c>
      <c r="O22" s="778">
        <f t="shared" si="1"/>
        <v>0</v>
      </c>
      <c r="P22" s="778">
        <f t="shared" si="1"/>
        <v>0</v>
      </c>
      <c r="Q22" s="778">
        <f t="shared" si="1"/>
        <v>0</v>
      </c>
      <c r="R22" s="778">
        <f t="shared" si="1"/>
        <v>237255.70753515195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562.16667084125504</v>
      </c>
      <c r="D24" s="971">
        <f>+landbouw!C8</f>
        <v>0</v>
      </c>
      <c r="E24" s="971">
        <f>+landbouw!D8</f>
        <v>504.03465911691973</v>
      </c>
      <c r="F24" s="971">
        <f>+landbouw!E8</f>
        <v>16.523795511222318</v>
      </c>
      <c r="G24" s="971">
        <f>+landbouw!F8</f>
        <v>2341.9559728322406</v>
      </c>
      <c r="H24" s="971">
        <f>+landbouw!G8</f>
        <v>0</v>
      </c>
      <c r="I24" s="971">
        <f>+landbouw!H8</f>
        <v>0</v>
      </c>
      <c r="J24" s="971">
        <f>+landbouw!I8</f>
        <v>0</v>
      </c>
      <c r="K24" s="971">
        <f>+landbouw!J8</f>
        <v>81.445877937447065</v>
      </c>
      <c r="L24" s="971">
        <f>+landbouw!K8</f>
        <v>0</v>
      </c>
      <c r="M24" s="971">
        <f>+landbouw!L8</f>
        <v>0</v>
      </c>
      <c r="N24" s="971">
        <f>+landbouw!M8</f>
        <v>0</v>
      </c>
      <c r="O24" s="971">
        <f>+landbouw!N8</f>
        <v>0</v>
      </c>
      <c r="P24" s="971">
        <f>+landbouw!O8</f>
        <v>0</v>
      </c>
      <c r="Q24" s="972">
        <f>+landbouw!P8</f>
        <v>0</v>
      </c>
      <c r="R24" s="666">
        <f>SUM(C24:Q24)</f>
        <v>3506.1269762390848</v>
      </c>
      <c r="S24" s="67"/>
    </row>
    <row r="25" spans="1:19" s="439" customFormat="1" ht="15" thickBot="1">
      <c r="A25" s="797" t="s">
        <v>802</v>
      </c>
      <c r="B25" s="974"/>
      <c r="C25" s="975">
        <f>IF(Onbekend_ele_kWh="---",0,Onbekend_ele_kWh)/1000+IF(REST_rest_ele_kWh="---",0,REST_rest_ele_kWh)/1000</f>
        <v>14593.8863470122</v>
      </c>
      <c r="D25" s="975"/>
      <c r="E25" s="975">
        <f>IF(onbekend_gas_kWh="---",0,onbekend_gas_kWh)/1000+IF(REST_rest_gas_kWh="---",0,REST_rest_gas_kWh)/1000</f>
        <v>37954.641455913697</v>
      </c>
      <c r="F25" s="975"/>
      <c r="G25" s="975"/>
      <c r="H25" s="975"/>
      <c r="I25" s="975"/>
      <c r="J25" s="975"/>
      <c r="K25" s="975"/>
      <c r="L25" s="975"/>
      <c r="M25" s="975"/>
      <c r="N25" s="975"/>
      <c r="O25" s="975"/>
      <c r="P25" s="975"/>
      <c r="Q25" s="976"/>
      <c r="R25" s="666">
        <f>SUM(C25:Q25)</f>
        <v>52548.527802925899</v>
      </c>
      <c r="S25" s="67"/>
    </row>
    <row r="26" spans="1:19" s="439" customFormat="1" ht="15.75" thickBot="1">
      <c r="A26" s="671" t="s">
        <v>803</v>
      </c>
      <c r="B26" s="783"/>
      <c r="C26" s="778">
        <f>SUM(C24:C25)</f>
        <v>15156.053017853455</v>
      </c>
      <c r="D26" s="778">
        <f t="shared" ref="D26:R26" si="2">SUM(D24:D25)</f>
        <v>0</v>
      </c>
      <c r="E26" s="778">
        <f t="shared" si="2"/>
        <v>38458.676115030619</v>
      </c>
      <c r="F26" s="778">
        <f t="shared" si="2"/>
        <v>16.523795511222318</v>
      </c>
      <c r="G26" s="778">
        <f t="shared" si="2"/>
        <v>2341.9559728322406</v>
      </c>
      <c r="H26" s="778">
        <f t="shared" si="2"/>
        <v>0</v>
      </c>
      <c r="I26" s="778">
        <f t="shared" si="2"/>
        <v>0</v>
      </c>
      <c r="J26" s="778">
        <f t="shared" si="2"/>
        <v>0</v>
      </c>
      <c r="K26" s="778">
        <f t="shared" si="2"/>
        <v>81.445877937447065</v>
      </c>
      <c r="L26" s="778">
        <f t="shared" si="2"/>
        <v>0</v>
      </c>
      <c r="M26" s="778">
        <f t="shared" si="2"/>
        <v>0</v>
      </c>
      <c r="N26" s="778">
        <f t="shared" si="2"/>
        <v>0</v>
      </c>
      <c r="O26" s="778">
        <f t="shared" si="2"/>
        <v>0</v>
      </c>
      <c r="P26" s="778">
        <f t="shared" si="2"/>
        <v>0</v>
      </c>
      <c r="Q26" s="778">
        <f t="shared" si="2"/>
        <v>0</v>
      </c>
      <c r="R26" s="778">
        <f t="shared" si="2"/>
        <v>56054.654779164986</v>
      </c>
      <c r="S26" s="67"/>
    </row>
    <row r="27" spans="1:19" s="439" customFormat="1" ht="17.25" thickTop="1" thickBot="1">
      <c r="A27" s="672" t="s">
        <v>109</v>
      </c>
      <c r="B27" s="771"/>
      <c r="C27" s="673">
        <f ca="1">C22+C16+C26</f>
        <v>365058.42182067764</v>
      </c>
      <c r="D27" s="673">
        <f t="shared" ref="D27:R27" ca="1" si="3">D22+D16+D26</f>
        <v>321.42857142857144</v>
      </c>
      <c r="E27" s="673">
        <f t="shared" ca="1" si="3"/>
        <v>533590.62469880341</v>
      </c>
      <c r="F27" s="673">
        <f t="shared" si="3"/>
        <v>13724.845091590561</v>
      </c>
      <c r="G27" s="673">
        <f t="shared" ca="1" si="3"/>
        <v>222604.83018745403</v>
      </c>
      <c r="H27" s="673">
        <f t="shared" si="3"/>
        <v>188218.20671110859</v>
      </c>
      <c r="I27" s="673">
        <f t="shared" si="3"/>
        <v>34414.963672415004</v>
      </c>
      <c r="J27" s="673">
        <f t="shared" si="3"/>
        <v>0</v>
      </c>
      <c r="K27" s="673">
        <f t="shared" si="3"/>
        <v>1017.9112646189759</v>
      </c>
      <c r="L27" s="673">
        <f t="shared" si="3"/>
        <v>0</v>
      </c>
      <c r="M27" s="673">
        <f t="shared" ca="1" si="3"/>
        <v>0</v>
      </c>
      <c r="N27" s="673">
        <f t="shared" si="3"/>
        <v>12002.424691094309</v>
      </c>
      <c r="O27" s="673">
        <f t="shared" ca="1" si="3"/>
        <v>78763.069944191535</v>
      </c>
      <c r="P27" s="673">
        <f t="shared" si="3"/>
        <v>440.86</v>
      </c>
      <c r="Q27" s="673">
        <f t="shared" si="3"/>
        <v>1773.2</v>
      </c>
      <c r="R27" s="673">
        <f t="shared" ca="1" si="3"/>
        <v>1451930.7866533825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32657.530356808544</v>
      </c>
      <c r="D40" s="971">
        <f ca="1">tertiair!C20</f>
        <v>76.386554621848759</v>
      </c>
      <c r="E40" s="971">
        <f ca="1">tertiair!D20</f>
        <v>36101.427888668812</v>
      </c>
      <c r="F40" s="971">
        <f>tertiair!E20</f>
        <v>471.50513794934886</v>
      </c>
      <c r="G40" s="971">
        <f ca="1">tertiair!F20</f>
        <v>7067.6256992133458</v>
      </c>
      <c r="H40" s="971">
        <f>tertiair!G20</f>
        <v>0</v>
      </c>
      <c r="I40" s="971">
        <f>tertiair!H20</f>
        <v>0</v>
      </c>
      <c r="J40" s="971">
        <f>tertiair!I20</f>
        <v>0</v>
      </c>
      <c r="K40" s="971">
        <f>tertiair!J20</f>
        <v>0.19757134640385107</v>
      </c>
      <c r="L40" s="971">
        <f>tertiair!K20</f>
        <v>0</v>
      </c>
      <c r="M40" s="971">
        <f ca="1">tertiair!L20</f>
        <v>0</v>
      </c>
      <c r="N40" s="971">
        <f>tertiair!M20</f>
        <v>0</v>
      </c>
      <c r="O40" s="971">
        <f ca="1">tertiair!N20</f>
        <v>0</v>
      </c>
      <c r="P40" s="971">
        <f>tertiair!O20</f>
        <v>0</v>
      </c>
      <c r="Q40" s="740">
        <f>tertiair!P20</f>
        <v>0</v>
      </c>
      <c r="R40" s="816">
        <f t="shared" ca="1" si="4"/>
        <v>76374.673208608307</v>
      </c>
    </row>
    <row r="41" spans="1:18">
      <c r="A41" s="788" t="s">
        <v>213</v>
      </c>
      <c r="B41" s="795"/>
      <c r="C41" s="971">
        <f ca="1">huishoudens!B12</f>
        <v>27870.234602097134</v>
      </c>
      <c r="D41" s="971">
        <f ca="1">huishoudens!C12</f>
        <v>0</v>
      </c>
      <c r="E41" s="971">
        <f>huishoudens!D12</f>
        <v>51813.498738290415</v>
      </c>
      <c r="F41" s="971">
        <f>huishoudens!E12</f>
        <v>1605.4858899334899</v>
      </c>
      <c r="G41" s="971">
        <f>huishoudens!F12</f>
        <v>47843.360469487205</v>
      </c>
      <c r="H41" s="971">
        <f>huishoudens!G12</f>
        <v>0</v>
      </c>
      <c r="I41" s="971">
        <f>huishoudens!H12</f>
        <v>0</v>
      </c>
      <c r="J41" s="971">
        <f>huishoudens!I12</f>
        <v>0</v>
      </c>
      <c r="K41" s="971">
        <f>huishoudens!J12</f>
        <v>305.23137293318052</v>
      </c>
      <c r="L41" s="971">
        <f>huishoudens!K12</f>
        <v>0</v>
      </c>
      <c r="M41" s="971">
        <f>huishoudens!L12</f>
        <v>0</v>
      </c>
      <c r="N41" s="971">
        <f>huishoudens!M12</f>
        <v>0</v>
      </c>
      <c r="O41" s="971">
        <f>huishoudens!N12</f>
        <v>0</v>
      </c>
      <c r="P41" s="971">
        <f>huishoudens!O12</f>
        <v>0</v>
      </c>
      <c r="Q41" s="740">
        <f>huishoudens!P12</f>
        <v>0</v>
      </c>
      <c r="R41" s="816">
        <f t="shared" ca="1" si="4"/>
        <v>129437.81107274143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13994.699881396873</v>
      </c>
      <c r="D43" s="971">
        <f ca="1">industrie!C22</f>
        <v>0</v>
      </c>
      <c r="E43" s="971">
        <f>industrie!D22</f>
        <v>12058.773237843205</v>
      </c>
      <c r="F43" s="971">
        <f>industrie!E22</f>
        <v>947.605378019829</v>
      </c>
      <c r="G43" s="971">
        <f>industrie!F22</f>
        <v>3899.2012466034698</v>
      </c>
      <c r="H43" s="971">
        <f>industrie!G22</f>
        <v>0</v>
      </c>
      <c r="I43" s="971">
        <f>industrie!H22</f>
        <v>0</v>
      </c>
      <c r="J43" s="971">
        <f>industrie!I22</f>
        <v>0</v>
      </c>
      <c r="K43" s="971">
        <f>industrie!J22</f>
        <v>26.079802605676814</v>
      </c>
      <c r="L43" s="971">
        <f>industrie!K22</f>
        <v>0</v>
      </c>
      <c r="M43" s="971">
        <f>industrie!L22</f>
        <v>0</v>
      </c>
      <c r="N43" s="971">
        <f>industrie!M22</f>
        <v>0</v>
      </c>
      <c r="O43" s="971">
        <f>industrie!N22</f>
        <v>0</v>
      </c>
      <c r="P43" s="971">
        <f>industrie!O22</f>
        <v>0</v>
      </c>
      <c r="Q43" s="740">
        <f>industrie!P22</f>
        <v>0</v>
      </c>
      <c r="R43" s="815">
        <f t="shared" ca="1" si="4"/>
        <v>30926.359546469052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74522.464840302549</v>
      </c>
      <c r="D46" s="698">
        <f t="shared" ref="D46:Q46" ca="1" si="5">SUM(D39:D45)</f>
        <v>76.386554621848759</v>
      </c>
      <c r="E46" s="698">
        <f t="shared" ca="1" si="5"/>
        <v>99973.699864802446</v>
      </c>
      <c r="F46" s="698">
        <f t="shared" si="5"/>
        <v>3024.5964059026678</v>
      </c>
      <c r="G46" s="698">
        <f t="shared" ca="1" si="5"/>
        <v>58810.187415304019</v>
      </c>
      <c r="H46" s="698">
        <f t="shared" si="5"/>
        <v>0</v>
      </c>
      <c r="I46" s="698">
        <f t="shared" si="5"/>
        <v>0</v>
      </c>
      <c r="J46" s="698">
        <f t="shared" si="5"/>
        <v>0</v>
      </c>
      <c r="K46" s="698">
        <f t="shared" si="5"/>
        <v>331.50874688526119</v>
      </c>
      <c r="L46" s="698">
        <f t="shared" si="5"/>
        <v>0</v>
      </c>
      <c r="M46" s="698">
        <f t="shared" ca="1" si="5"/>
        <v>0</v>
      </c>
      <c r="N46" s="698">
        <f t="shared" si="5"/>
        <v>0</v>
      </c>
      <c r="O46" s="698">
        <f t="shared" ca="1" si="5"/>
        <v>0</v>
      </c>
      <c r="P46" s="698">
        <f t="shared" si="5"/>
        <v>0</v>
      </c>
      <c r="Q46" s="698">
        <f t="shared" si="5"/>
        <v>0</v>
      </c>
      <c r="R46" s="698">
        <f ca="1">SUM(R39:R45)</f>
        <v>236738.84382781881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406.54615620322113</v>
      </c>
      <c r="D49" s="971">
        <f ca="1">transport!C58</f>
        <v>0</v>
      </c>
      <c r="E49" s="971">
        <f>transport!D58</f>
        <v>0</v>
      </c>
      <c r="F49" s="971">
        <f>transport!E58</f>
        <v>0</v>
      </c>
      <c r="G49" s="971">
        <f>transport!F58</f>
        <v>0</v>
      </c>
      <c r="H49" s="971">
        <f>transport!G58</f>
        <v>2383.9529897077559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2790.4991459109769</v>
      </c>
    </row>
    <row r="50" spans="1:18">
      <c r="A50" s="791" t="s">
        <v>295</v>
      </c>
      <c r="B50" s="801"/>
      <c r="C50" s="669">
        <f ca="1">transport!B18</f>
        <v>26.897445875426587</v>
      </c>
      <c r="D50" s="669">
        <f>transport!C18</f>
        <v>0</v>
      </c>
      <c r="E50" s="669">
        <f>transport!D18</f>
        <v>42.953749119675649</v>
      </c>
      <c r="F50" s="669">
        <f>transport!E18</f>
        <v>87.192528307341846</v>
      </c>
      <c r="G50" s="669">
        <f>transport!F18</f>
        <v>0</v>
      </c>
      <c r="H50" s="669">
        <f>transport!G18</f>
        <v>47870.308202158238</v>
      </c>
      <c r="I50" s="669">
        <f>transport!H18</f>
        <v>8569.3259544313369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56596.677879892013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433.4436020786477</v>
      </c>
      <c r="D52" s="698">
        <f t="shared" ref="D52:Q52" ca="1" si="6">SUM(D48:D51)</f>
        <v>0</v>
      </c>
      <c r="E52" s="698">
        <f t="shared" si="6"/>
        <v>42.953749119675649</v>
      </c>
      <c r="F52" s="698">
        <f t="shared" si="6"/>
        <v>87.192528307341846</v>
      </c>
      <c r="G52" s="698">
        <f t="shared" si="6"/>
        <v>0</v>
      </c>
      <c r="H52" s="698">
        <f t="shared" si="6"/>
        <v>50254.261191865997</v>
      </c>
      <c r="I52" s="698">
        <f t="shared" si="6"/>
        <v>8569.3259544313369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59387.177025802986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120.42705984845921</v>
      </c>
      <c r="D54" s="669">
        <f ca="1">+landbouw!C12</f>
        <v>0</v>
      </c>
      <c r="E54" s="669">
        <f>+landbouw!D12</f>
        <v>101.81500114161778</v>
      </c>
      <c r="F54" s="669">
        <f>+landbouw!E12</f>
        <v>3.7509015810474664</v>
      </c>
      <c r="G54" s="669">
        <f>+landbouw!F12</f>
        <v>625.30224474620832</v>
      </c>
      <c r="H54" s="669">
        <f>+landbouw!G12</f>
        <v>0</v>
      </c>
      <c r="I54" s="669">
        <f>+landbouw!H12</f>
        <v>0</v>
      </c>
      <c r="J54" s="669">
        <f>+landbouw!I12</f>
        <v>0</v>
      </c>
      <c r="K54" s="669">
        <f>+landbouw!J12</f>
        <v>28.831840789856258</v>
      </c>
      <c r="L54" s="669">
        <f>+landbouw!K12</f>
        <v>0</v>
      </c>
      <c r="M54" s="669">
        <f>+landbouw!L12</f>
        <v>0</v>
      </c>
      <c r="N54" s="669">
        <f>+landbouw!M12</f>
        <v>0</v>
      </c>
      <c r="O54" s="669">
        <f>+landbouw!N12</f>
        <v>0</v>
      </c>
      <c r="P54" s="669">
        <f>+landbouw!O12</f>
        <v>0</v>
      </c>
      <c r="Q54" s="670">
        <f>+landbouw!P12</f>
        <v>0</v>
      </c>
      <c r="R54" s="697">
        <f ca="1">SUM(C54:Q54)</f>
        <v>880.12704810718913</v>
      </c>
    </row>
    <row r="55" spans="1:18" ht="15" thickBot="1">
      <c r="A55" s="791" t="s">
        <v>802</v>
      </c>
      <c r="B55" s="801"/>
      <c r="C55" s="669">
        <f ca="1">C25*'EF ele_warmte'!B12</f>
        <v>3126.2949507540861</v>
      </c>
      <c r="D55" s="669"/>
      <c r="E55" s="669">
        <f>E25*EF_CO2_aardgas</f>
        <v>7666.8375740945676</v>
      </c>
      <c r="F55" s="669"/>
      <c r="G55" s="669"/>
      <c r="H55" s="669"/>
      <c r="I55" s="669"/>
      <c r="J55" s="669"/>
      <c r="K55" s="669"/>
      <c r="L55" s="669"/>
      <c r="M55" s="669"/>
      <c r="N55" s="669"/>
      <c r="O55" s="669"/>
      <c r="P55" s="669"/>
      <c r="Q55" s="670"/>
      <c r="R55" s="697">
        <f ca="1">SUM(C55:Q55)</f>
        <v>10793.132524848654</v>
      </c>
    </row>
    <row r="56" spans="1:18" ht="15.75" thickBot="1">
      <c r="A56" s="789" t="s">
        <v>803</v>
      </c>
      <c r="B56" s="802"/>
      <c r="C56" s="698">
        <f ca="1">SUM(C54:C55)</f>
        <v>3246.7220106025452</v>
      </c>
      <c r="D56" s="698">
        <f t="shared" ref="D56:Q56" ca="1" si="7">SUM(D54:D55)</f>
        <v>0</v>
      </c>
      <c r="E56" s="698">
        <f t="shared" si="7"/>
        <v>7768.6525752361849</v>
      </c>
      <c r="F56" s="698">
        <f t="shared" si="7"/>
        <v>3.7509015810474664</v>
      </c>
      <c r="G56" s="698">
        <f t="shared" si="7"/>
        <v>625.30224474620832</v>
      </c>
      <c r="H56" s="698">
        <f t="shared" si="7"/>
        <v>0</v>
      </c>
      <c r="I56" s="698">
        <f t="shared" si="7"/>
        <v>0</v>
      </c>
      <c r="J56" s="698">
        <f t="shared" si="7"/>
        <v>0</v>
      </c>
      <c r="K56" s="698">
        <f t="shared" si="7"/>
        <v>28.831840789856258</v>
      </c>
      <c r="L56" s="698">
        <f t="shared" si="7"/>
        <v>0</v>
      </c>
      <c r="M56" s="698">
        <f t="shared" si="7"/>
        <v>0</v>
      </c>
      <c r="N56" s="698">
        <f t="shared" si="7"/>
        <v>0</v>
      </c>
      <c r="O56" s="698">
        <f t="shared" si="7"/>
        <v>0</v>
      </c>
      <c r="P56" s="698">
        <f t="shared" si="7"/>
        <v>0</v>
      </c>
      <c r="Q56" s="699">
        <f t="shared" si="7"/>
        <v>0</v>
      </c>
      <c r="R56" s="700">
        <f ca="1">SUM(R54:R55)</f>
        <v>11673.259572955843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78202.630452983751</v>
      </c>
      <c r="D61" s="706">
        <f t="shared" ref="D61:Q61" ca="1" si="8">D46+D52+D56</f>
        <v>76.386554621848759</v>
      </c>
      <c r="E61" s="706">
        <f t="shared" ca="1" si="8"/>
        <v>107785.30618915832</v>
      </c>
      <c r="F61" s="706">
        <f t="shared" si="8"/>
        <v>3115.5398357910572</v>
      </c>
      <c r="G61" s="706">
        <f t="shared" ca="1" si="8"/>
        <v>59435.489660050225</v>
      </c>
      <c r="H61" s="706">
        <f t="shared" si="8"/>
        <v>50254.261191865997</v>
      </c>
      <c r="I61" s="706">
        <f t="shared" si="8"/>
        <v>8569.3259544313369</v>
      </c>
      <c r="J61" s="706">
        <f t="shared" si="8"/>
        <v>0</v>
      </c>
      <c r="K61" s="706">
        <f t="shared" si="8"/>
        <v>360.34058767511743</v>
      </c>
      <c r="L61" s="706">
        <f t="shared" si="8"/>
        <v>0</v>
      </c>
      <c r="M61" s="706">
        <f t="shared" ca="1" si="8"/>
        <v>0</v>
      </c>
      <c r="N61" s="706">
        <f t="shared" si="8"/>
        <v>0</v>
      </c>
      <c r="O61" s="706">
        <f t="shared" ca="1" si="8"/>
        <v>0</v>
      </c>
      <c r="P61" s="706">
        <f t="shared" si="8"/>
        <v>0</v>
      </c>
      <c r="Q61" s="706">
        <f t="shared" si="8"/>
        <v>0</v>
      </c>
      <c r="R61" s="706">
        <f ca="1">R46+R52+R56</f>
        <v>307799.28042657761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0.21421949413729208</v>
      </c>
      <c r="D63" s="747">
        <f t="shared" ca="1" si="9"/>
        <v>0.23764705882352946</v>
      </c>
      <c r="E63" s="982">
        <f t="shared" ca="1" si="9"/>
        <v>0.20200000000000007</v>
      </c>
      <c r="F63" s="747">
        <f t="shared" si="9"/>
        <v>0.22699999999999998</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11217.313835390605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225</v>
      </c>
      <c r="D76" s="992">
        <f>'lokale energieproductie'!C8</f>
        <v>264.70588235294116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53.470588235294116</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11217.313835390605</v>
      </c>
      <c r="C78" s="721">
        <f>SUM(C72:C77)</f>
        <v>225</v>
      </c>
      <c r="D78" s="722">
        <f t="shared" ref="D78:H78" si="10">SUM(D76:D77)</f>
        <v>264.70588235294116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53.470588235294116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321.42857142857144</v>
      </c>
      <c r="D87" s="743">
        <f>'lokale energieproductie'!C17</f>
        <v>378.15126050420173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76.386554621848759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321.42857142857144</v>
      </c>
      <c r="D90" s="721">
        <f t="shared" ref="D90:H90" si="12">SUM(D87:D89)</f>
        <v>378.15126050420173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76.386554621848759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130101.29967086592</v>
      </c>
      <c r="C4" s="443">
        <f>huishoudens!C8</f>
        <v>0</v>
      </c>
      <c r="D4" s="443">
        <f>huishoudens!D8</f>
        <v>256502.46900143768</v>
      </c>
      <c r="E4" s="443">
        <f>huishoudens!E8</f>
        <v>7072.6250657862993</v>
      </c>
      <c r="F4" s="443">
        <f>huishoudens!F8</f>
        <v>179188.61599058876</v>
      </c>
      <c r="G4" s="443">
        <f>huishoudens!G8</f>
        <v>0</v>
      </c>
      <c r="H4" s="443">
        <f>huishoudens!H8</f>
        <v>0</v>
      </c>
      <c r="I4" s="443">
        <f>huishoudens!I8</f>
        <v>0</v>
      </c>
      <c r="J4" s="443">
        <f>huishoudens!J8</f>
        <v>862.23551676039699</v>
      </c>
      <c r="K4" s="443">
        <f>huishoudens!K8</f>
        <v>0</v>
      </c>
      <c r="L4" s="443">
        <f>huishoudens!L8</f>
        <v>0</v>
      </c>
      <c r="M4" s="443">
        <f>huishoudens!M8</f>
        <v>0</v>
      </c>
      <c r="N4" s="443">
        <f>huishoudens!N8</f>
        <v>52103.030111934553</v>
      </c>
      <c r="O4" s="443">
        <f>huishoudens!O8</f>
        <v>431.48</v>
      </c>
      <c r="P4" s="444">
        <f>huishoudens!P8</f>
        <v>1506.2666666666667</v>
      </c>
      <c r="Q4" s="445">
        <f>SUM(B4:P4)</f>
        <v>627768.02202404023</v>
      </c>
    </row>
    <row r="5" spans="1:17">
      <c r="A5" s="442" t="s">
        <v>149</v>
      </c>
      <c r="B5" s="443">
        <f ca="1">tertiair!B16</f>
        <v>148256.37575653146</v>
      </c>
      <c r="C5" s="443">
        <f ca="1">tertiair!C16</f>
        <v>321.42857142857144</v>
      </c>
      <c r="D5" s="443">
        <f ca="1">tertiair!D16</f>
        <v>178719.94004291488</v>
      </c>
      <c r="E5" s="443">
        <f>tertiair!E16</f>
        <v>2077.1151451513165</v>
      </c>
      <c r="F5" s="443">
        <f ca="1">tertiair!F16</f>
        <v>26470.508236754104</v>
      </c>
      <c r="G5" s="443">
        <f>tertiair!G16</f>
        <v>0</v>
      </c>
      <c r="H5" s="443">
        <f>tertiair!H16</f>
        <v>0</v>
      </c>
      <c r="I5" s="443">
        <f>tertiair!I16</f>
        <v>0</v>
      </c>
      <c r="J5" s="443">
        <f>tertiair!J16</f>
        <v>0.55811114803347761</v>
      </c>
      <c r="K5" s="443">
        <f>tertiair!K16</f>
        <v>0</v>
      </c>
      <c r="L5" s="443">
        <f ca="1">tertiair!L16</f>
        <v>0</v>
      </c>
      <c r="M5" s="443">
        <f>tertiair!M16</f>
        <v>0</v>
      </c>
      <c r="N5" s="443">
        <f ca="1">tertiair!N16</f>
        <v>22085.045514819951</v>
      </c>
      <c r="O5" s="443">
        <f>tertiair!O16</f>
        <v>9.3800000000000008</v>
      </c>
      <c r="P5" s="444">
        <f>tertiair!P16</f>
        <v>266.93333333333334</v>
      </c>
      <c r="Q5" s="442">
        <f t="shared" ref="Q5:Q14" ca="1" si="0">SUM(B5:P5)</f>
        <v>378207.28471208172</v>
      </c>
    </row>
    <row r="6" spans="1:17">
      <c r="A6" s="442" t="s">
        <v>187</v>
      </c>
      <c r="B6" s="443">
        <f>'openbare verlichting'!B8</f>
        <v>4192.5434621766299</v>
      </c>
      <c r="C6" s="443"/>
      <c r="D6" s="443"/>
      <c r="E6" s="443"/>
      <c r="F6" s="443"/>
      <c r="G6" s="443"/>
      <c r="H6" s="443"/>
      <c r="I6" s="443"/>
      <c r="J6" s="443"/>
      <c r="K6" s="443"/>
      <c r="L6" s="443"/>
      <c r="M6" s="443"/>
      <c r="N6" s="443"/>
      <c r="O6" s="443"/>
      <c r="P6" s="444"/>
      <c r="Q6" s="442">
        <f t="shared" si="0"/>
        <v>4192.5434621766299</v>
      </c>
    </row>
    <row r="7" spans="1:17">
      <c r="A7" s="442" t="s">
        <v>105</v>
      </c>
      <c r="B7" s="443">
        <f>landbouw!B8</f>
        <v>562.16667084125504</v>
      </c>
      <c r="C7" s="443">
        <f>landbouw!C8</f>
        <v>0</v>
      </c>
      <c r="D7" s="443">
        <f>landbouw!D8</f>
        <v>504.03465911691973</v>
      </c>
      <c r="E7" s="443">
        <f>landbouw!E8</f>
        <v>16.523795511222318</v>
      </c>
      <c r="F7" s="443">
        <f>landbouw!F8</f>
        <v>2341.9559728322406</v>
      </c>
      <c r="G7" s="443">
        <f>landbouw!G8</f>
        <v>0</v>
      </c>
      <c r="H7" s="443">
        <f>landbouw!H8</f>
        <v>0</v>
      </c>
      <c r="I7" s="443">
        <f>landbouw!I8</f>
        <v>0</v>
      </c>
      <c r="J7" s="443">
        <f>landbouw!J8</f>
        <v>81.445877937447065</v>
      </c>
      <c r="K7" s="443">
        <f>landbouw!K8</f>
        <v>0</v>
      </c>
      <c r="L7" s="443">
        <f>landbouw!L8</f>
        <v>0</v>
      </c>
      <c r="M7" s="443">
        <f>landbouw!M8</f>
        <v>0</v>
      </c>
      <c r="N7" s="443">
        <f>landbouw!N8</f>
        <v>0</v>
      </c>
      <c r="O7" s="443">
        <f>landbouw!O8</f>
        <v>0</v>
      </c>
      <c r="P7" s="444">
        <f>landbouw!P8</f>
        <v>0</v>
      </c>
      <c r="Q7" s="442">
        <f t="shared" si="0"/>
        <v>3506.1269762390848</v>
      </c>
    </row>
    <row r="8" spans="1:17">
      <c r="A8" s="442" t="s">
        <v>621</v>
      </c>
      <c r="B8" s="443">
        <f>industrie!B18</f>
        <v>65328.787829308159</v>
      </c>
      <c r="C8" s="443">
        <f>industrie!C18</f>
        <v>0</v>
      </c>
      <c r="D8" s="443">
        <f>industrie!D18</f>
        <v>59696.89721704556</v>
      </c>
      <c r="E8" s="443">
        <f>industrie!E18</f>
        <v>4174.4730309243569</v>
      </c>
      <c r="F8" s="443">
        <f>industrie!F18</f>
        <v>14603.749987278912</v>
      </c>
      <c r="G8" s="443">
        <f>industrie!G18</f>
        <v>0</v>
      </c>
      <c r="H8" s="443">
        <f>industrie!H18</f>
        <v>0</v>
      </c>
      <c r="I8" s="443">
        <f>industrie!I18</f>
        <v>0</v>
      </c>
      <c r="J8" s="443">
        <f>industrie!J18</f>
        <v>73.671758773098347</v>
      </c>
      <c r="K8" s="443">
        <f>industrie!K18</f>
        <v>0</v>
      </c>
      <c r="L8" s="443">
        <f>industrie!L18</f>
        <v>0</v>
      </c>
      <c r="M8" s="443">
        <f>industrie!M18</f>
        <v>0</v>
      </c>
      <c r="N8" s="443">
        <f>industrie!N18</f>
        <v>4574.9943174370246</v>
      </c>
      <c r="O8" s="443">
        <f>industrie!O18</f>
        <v>0</v>
      </c>
      <c r="P8" s="444">
        <f>industrie!P18</f>
        <v>0</v>
      </c>
      <c r="Q8" s="442">
        <f t="shared" si="0"/>
        <v>148452.57414076713</v>
      </c>
    </row>
    <row r="9" spans="1:17" s="448" customFormat="1">
      <c r="A9" s="446" t="s">
        <v>547</v>
      </c>
      <c r="B9" s="447">
        <f>transport!B14</f>
        <v>125.56021562719297</v>
      </c>
      <c r="C9" s="447">
        <f>transport!C14</f>
        <v>0</v>
      </c>
      <c r="D9" s="447">
        <f>transport!D14</f>
        <v>212.6423223746319</v>
      </c>
      <c r="E9" s="447">
        <f>transport!E14</f>
        <v>384.10805421736495</v>
      </c>
      <c r="F9" s="447">
        <f>transport!F14</f>
        <v>0</v>
      </c>
      <c r="G9" s="447">
        <f>transport!G14</f>
        <v>179289.543828308</v>
      </c>
      <c r="H9" s="447">
        <f>transport!H14</f>
        <v>34414.963672415004</v>
      </c>
      <c r="I9" s="447">
        <f>transport!I14</f>
        <v>0</v>
      </c>
      <c r="J9" s="447">
        <f>transport!J14</f>
        <v>0</v>
      </c>
      <c r="K9" s="447">
        <f>transport!K14</f>
        <v>0</v>
      </c>
      <c r="L9" s="447">
        <f>transport!L14</f>
        <v>0</v>
      </c>
      <c r="M9" s="447">
        <f>transport!M14</f>
        <v>11488.249804127219</v>
      </c>
      <c r="N9" s="447">
        <f>transport!N14</f>
        <v>0</v>
      </c>
      <c r="O9" s="447">
        <f>transport!O14</f>
        <v>0</v>
      </c>
      <c r="P9" s="447">
        <f>transport!P14</f>
        <v>0</v>
      </c>
      <c r="Q9" s="446">
        <f>SUM(B9:P9)</f>
        <v>225915.06789706938</v>
      </c>
    </row>
    <row r="10" spans="1:17">
      <c r="A10" s="442" t="s">
        <v>537</v>
      </c>
      <c r="B10" s="443">
        <f>transport!B54</f>
        <v>1897.8018683148794</v>
      </c>
      <c r="C10" s="443">
        <f>transport!C54</f>
        <v>0</v>
      </c>
      <c r="D10" s="443">
        <f>transport!D54</f>
        <v>0</v>
      </c>
      <c r="E10" s="443">
        <f>transport!E54</f>
        <v>0</v>
      </c>
      <c r="F10" s="443">
        <f>transport!F54</f>
        <v>0</v>
      </c>
      <c r="G10" s="443">
        <f>transport!G54</f>
        <v>8928.6628828005832</v>
      </c>
      <c r="H10" s="443">
        <f>transport!H54</f>
        <v>0</v>
      </c>
      <c r="I10" s="443">
        <f>transport!I54</f>
        <v>0</v>
      </c>
      <c r="J10" s="443">
        <f>transport!J54</f>
        <v>0</v>
      </c>
      <c r="K10" s="443">
        <f>transport!K54</f>
        <v>0</v>
      </c>
      <c r="L10" s="443">
        <f>transport!L54</f>
        <v>0</v>
      </c>
      <c r="M10" s="443">
        <f>transport!M54</f>
        <v>514.17488696708949</v>
      </c>
      <c r="N10" s="443">
        <f>transport!N54</f>
        <v>0</v>
      </c>
      <c r="O10" s="443">
        <f>transport!O54</f>
        <v>0</v>
      </c>
      <c r="P10" s="444">
        <f>transport!P54</f>
        <v>0</v>
      </c>
      <c r="Q10" s="442">
        <f t="shared" si="0"/>
        <v>11340.639638082552</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14593.8863470122</v>
      </c>
      <c r="C14" s="450"/>
      <c r="D14" s="450">
        <f>'SEAP template'!E25</f>
        <v>37954.641455913697</v>
      </c>
      <c r="E14" s="450"/>
      <c r="F14" s="450"/>
      <c r="G14" s="450"/>
      <c r="H14" s="450"/>
      <c r="I14" s="450"/>
      <c r="J14" s="450"/>
      <c r="K14" s="450"/>
      <c r="L14" s="450"/>
      <c r="M14" s="450"/>
      <c r="N14" s="450"/>
      <c r="O14" s="450"/>
      <c r="P14" s="451"/>
      <c r="Q14" s="442">
        <f t="shared" si="0"/>
        <v>52548.527802925899</v>
      </c>
    </row>
    <row r="15" spans="1:17" s="452" customFormat="1">
      <c r="A15" s="997" t="s">
        <v>541</v>
      </c>
      <c r="B15" s="945">
        <f ca="1">SUM(B4:B14)</f>
        <v>365058.42182067764</v>
      </c>
      <c r="C15" s="945">
        <f t="shared" ref="C15:Q15" ca="1" si="1">SUM(C4:C14)</f>
        <v>321.42857142857144</v>
      </c>
      <c r="D15" s="945">
        <f t="shared" ca="1" si="1"/>
        <v>533590.62469880341</v>
      </c>
      <c r="E15" s="945">
        <f t="shared" si="1"/>
        <v>13724.84509159056</v>
      </c>
      <c r="F15" s="945">
        <f t="shared" ca="1" si="1"/>
        <v>222604.83018745403</v>
      </c>
      <c r="G15" s="945">
        <f t="shared" si="1"/>
        <v>188218.20671110859</v>
      </c>
      <c r="H15" s="945">
        <f t="shared" si="1"/>
        <v>34414.963672415004</v>
      </c>
      <c r="I15" s="945">
        <f t="shared" si="1"/>
        <v>0</v>
      </c>
      <c r="J15" s="945">
        <f t="shared" si="1"/>
        <v>1017.9112646189759</v>
      </c>
      <c r="K15" s="945">
        <f t="shared" si="1"/>
        <v>0</v>
      </c>
      <c r="L15" s="945">
        <f t="shared" ca="1" si="1"/>
        <v>0</v>
      </c>
      <c r="M15" s="945">
        <f t="shared" si="1"/>
        <v>12002.424691094309</v>
      </c>
      <c r="N15" s="945">
        <f t="shared" ca="1" si="1"/>
        <v>78763.069944191535</v>
      </c>
      <c r="O15" s="945">
        <f t="shared" si="1"/>
        <v>440.86</v>
      </c>
      <c r="P15" s="945">
        <f t="shared" si="1"/>
        <v>1773.2</v>
      </c>
      <c r="Q15" s="945">
        <f t="shared" ca="1" si="1"/>
        <v>1451930.7866533825</v>
      </c>
    </row>
    <row r="17" spans="1:17">
      <c r="A17" s="453" t="s">
        <v>542</v>
      </c>
      <c r="B17" s="752">
        <f ca="1">huishoudens!B10</f>
        <v>0.21421949413729202</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27870.234602097134</v>
      </c>
      <c r="C22" s="443">
        <f t="shared" ref="C22:C32" ca="1" si="3">C4*$C$17</f>
        <v>0</v>
      </c>
      <c r="D22" s="443">
        <f t="shared" ref="D22:D32" si="4">D4*$D$17</f>
        <v>51813.498738290415</v>
      </c>
      <c r="E22" s="443">
        <f t="shared" ref="E22:E32" si="5">E4*$E$17</f>
        <v>1605.4858899334899</v>
      </c>
      <c r="F22" s="443">
        <f t="shared" ref="F22:F32" si="6">F4*$F$17</f>
        <v>47843.360469487205</v>
      </c>
      <c r="G22" s="443">
        <f t="shared" ref="G22:G32" si="7">G4*$G$17</f>
        <v>0</v>
      </c>
      <c r="H22" s="443">
        <f t="shared" ref="H22:H32" si="8">H4*$H$17</f>
        <v>0</v>
      </c>
      <c r="I22" s="443">
        <f t="shared" ref="I22:I32" si="9">I4*$I$17</f>
        <v>0</v>
      </c>
      <c r="J22" s="443">
        <f t="shared" ref="J22:J32" si="10">J4*$J$17</f>
        <v>305.23137293318052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129437.81107274143</v>
      </c>
    </row>
    <row r="23" spans="1:17">
      <c r="A23" s="442" t="s">
        <v>149</v>
      </c>
      <c r="B23" s="443">
        <f t="shared" ca="1" si="2"/>
        <v>31759.405817192455</v>
      </c>
      <c r="C23" s="443">
        <f t="shared" ca="1" si="3"/>
        <v>76.386554621848759</v>
      </c>
      <c r="D23" s="443">
        <f t="shared" ca="1" si="4"/>
        <v>36101.427888668812</v>
      </c>
      <c r="E23" s="443">
        <f t="shared" si="5"/>
        <v>471.50513794934886</v>
      </c>
      <c r="F23" s="443">
        <f t="shared" ca="1" si="6"/>
        <v>7067.6256992133458</v>
      </c>
      <c r="G23" s="443">
        <f t="shared" si="7"/>
        <v>0</v>
      </c>
      <c r="H23" s="443">
        <f t="shared" si="8"/>
        <v>0</v>
      </c>
      <c r="I23" s="443">
        <f t="shared" si="9"/>
        <v>0</v>
      </c>
      <c r="J23" s="443">
        <f t="shared" si="10"/>
        <v>0.19757134640385107</v>
      </c>
      <c r="K23" s="443">
        <f t="shared" si="11"/>
        <v>0</v>
      </c>
      <c r="L23" s="443">
        <f t="shared" ca="1" si="12"/>
        <v>0</v>
      </c>
      <c r="M23" s="443">
        <f t="shared" si="13"/>
        <v>0</v>
      </c>
      <c r="N23" s="443">
        <f t="shared" ca="1" si="14"/>
        <v>0</v>
      </c>
      <c r="O23" s="443">
        <f t="shared" si="15"/>
        <v>0</v>
      </c>
      <c r="P23" s="444">
        <f t="shared" si="16"/>
        <v>0</v>
      </c>
      <c r="Q23" s="442">
        <f t="shared" ref="Q23:Q32" ca="1" si="17">SUM(B23:P23)</f>
        <v>75476.548668992211</v>
      </c>
    </row>
    <row r="24" spans="1:17">
      <c r="A24" s="442" t="s">
        <v>187</v>
      </c>
      <c r="B24" s="443">
        <f t="shared" ca="1" si="2"/>
        <v>898.12453961608855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898.12453961608855</v>
      </c>
    </row>
    <row r="25" spans="1:17">
      <c r="A25" s="442" t="s">
        <v>105</v>
      </c>
      <c r="B25" s="443">
        <f t="shared" ca="1" si="2"/>
        <v>120.42705984845921</v>
      </c>
      <c r="C25" s="443">
        <f t="shared" ca="1" si="3"/>
        <v>0</v>
      </c>
      <c r="D25" s="443">
        <f t="shared" si="4"/>
        <v>101.81500114161778</v>
      </c>
      <c r="E25" s="443">
        <f t="shared" si="5"/>
        <v>3.7509015810474664</v>
      </c>
      <c r="F25" s="443">
        <f t="shared" si="6"/>
        <v>625.30224474620832</v>
      </c>
      <c r="G25" s="443">
        <f t="shared" si="7"/>
        <v>0</v>
      </c>
      <c r="H25" s="443">
        <f t="shared" si="8"/>
        <v>0</v>
      </c>
      <c r="I25" s="443">
        <f t="shared" si="9"/>
        <v>0</v>
      </c>
      <c r="J25" s="443">
        <f t="shared" si="10"/>
        <v>28.831840789856258</v>
      </c>
      <c r="K25" s="443">
        <f t="shared" si="11"/>
        <v>0</v>
      </c>
      <c r="L25" s="443">
        <f t="shared" si="12"/>
        <v>0</v>
      </c>
      <c r="M25" s="443">
        <f t="shared" si="13"/>
        <v>0</v>
      </c>
      <c r="N25" s="443">
        <f t="shared" si="14"/>
        <v>0</v>
      </c>
      <c r="O25" s="443">
        <f t="shared" si="15"/>
        <v>0</v>
      </c>
      <c r="P25" s="444">
        <f t="shared" si="16"/>
        <v>0</v>
      </c>
      <c r="Q25" s="442">
        <f t="shared" ca="1" si="17"/>
        <v>880.12704810718913</v>
      </c>
    </row>
    <row r="26" spans="1:17">
      <c r="A26" s="442" t="s">
        <v>621</v>
      </c>
      <c r="B26" s="443">
        <f t="shared" ca="1" si="2"/>
        <v>13994.699881396873</v>
      </c>
      <c r="C26" s="443">
        <f t="shared" ca="1" si="3"/>
        <v>0</v>
      </c>
      <c r="D26" s="443">
        <f t="shared" si="4"/>
        <v>12058.773237843205</v>
      </c>
      <c r="E26" s="443">
        <f t="shared" si="5"/>
        <v>947.605378019829</v>
      </c>
      <c r="F26" s="443">
        <f t="shared" si="6"/>
        <v>3899.2012466034698</v>
      </c>
      <c r="G26" s="443">
        <f t="shared" si="7"/>
        <v>0</v>
      </c>
      <c r="H26" s="443">
        <f t="shared" si="8"/>
        <v>0</v>
      </c>
      <c r="I26" s="443">
        <f t="shared" si="9"/>
        <v>0</v>
      </c>
      <c r="J26" s="443">
        <f t="shared" si="10"/>
        <v>26.079802605676814</v>
      </c>
      <c r="K26" s="443">
        <f t="shared" si="11"/>
        <v>0</v>
      </c>
      <c r="L26" s="443">
        <f t="shared" si="12"/>
        <v>0</v>
      </c>
      <c r="M26" s="443">
        <f t="shared" si="13"/>
        <v>0</v>
      </c>
      <c r="N26" s="443">
        <f t="shared" si="14"/>
        <v>0</v>
      </c>
      <c r="O26" s="443">
        <f t="shared" si="15"/>
        <v>0</v>
      </c>
      <c r="P26" s="444">
        <f t="shared" si="16"/>
        <v>0</v>
      </c>
      <c r="Q26" s="442">
        <f t="shared" ca="1" si="17"/>
        <v>30926.359546469052</v>
      </c>
    </row>
    <row r="27" spans="1:17" s="448" customFormat="1">
      <c r="A27" s="446" t="s">
        <v>547</v>
      </c>
      <c r="B27" s="746">
        <f t="shared" ca="1" si="2"/>
        <v>26.897445875426587</v>
      </c>
      <c r="C27" s="447">
        <f t="shared" ca="1" si="3"/>
        <v>0</v>
      </c>
      <c r="D27" s="447">
        <f t="shared" si="4"/>
        <v>42.953749119675649</v>
      </c>
      <c r="E27" s="447">
        <f t="shared" si="5"/>
        <v>87.192528307341846</v>
      </c>
      <c r="F27" s="447">
        <f t="shared" si="6"/>
        <v>0</v>
      </c>
      <c r="G27" s="447">
        <f t="shared" si="7"/>
        <v>47870.308202158238</v>
      </c>
      <c r="H27" s="447">
        <f t="shared" si="8"/>
        <v>8569.3259544313369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56596.677879892013</v>
      </c>
    </row>
    <row r="28" spans="1:17">
      <c r="A28" s="442" t="s">
        <v>537</v>
      </c>
      <c r="B28" s="443">
        <f t="shared" ca="1" si="2"/>
        <v>406.54615620322113</v>
      </c>
      <c r="C28" s="443">
        <f t="shared" ca="1" si="3"/>
        <v>0</v>
      </c>
      <c r="D28" s="443">
        <f t="shared" si="4"/>
        <v>0</v>
      </c>
      <c r="E28" s="443">
        <f t="shared" si="5"/>
        <v>0</v>
      </c>
      <c r="F28" s="443">
        <f t="shared" si="6"/>
        <v>0</v>
      </c>
      <c r="G28" s="443">
        <f t="shared" si="7"/>
        <v>2383.9529897077559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2790.4991459109769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3126.2949507540861</v>
      </c>
      <c r="C32" s="443">
        <f t="shared" ca="1" si="3"/>
        <v>0</v>
      </c>
      <c r="D32" s="443">
        <f t="shared" si="4"/>
        <v>7666.8375740945676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10793.132524848654</v>
      </c>
    </row>
    <row r="33" spans="1:17" s="452" customFormat="1">
      <c r="A33" s="997" t="s">
        <v>541</v>
      </c>
      <c r="B33" s="945">
        <f ca="1">SUM(B22:B32)</f>
        <v>78202.630452983736</v>
      </c>
      <c r="C33" s="945">
        <f t="shared" ref="C33:Q33" ca="1" si="18">SUM(C22:C32)</f>
        <v>76.386554621848759</v>
      </c>
      <c r="D33" s="945">
        <f t="shared" ca="1" si="18"/>
        <v>107785.30618915829</v>
      </c>
      <c r="E33" s="945">
        <f t="shared" si="18"/>
        <v>3115.5398357910572</v>
      </c>
      <c r="F33" s="945">
        <f t="shared" ca="1" si="18"/>
        <v>59435.489660050225</v>
      </c>
      <c r="G33" s="945">
        <f t="shared" si="18"/>
        <v>50254.261191865997</v>
      </c>
      <c r="H33" s="945">
        <f t="shared" si="18"/>
        <v>8569.3259544313369</v>
      </c>
      <c r="I33" s="945">
        <f t="shared" si="18"/>
        <v>0</v>
      </c>
      <c r="J33" s="945">
        <f t="shared" si="18"/>
        <v>360.34058767511743</v>
      </c>
      <c r="K33" s="945">
        <f t="shared" si="18"/>
        <v>0</v>
      </c>
      <c r="L33" s="945">
        <f t="shared" ca="1" si="18"/>
        <v>0</v>
      </c>
      <c r="M33" s="945">
        <f t="shared" si="18"/>
        <v>0</v>
      </c>
      <c r="N33" s="945">
        <f t="shared" ca="1" si="18"/>
        <v>0</v>
      </c>
      <c r="O33" s="945">
        <f t="shared" si="18"/>
        <v>0</v>
      </c>
      <c r="P33" s="945">
        <f t="shared" si="18"/>
        <v>0</v>
      </c>
      <c r="Q33" s="945">
        <f t="shared" ca="1" si="18"/>
        <v>307799.28042657755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11217.313835390605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225</v>
      </c>
      <c r="D8" s="1014">
        <f>'SEAP template'!D76</f>
        <v>264.70588235294116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53.470588235294116</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11217.313835390605</v>
      </c>
      <c r="C10" s="1018">
        <f>SUM(C4:C9)</f>
        <v>225</v>
      </c>
      <c r="D10" s="1018">
        <f t="shared" ref="D10:H10" si="0">SUM(D8:D9)</f>
        <v>264.70588235294116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53.470588235294116</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0.21421949413729202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321.42857142857144</v>
      </c>
      <c r="D17" s="1015">
        <f>'SEAP template'!D87</f>
        <v>378.15126050420173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76.386554621848759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321.42857142857144</v>
      </c>
      <c r="D20" s="1018">
        <f t="shared" ref="D20:H20" si="2">SUM(D17:D19)</f>
        <v>378.15126050420173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76.386554621848759</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0.21421949413729202</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0.21421949413729202</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0.21421949413729202</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36258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797.72</v>
      </c>
      <c r="C14" s="324"/>
      <c r="D14" s="324"/>
      <c r="E14" s="324"/>
      <c r="F14" s="324"/>
    </row>
    <row r="15" spans="1:6">
      <c r="A15" s="1289" t="s">
        <v>177</v>
      </c>
      <c r="B15" s="1290">
        <v>6</v>
      </c>
      <c r="C15" s="324"/>
      <c r="D15" s="324"/>
      <c r="E15" s="324"/>
      <c r="F15" s="324"/>
    </row>
    <row r="16" spans="1:6">
      <c r="A16" s="1289" t="s">
        <v>6</v>
      </c>
      <c r="B16" s="1290">
        <v>216</v>
      </c>
      <c r="C16" s="324"/>
      <c r="D16" s="324"/>
      <c r="E16" s="324"/>
      <c r="F16" s="324"/>
    </row>
    <row r="17" spans="1:6">
      <c r="A17" s="1289" t="s">
        <v>7</v>
      </c>
      <c r="B17" s="1290">
        <v>332</v>
      </c>
      <c r="C17" s="324"/>
      <c r="D17" s="324"/>
      <c r="E17" s="324"/>
      <c r="F17" s="324"/>
    </row>
    <row r="18" spans="1:6">
      <c r="A18" s="1289" t="s">
        <v>8</v>
      </c>
      <c r="B18" s="1290">
        <v>358</v>
      </c>
      <c r="C18" s="324"/>
      <c r="D18" s="324"/>
      <c r="E18" s="324"/>
      <c r="F18" s="324"/>
    </row>
    <row r="19" spans="1:6">
      <c r="A19" s="1289" t="s">
        <v>9</v>
      </c>
      <c r="B19" s="1290">
        <v>326</v>
      </c>
      <c r="C19" s="324"/>
      <c r="D19" s="324"/>
      <c r="E19" s="324"/>
      <c r="F19" s="324"/>
    </row>
    <row r="20" spans="1:6">
      <c r="A20" s="1289" t="s">
        <v>10</v>
      </c>
      <c r="B20" s="1290">
        <v>143</v>
      </c>
      <c r="C20" s="324"/>
      <c r="D20" s="324"/>
      <c r="E20" s="324"/>
      <c r="F20" s="324"/>
    </row>
    <row r="21" spans="1:6">
      <c r="A21" s="1289" t="s">
        <v>11</v>
      </c>
      <c r="B21" s="1290">
        <v>354</v>
      </c>
      <c r="C21" s="324"/>
      <c r="D21" s="324"/>
      <c r="E21" s="324"/>
      <c r="F21" s="324"/>
    </row>
    <row r="22" spans="1:6">
      <c r="A22" s="1289" t="s">
        <v>12</v>
      </c>
      <c r="B22" s="1290">
        <v>1411</v>
      </c>
      <c r="C22" s="324"/>
      <c r="D22" s="324"/>
      <c r="E22" s="324"/>
      <c r="F22" s="324"/>
    </row>
    <row r="23" spans="1:6">
      <c r="A23" s="1289" t="s">
        <v>13</v>
      </c>
      <c r="B23" s="1290">
        <v>17</v>
      </c>
      <c r="C23" s="324"/>
      <c r="D23" s="324"/>
      <c r="E23" s="324"/>
      <c r="F23" s="324"/>
    </row>
    <row r="24" spans="1:6">
      <c r="A24" s="1289" t="s">
        <v>14</v>
      </c>
      <c r="B24" s="1290">
        <v>1</v>
      </c>
      <c r="C24" s="324"/>
      <c r="D24" s="324"/>
      <c r="E24" s="324"/>
      <c r="F24" s="324"/>
    </row>
    <row r="25" spans="1:6">
      <c r="A25" s="1289" t="s">
        <v>15</v>
      </c>
      <c r="B25" s="1290">
        <v>122</v>
      </c>
      <c r="C25" s="324"/>
      <c r="D25" s="324"/>
      <c r="E25" s="324"/>
      <c r="F25" s="324"/>
    </row>
    <row r="26" spans="1:6">
      <c r="A26" s="1289" t="s">
        <v>16</v>
      </c>
      <c r="B26" s="1290">
        <v>31</v>
      </c>
      <c r="C26" s="324"/>
      <c r="D26" s="324"/>
      <c r="E26" s="324"/>
      <c r="F26" s="324"/>
    </row>
    <row r="27" spans="1:6">
      <c r="A27" s="1289" t="s">
        <v>17</v>
      </c>
      <c r="B27" s="1290">
        <v>3</v>
      </c>
      <c r="C27" s="324"/>
      <c r="D27" s="324"/>
      <c r="E27" s="324"/>
      <c r="F27" s="324"/>
    </row>
    <row r="28" spans="1:6">
      <c r="A28" s="1289" t="s">
        <v>18</v>
      </c>
      <c r="B28" s="1291">
        <v>20</v>
      </c>
      <c r="C28" s="324"/>
      <c r="D28" s="324"/>
      <c r="E28" s="324"/>
      <c r="F28" s="324"/>
    </row>
    <row r="29" spans="1:6">
      <c r="A29" s="1289" t="s">
        <v>716</v>
      </c>
      <c r="B29" s="1291">
        <v>58</v>
      </c>
      <c r="C29" s="324"/>
      <c r="D29" s="324"/>
      <c r="E29" s="324"/>
      <c r="F29" s="324"/>
    </row>
    <row r="30" spans="1:6">
      <c r="A30" s="1284" t="s">
        <v>717</v>
      </c>
      <c r="B30" s="1292">
        <v>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7</v>
      </c>
      <c r="D36" s="1290">
        <v>14362106.5935596</v>
      </c>
      <c r="E36" s="1290">
        <v>27</v>
      </c>
      <c r="F36" s="1290">
        <v>191601.98384957801</v>
      </c>
    </row>
    <row r="37" spans="1:6">
      <c r="A37" s="1289" t="s">
        <v>24</v>
      </c>
      <c r="B37" s="1289" t="s">
        <v>27</v>
      </c>
      <c r="C37" s="1290">
        <v>0</v>
      </c>
      <c r="D37" s="1290">
        <v>0</v>
      </c>
      <c r="E37" s="1290">
        <v>0</v>
      </c>
      <c r="F37" s="1290">
        <v>0</v>
      </c>
    </row>
    <row r="38" spans="1:6">
      <c r="A38" s="1289" t="s">
        <v>24</v>
      </c>
      <c r="B38" s="1289" t="s">
        <v>28</v>
      </c>
      <c r="C38" s="1290">
        <v>3</v>
      </c>
      <c r="D38" s="1290">
        <v>328088.01554239303</v>
      </c>
      <c r="E38" s="1290">
        <v>3</v>
      </c>
      <c r="F38" s="1290">
        <v>44012.823930002698</v>
      </c>
    </row>
    <row r="39" spans="1:6">
      <c r="A39" s="1289" t="s">
        <v>29</v>
      </c>
      <c r="B39" s="1289" t="s">
        <v>30</v>
      </c>
      <c r="C39" s="1290">
        <v>25284</v>
      </c>
      <c r="D39" s="1290">
        <v>284370808.205585</v>
      </c>
      <c r="E39" s="1290">
        <v>41448</v>
      </c>
      <c r="F39" s="1290">
        <v>124212860.79601701</v>
      </c>
    </row>
    <row r="40" spans="1:6">
      <c r="A40" s="1289" t="s">
        <v>29</v>
      </c>
      <c r="B40" s="1289" t="s">
        <v>28</v>
      </c>
      <c r="C40" s="1290">
        <v>0</v>
      </c>
      <c r="D40" s="1290">
        <v>0</v>
      </c>
      <c r="E40" s="1290">
        <v>0</v>
      </c>
      <c r="F40" s="1290">
        <v>0</v>
      </c>
    </row>
    <row r="41" spans="1:6">
      <c r="A41" s="1289" t="s">
        <v>31</v>
      </c>
      <c r="B41" s="1289" t="s">
        <v>32</v>
      </c>
      <c r="C41" s="1290">
        <v>288</v>
      </c>
      <c r="D41" s="1290">
        <v>4283280.2601492302</v>
      </c>
      <c r="E41" s="1290">
        <v>621</v>
      </c>
      <c r="F41" s="1290">
        <v>9855482.5736015402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14</v>
      </c>
      <c r="D44" s="1290">
        <v>8753707.0655036699</v>
      </c>
      <c r="E44" s="1290">
        <v>78</v>
      </c>
      <c r="F44" s="1290">
        <v>12335211.4711366</v>
      </c>
    </row>
    <row r="45" spans="1:6">
      <c r="A45" s="1289" t="s">
        <v>31</v>
      </c>
      <c r="B45" s="1289" t="s">
        <v>36</v>
      </c>
      <c r="C45" s="1290">
        <v>0</v>
      </c>
      <c r="D45" s="1290">
        <v>0</v>
      </c>
      <c r="E45" s="1290">
        <v>3</v>
      </c>
      <c r="F45" s="1290">
        <v>405119.82324886398</v>
      </c>
    </row>
    <row r="46" spans="1:6">
      <c r="A46" s="1289" t="s">
        <v>31</v>
      </c>
      <c r="B46" s="1289" t="s">
        <v>37</v>
      </c>
      <c r="C46" s="1290">
        <v>0</v>
      </c>
      <c r="D46" s="1290">
        <v>0</v>
      </c>
      <c r="E46" s="1290">
        <v>0</v>
      </c>
      <c r="F46" s="1290">
        <v>0</v>
      </c>
    </row>
    <row r="47" spans="1:6">
      <c r="A47" s="1289" t="s">
        <v>31</v>
      </c>
      <c r="B47" s="1289" t="s">
        <v>38</v>
      </c>
      <c r="C47" s="1290">
        <v>13</v>
      </c>
      <c r="D47" s="1290">
        <v>574958.195197133</v>
      </c>
      <c r="E47" s="1290">
        <v>16</v>
      </c>
      <c r="F47" s="1290">
        <v>1665291.2447579</v>
      </c>
    </row>
    <row r="48" spans="1:6">
      <c r="A48" s="1289" t="s">
        <v>31</v>
      </c>
      <c r="B48" s="1289" t="s">
        <v>28</v>
      </c>
      <c r="C48" s="1290">
        <v>60</v>
      </c>
      <c r="D48" s="1290">
        <v>33660818.2521616</v>
      </c>
      <c r="E48" s="1290">
        <v>73</v>
      </c>
      <c r="F48" s="1290">
        <v>20320910.142909799</v>
      </c>
    </row>
    <row r="49" spans="1:6">
      <c r="A49" s="1289" t="s">
        <v>31</v>
      </c>
      <c r="B49" s="1289" t="s">
        <v>39</v>
      </c>
      <c r="C49" s="1290">
        <v>4</v>
      </c>
      <c r="D49" s="1290">
        <v>306338.379330414</v>
      </c>
      <c r="E49" s="1290">
        <v>8</v>
      </c>
      <c r="F49" s="1290">
        <v>93085.549998959599</v>
      </c>
    </row>
    <row r="50" spans="1:6">
      <c r="A50" s="1289" t="s">
        <v>31</v>
      </c>
      <c r="B50" s="1289" t="s">
        <v>40</v>
      </c>
      <c r="C50" s="1290">
        <v>46</v>
      </c>
      <c r="D50" s="1290">
        <v>18603710.726865899</v>
      </c>
      <c r="E50" s="1290">
        <v>72</v>
      </c>
      <c r="F50" s="1290">
        <v>20653687.023654498</v>
      </c>
    </row>
    <row r="51" spans="1:6">
      <c r="A51" s="1289" t="s">
        <v>41</v>
      </c>
      <c r="B51" s="1289" t="s">
        <v>42</v>
      </c>
      <c r="C51" s="1290">
        <v>22</v>
      </c>
      <c r="D51" s="1290">
        <v>310861.35332546599</v>
      </c>
      <c r="E51" s="1290">
        <v>63</v>
      </c>
      <c r="F51" s="1290">
        <v>246142.66299932799</v>
      </c>
    </row>
    <row r="52" spans="1:6">
      <c r="A52" s="1289" t="s">
        <v>41</v>
      </c>
      <c r="B52" s="1289" t="s">
        <v>28</v>
      </c>
      <c r="C52" s="1290">
        <v>10</v>
      </c>
      <c r="D52" s="1290">
        <v>247935.386272006</v>
      </c>
      <c r="E52" s="1290">
        <v>13</v>
      </c>
      <c r="F52" s="1290">
        <v>316024.007841927</v>
      </c>
    </row>
    <row r="53" spans="1:6">
      <c r="A53" s="1289" t="s">
        <v>43</v>
      </c>
      <c r="B53" s="1289" t="s">
        <v>44</v>
      </c>
      <c r="C53" s="1290">
        <v>2550</v>
      </c>
      <c r="D53" s="1290">
        <v>37954641.4559137</v>
      </c>
      <c r="E53" s="1290">
        <v>6199</v>
      </c>
      <c r="F53" s="1290">
        <v>14593886.347012199</v>
      </c>
    </row>
    <row r="54" spans="1:6">
      <c r="A54" s="1289" t="s">
        <v>45</v>
      </c>
      <c r="B54" s="1289" t="s">
        <v>46</v>
      </c>
      <c r="C54" s="1290">
        <v>0</v>
      </c>
      <c r="D54" s="1290">
        <v>0</v>
      </c>
      <c r="E54" s="1290">
        <v>160</v>
      </c>
      <c r="F54" s="1290">
        <v>4192543.4621766298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279</v>
      </c>
      <c r="D57" s="1290">
        <v>23074480.2729702</v>
      </c>
      <c r="E57" s="1290">
        <v>677</v>
      </c>
      <c r="F57" s="1290">
        <v>25264275.153865598</v>
      </c>
    </row>
    <row r="58" spans="1:6">
      <c r="A58" s="1289" t="s">
        <v>48</v>
      </c>
      <c r="B58" s="1289" t="s">
        <v>50</v>
      </c>
      <c r="C58" s="1290">
        <v>230</v>
      </c>
      <c r="D58" s="1290">
        <v>28947142.8273068</v>
      </c>
      <c r="E58" s="1290">
        <v>346</v>
      </c>
      <c r="F58" s="1290">
        <v>8366584.3325063698</v>
      </c>
    </row>
    <row r="59" spans="1:6">
      <c r="A59" s="1289" t="s">
        <v>48</v>
      </c>
      <c r="B59" s="1289" t="s">
        <v>51</v>
      </c>
      <c r="C59" s="1290">
        <v>639</v>
      </c>
      <c r="D59" s="1290">
        <v>21322511.362877399</v>
      </c>
      <c r="E59" s="1290">
        <v>1381</v>
      </c>
      <c r="F59" s="1290">
        <v>43857797.256169103</v>
      </c>
    </row>
    <row r="60" spans="1:6">
      <c r="A60" s="1289" t="s">
        <v>48</v>
      </c>
      <c r="B60" s="1289" t="s">
        <v>52</v>
      </c>
      <c r="C60" s="1290">
        <v>491</v>
      </c>
      <c r="D60" s="1290">
        <v>33575228.1309205</v>
      </c>
      <c r="E60" s="1290">
        <v>690</v>
      </c>
      <c r="F60" s="1290">
        <v>25199958.375301499</v>
      </c>
    </row>
    <row r="61" spans="1:6">
      <c r="A61" s="1289" t="s">
        <v>48</v>
      </c>
      <c r="B61" s="1289" t="s">
        <v>53</v>
      </c>
      <c r="C61" s="1290">
        <v>1087</v>
      </c>
      <c r="D61" s="1290">
        <v>64444711.256420098</v>
      </c>
      <c r="E61" s="1290">
        <v>3265</v>
      </c>
      <c r="F61" s="1290">
        <v>38358400.699729398</v>
      </c>
    </row>
    <row r="62" spans="1:6">
      <c r="A62" s="1289" t="s">
        <v>48</v>
      </c>
      <c r="B62" s="1289" t="s">
        <v>54</v>
      </c>
      <c r="C62" s="1290">
        <v>51</v>
      </c>
      <c r="D62" s="1290">
        <v>10996057.7298552</v>
      </c>
      <c r="E62" s="1290">
        <v>64</v>
      </c>
      <c r="F62" s="1290">
        <v>2969217.9447602099</v>
      </c>
    </row>
    <row r="63" spans="1:6">
      <c r="A63" s="1289" t="s">
        <v>48</v>
      </c>
      <c r="B63" s="1289" t="s">
        <v>28</v>
      </c>
      <c r="C63" s="1290">
        <v>108</v>
      </c>
      <c r="D63" s="1290">
        <v>16489976.164408101</v>
      </c>
      <c r="E63" s="1290">
        <v>82</v>
      </c>
      <c r="F63" s="1290">
        <v>4015141.9941992802</v>
      </c>
    </row>
    <row r="64" spans="1:6">
      <c r="A64" s="1289" t="s">
        <v>55</v>
      </c>
      <c r="B64" s="1289" t="s">
        <v>56</v>
      </c>
      <c r="C64" s="1290">
        <v>0</v>
      </c>
      <c r="D64" s="1290">
        <v>0</v>
      </c>
      <c r="E64" s="1290">
        <v>0</v>
      </c>
      <c r="F64" s="1290">
        <v>0</v>
      </c>
    </row>
    <row r="65" spans="1:6">
      <c r="A65" s="1289" t="s">
        <v>55</v>
      </c>
      <c r="B65" s="1289" t="s">
        <v>28</v>
      </c>
      <c r="C65" s="1290">
        <v>2</v>
      </c>
      <c r="D65" s="1290">
        <v>30017.030454385698</v>
      </c>
      <c r="E65" s="1290">
        <v>5</v>
      </c>
      <c r="F65" s="1290">
        <v>170285.853972507</v>
      </c>
    </row>
    <row r="66" spans="1:6">
      <c r="A66" s="1289" t="s">
        <v>55</v>
      </c>
      <c r="B66" s="1289" t="s">
        <v>57</v>
      </c>
      <c r="C66" s="1290">
        <v>6</v>
      </c>
      <c r="D66" s="1290">
        <v>822176.89674804802</v>
      </c>
      <c r="E66" s="1290">
        <v>53</v>
      </c>
      <c r="F66" s="1290">
        <v>2822654.4351333901</v>
      </c>
    </row>
    <row r="67" spans="1:6">
      <c r="A67" s="1289" t="s">
        <v>55</v>
      </c>
      <c r="B67" s="1289" t="s">
        <v>58</v>
      </c>
      <c r="C67" s="1290">
        <v>0</v>
      </c>
      <c r="D67" s="1290">
        <v>0</v>
      </c>
      <c r="E67" s="1290">
        <v>0</v>
      </c>
      <c r="F67" s="1290">
        <v>0</v>
      </c>
    </row>
    <row r="68" spans="1:6">
      <c r="A68" s="1284" t="s">
        <v>55</v>
      </c>
      <c r="B68" s="1284" t="s">
        <v>59</v>
      </c>
      <c r="C68" s="1292">
        <v>19</v>
      </c>
      <c r="D68" s="1292">
        <v>2887246.6977154398</v>
      </c>
      <c r="E68" s="1292">
        <v>58</v>
      </c>
      <c r="F68" s="1292">
        <v>6777298.6768692899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135205152</v>
      </c>
      <c r="E73" s="441"/>
      <c r="F73" s="324"/>
    </row>
    <row r="74" spans="1:6">
      <c r="A74" s="1289" t="s">
        <v>63</v>
      </c>
      <c r="B74" s="1289" t="s">
        <v>642</v>
      </c>
      <c r="C74" s="1302" t="s">
        <v>644</v>
      </c>
      <c r="D74" s="1290">
        <v>17021673.5</v>
      </c>
      <c r="E74" s="441"/>
      <c r="F74" s="324"/>
    </row>
    <row r="75" spans="1:6">
      <c r="A75" s="1289" t="s">
        <v>64</v>
      </c>
      <c r="B75" s="1289" t="s">
        <v>641</v>
      </c>
      <c r="C75" s="1302" t="s">
        <v>645</v>
      </c>
      <c r="D75" s="1290">
        <v>45642988</v>
      </c>
      <c r="E75" s="441"/>
      <c r="F75" s="324"/>
    </row>
    <row r="76" spans="1:6">
      <c r="A76" s="1289" t="s">
        <v>64</v>
      </c>
      <c r="B76" s="1289" t="s">
        <v>642</v>
      </c>
      <c r="C76" s="1302" t="s">
        <v>646</v>
      </c>
      <c r="D76" s="1290">
        <v>5945852.5</v>
      </c>
      <c r="E76" s="441"/>
      <c r="F76" s="324"/>
    </row>
    <row r="77" spans="1:6">
      <c r="A77" s="1289" t="s">
        <v>65</v>
      </c>
      <c r="B77" s="1289" t="s">
        <v>641</v>
      </c>
      <c r="C77" s="1302" t="s">
        <v>647</v>
      </c>
      <c r="D77" s="1290">
        <v>46917982</v>
      </c>
      <c r="E77" s="441"/>
      <c r="F77" s="324"/>
    </row>
    <row r="78" spans="1:6">
      <c r="A78" s="1284" t="s">
        <v>65</v>
      </c>
      <c r="B78" s="1284" t="s">
        <v>642</v>
      </c>
      <c r="C78" s="1284" t="s">
        <v>648</v>
      </c>
      <c r="D78" s="1292">
        <v>2129347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2594175</v>
      </c>
      <c r="C83" s="441"/>
      <c r="D83" s="324"/>
      <c r="E83" s="324"/>
      <c r="F83" s="324"/>
    </row>
    <row r="84" spans="1:6">
      <c r="A84" s="1284" t="s">
        <v>323</v>
      </c>
      <c r="B84" s="1292">
        <v>511420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5888.4388748489091</v>
      </c>
      <c r="C91" s="324"/>
      <c r="D91" s="324"/>
      <c r="E91" s="324"/>
      <c r="F91" s="324"/>
    </row>
    <row r="92" spans="1:6">
      <c r="A92" s="1284" t="s">
        <v>68</v>
      </c>
      <c r="B92" s="1285">
        <v>5328.8749605416961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18029</v>
      </c>
      <c r="C97" s="324"/>
      <c r="D97" s="324"/>
      <c r="E97" s="324"/>
      <c r="F97" s="324"/>
    </row>
    <row r="98" spans="1:6">
      <c r="A98" s="1289" t="s">
        <v>71</v>
      </c>
      <c r="B98" s="1290">
        <v>6</v>
      </c>
      <c r="C98" s="324"/>
      <c r="D98" s="324"/>
      <c r="E98" s="324"/>
      <c r="F98" s="324"/>
    </row>
    <row r="99" spans="1:6">
      <c r="A99" s="1289" t="s">
        <v>72</v>
      </c>
      <c r="B99" s="1290">
        <v>78</v>
      </c>
      <c r="C99" s="324"/>
      <c r="D99" s="324"/>
      <c r="E99" s="324"/>
      <c r="F99" s="324"/>
    </row>
    <row r="100" spans="1:6">
      <c r="A100" s="1289" t="s">
        <v>73</v>
      </c>
      <c r="B100" s="1290">
        <v>5998</v>
      </c>
      <c r="C100" s="324"/>
      <c r="D100" s="324"/>
      <c r="E100" s="324"/>
      <c r="F100" s="324"/>
    </row>
    <row r="101" spans="1:6">
      <c r="A101" s="1289" t="s">
        <v>74</v>
      </c>
      <c r="B101" s="1290">
        <v>100</v>
      </c>
      <c r="C101" s="324"/>
      <c r="D101" s="324"/>
      <c r="E101" s="324"/>
      <c r="F101" s="324"/>
    </row>
    <row r="102" spans="1:6">
      <c r="A102" s="1289" t="s">
        <v>75</v>
      </c>
      <c r="B102" s="1290">
        <v>847</v>
      </c>
      <c r="C102" s="324"/>
      <c r="D102" s="324"/>
      <c r="E102" s="324"/>
      <c r="F102" s="324"/>
    </row>
    <row r="103" spans="1:6">
      <c r="A103" s="1289" t="s">
        <v>76</v>
      </c>
      <c r="B103" s="1290">
        <v>301</v>
      </c>
      <c r="C103" s="324"/>
      <c r="D103" s="324"/>
      <c r="E103" s="324"/>
      <c r="F103" s="324"/>
    </row>
    <row r="104" spans="1:6">
      <c r="A104" s="1289" t="s">
        <v>77</v>
      </c>
      <c r="B104" s="1290">
        <v>6677</v>
      </c>
      <c r="C104" s="324"/>
      <c r="D104" s="324"/>
      <c r="E104" s="324"/>
      <c r="F104" s="324"/>
    </row>
    <row r="105" spans="1:6">
      <c r="A105" s="1284" t="s">
        <v>78</v>
      </c>
      <c r="B105" s="1292">
        <v>29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55</v>
      </c>
      <c r="C123" s="1290">
        <v>49</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227</v>
      </c>
      <c r="C129" s="324"/>
      <c r="D129" s="324"/>
      <c r="E129" s="324"/>
      <c r="F129" s="324"/>
    </row>
    <row r="130" spans="1:6">
      <c r="A130" s="1289" t="s">
        <v>283</v>
      </c>
      <c r="B130" s="1290">
        <v>6</v>
      </c>
      <c r="C130" s="324"/>
      <c r="D130" s="324"/>
      <c r="E130" s="324"/>
      <c r="F130" s="324"/>
    </row>
    <row r="131" spans="1:6">
      <c r="A131" s="1289" t="s">
        <v>284</v>
      </c>
      <c r="B131" s="1290">
        <v>14</v>
      </c>
      <c r="C131" s="324"/>
      <c r="D131" s="324"/>
      <c r="E131" s="324"/>
      <c r="F131" s="324"/>
    </row>
    <row r="132" spans="1:6">
      <c r="A132" s="1284" t="s">
        <v>285</v>
      </c>
      <c r="B132" s="1285">
        <v>23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365058.42182067764</v>
      </c>
      <c r="C3" s="43" t="s">
        <v>163</v>
      </c>
      <c r="D3" s="43"/>
      <c r="E3" s="154"/>
      <c r="F3" s="43"/>
      <c r="G3" s="43"/>
      <c r="H3" s="43"/>
      <c r="I3" s="43"/>
      <c r="J3" s="43"/>
      <c r="K3" s="96"/>
    </row>
    <row r="4" spans="1:11">
      <c r="A4" s="350" t="s">
        <v>164</v>
      </c>
      <c r="B4" s="49">
        <f>IF(ISERROR('SEAP template'!B78+'SEAP template'!C78),0,'SEAP template'!B78+'SEAP template'!C78)</f>
        <v>11442.313835390605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53.470588235294116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0.21421949413729202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76.386554621848759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321.42857142857144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4192.5434621766299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4192.5434621766299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0.21421949413729202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898.12453961608855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124212.860796017</v>
      </c>
      <c r="C5" s="17">
        <f>IF(ISERROR('Eigen informatie GS &amp; warmtenet'!B57),0,'Eigen informatie GS &amp; warmtenet'!B57)</f>
        <v>0</v>
      </c>
      <c r="D5" s="30">
        <f>(SUM(HH_hh_gas_kWh,HH_rest_gas_kWh)/1000)*0.902</f>
        <v>256502.46900143768</v>
      </c>
      <c r="E5" s="17">
        <f>B32*B41</f>
        <v>7072.6250657862993</v>
      </c>
      <c r="F5" s="17">
        <f>B36*B45</f>
        <v>179188.61599058876</v>
      </c>
      <c r="G5" s="18"/>
      <c r="H5" s="17"/>
      <c r="I5" s="17"/>
      <c r="J5" s="17">
        <f>B35*B44+C35*C44</f>
        <v>862.23551676039699</v>
      </c>
      <c r="K5" s="17"/>
      <c r="L5" s="17"/>
      <c r="M5" s="17"/>
      <c r="N5" s="17">
        <f>B34*B43+C34*C43</f>
        <v>52103.030111934553</v>
      </c>
      <c r="O5" s="17">
        <f>B52*B53*B54</f>
        <v>431.48</v>
      </c>
      <c r="P5" s="17">
        <f>B60*B61*B62/1000-B60*B61*B62/1000/B63</f>
        <v>1506.2666666666667</v>
      </c>
    </row>
    <row r="6" spans="1:16">
      <c r="A6" s="16" t="s">
        <v>607</v>
      </c>
      <c r="B6" s="754">
        <f>kWh_PV_kleiner_dan_10kW</f>
        <v>5888.4388748489091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130101.29967086592</v>
      </c>
      <c r="C8" s="21">
        <f>C5</f>
        <v>0</v>
      </c>
      <c r="D8" s="21">
        <f>D5</f>
        <v>256502.46900143768</v>
      </c>
      <c r="E8" s="21">
        <f>E5</f>
        <v>7072.6250657862993</v>
      </c>
      <c r="F8" s="21">
        <f>F5</f>
        <v>179188.61599058876</v>
      </c>
      <c r="G8" s="21"/>
      <c r="H8" s="21"/>
      <c r="I8" s="21"/>
      <c r="J8" s="21">
        <f>J5</f>
        <v>862.23551676039699</v>
      </c>
      <c r="K8" s="21"/>
      <c r="L8" s="21">
        <f>L5</f>
        <v>0</v>
      </c>
      <c r="M8" s="21">
        <f>M5</f>
        <v>0</v>
      </c>
      <c r="N8" s="21">
        <f>N5</f>
        <v>52103.030111934553</v>
      </c>
      <c r="O8" s="21">
        <f>O5</f>
        <v>431.48</v>
      </c>
      <c r="P8" s="21">
        <f>P5</f>
        <v>1506.2666666666667</v>
      </c>
    </row>
    <row r="9" spans="1:16">
      <c r="B9" s="19"/>
      <c r="C9" s="19"/>
      <c r="D9" s="254"/>
      <c r="E9" s="19"/>
      <c r="F9" s="19"/>
      <c r="G9" s="19"/>
      <c r="H9" s="19"/>
      <c r="I9" s="19"/>
      <c r="J9" s="19"/>
      <c r="K9" s="19"/>
      <c r="L9" s="19"/>
      <c r="M9" s="19"/>
      <c r="N9" s="19"/>
      <c r="O9" s="19"/>
      <c r="P9" s="19"/>
    </row>
    <row r="10" spans="1:16">
      <c r="A10" s="24" t="s">
        <v>207</v>
      </c>
      <c r="B10" s="25">
        <f ca="1">'EF ele_warmte'!B12</f>
        <v>0.21421949413729202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27870.234602097134</v>
      </c>
      <c r="C12" s="23">
        <f ca="1">C10*C8</f>
        <v>0</v>
      </c>
      <c r="D12" s="23">
        <f>D8*D10</f>
        <v>51813.498738290415</v>
      </c>
      <c r="E12" s="23">
        <f>E10*E8</f>
        <v>1605.4858899334899</v>
      </c>
      <c r="F12" s="23">
        <f>F10*F8</f>
        <v>47843.360469487205</v>
      </c>
      <c r="G12" s="23"/>
      <c r="H12" s="23"/>
      <c r="I12" s="23"/>
      <c r="J12" s="23">
        <f>J10*J8</f>
        <v>305.23137293318052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36258</v>
      </c>
      <c r="C26" s="36"/>
      <c r="D26" s="225"/>
    </row>
    <row r="27" spans="1:5" s="15" customFormat="1">
      <c r="A27" s="227" t="s">
        <v>762</v>
      </c>
      <c r="B27" s="37">
        <f>SUM(HH_hh_gas_aantal,HH_rest_gas_aantal)</f>
        <v>25284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24019.8</v>
      </c>
      <c r="C31" s="34" t="s">
        <v>104</v>
      </c>
      <c r="D31" s="171"/>
    </row>
    <row r="32" spans="1:5">
      <c r="A32" s="168" t="s">
        <v>72</v>
      </c>
      <c r="B32" s="33">
        <f>IF((B21*($B$26-($B$27-0.05*$B$27)-$B$60))&lt;0,0,B21*($B$26-($B$27-0.05*$B$27)-$B$60))</f>
        <v>133.75721028512265</v>
      </c>
      <c r="C32" s="34" t="s">
        <v>104</v>
      </c>
      <c r="D32" s="171"/>
    </row>
    <row r="33" spans="1:6">
      <c r="A33" s="168" t="s">
        <v>73</v>
      </c>
      <c r="B33" s="33">
        <f>IF((B22*($B$26-($B$27-0.05*$B$27)-$B$60))&lt;0,0,B22*($B$26-($B$27-0.05*$B$27)-$B$60))</f>
        <v>2780.9247270243318</v>
      </c>
      <c r="C33" s="34" t="s">
        <v>104</v>
      </c>
      <c r="D33" s="171"/>
    </row>
    <row r="34" spans="1:6">
      <c r="A34" s="168" t="s">
        <v>74</v>
      </c>
      <c r="B34" s="33">
        <f>IF((B24*($B$26-($B$27-0.05*$B$27)-$B$60))&lt;0,0,B24*($B$26-($B$27-0.05*$B$27)-$B$60))</f>
        <v>553.0270681478213</v>
      </c>
      <c r="C34" s="33">
        <f>B26*C24</f>
        <v>7421.8513291822828</v>
      </c>
      <c r="D34" s="230"/>
    </row>
    <row r="35" spans="1:6">
      <c r="A35" s="168" t="s">
        <v>76</v>
      </c>
      <c r="B35" s="33">
        <f>IF((B19*($B$26-($B$27-0.05*$B$27)-$B$60))&lt;0,0,B19*($B$26-($B$27-0.05*$B$27)-$B$60))</f>
        <v>101.23978505523424</v>
      </c>
      <c r="C35" s="33">
        <f>B35/2</f>
        <v>50.619892527617118</v>
      </c>
      <c r="D35" s="230"/>
    </row>
    <row r="36" spans="1:6">
      <c r="A36" s="168" t="s">
        <v>77</v>
      </c>
      <c r="B36" s="33">
        <f>IF((B18*($B$26-($B$27-0.05*$B$27)-$B$60))&lt;0,0,B18*($B$26-($B$27-0.05*$B$27)-$B$60))</f>
        <v>8590.251209487491</v>
      </c>
      <c r="C36" s="34" t="s">
        <v>104</v>
      </c>
      <c r="D36" s="171"/>
    </row>
    <row r="37" spans="1:6">
      <c r="A37" s="168" t="s">
        <v>78</v>
      </c>
      <c r="B37" s="33">
        <f>B60</f>
        <v>79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276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148031.37575653146</v>
      </c>
      <c r="C5" s="17">
        <f>IF(ISERROR('Eigen informatie GS &amp; warmtenet'!B58),0,'Eigen informatie GS &amp; warmtenet'!B58)</f>
        <v>0</v>
      </c>
      <c r="D5" s="30">
        <f>SUM(D6:D12)</f>
        <v>179362.79718577201</v>
      </c>
      <c r="E5" s="17">
        <f>SUM(E6:E12)</f>
        <v>2077.1151451513165</v>
      </c>
      <c r="F5" s="17">
        <f>SUM(F6:F12)</f>
        <v>26470.508236754104</v>
      </c>
      <c r="G5" s="18"/>
      <c r="H5" s="17"/>
      <c r="I5" s="17"/>
      <c r="J5" s="17">
        <f>SUM(J6:J12)</f>
        <v>0.55811114803347761</v>
      </c>
      <c r="K5" s="17"/>
      <c r="L5" s="17"/>
      <c r="M5" s="17"/>
      <c r="N5" s="17">
        <f>SUM(N6:N12)</f>
        <v>22085.045514819951</v>
      </c>
      <c r="O5" s="17">
        <f>B38*B39*B40</f>
        <v>9.3800000000000008</v>
      </c>
      <c r="P5" s="17">
        <f>B46*B47*B48/1000-B46*B47*B48/1000/B49</f>
        <v>266.93333333333334</v>
      </c>
      <c r="R5" s="32"/>
    </row>
    <row r="6" spans="1:18">
      <c r="A6" s="32" t="s">
        <v>53</v>
      </c>
      <c r="B6" s="37">
        <f>B26</f>
        <v>38358.400699729398</v>
      </c>
      <c r="C6" s="33"/>
      <c r="D6" s="37">
        <f>IF(ISERROR(TER_kantoor_gas_kWh/1000),0,TER_kantoor_gas_kWh/1000)*0.902</f>
        <v>58129.129553290935</v>
      </c>
      <c r="E6" s="33">
        <f>$C$26*'E Balans VL '!I12/100/3.6*1000000</f>
        <v>0.24041769778170011</v>
      </c>
      <c r="F6" s="33">
        <f>$C$26*('E Balans VL '!L12+'E Balans VL '!N12)/100/3.6*1000000</f>
        <v>5764.1957892287519</v>
      </c>
      <c r="G6" s="34"/>
      <c r="H6" s="33"/>
      <c r="I6" s="33"/>
      <c r="J6" s="33">
        <f>$C$26*('E Balans VL '!D12+'E Balans VL '!E12)/100/3.6*1000000</f>
        <v>0</v>
      </c>
      <c r="K6" s="33"/>
      <c r="L6" s="33"/>
      <c r="M6" s="33"/>
      <c r="N6" s="33">
        <f>$C$26*'E Balans VL '!Y12/100/3.6*1000000</f>
        <v>36.684123012244157</v>
      </c>
      <c r="O6" s="33"/>
      <c r="P6" s="33"/>
      <c r="R6" s="32"/>
    </row>
    <row r="7" spans="1:18">
      <c r="A7" s="32" t="s">
        <v>52</v>
      </c>
      <c r="B7" s="37">
        <f t="shared" ref="B7:B12" si="0">B27</f>
        <v>25199.958375301499</v>
      </c>
      <c r="C7" s="33"/>
      <c r="D7" s="37">
        <f>IF(ISERROR(TER_horeca_gas_kWh/1000),0,TER_horeca_gas_kWh/1000)*0.902</f>
        <v>30284.855774090291</v>
      </c>
      <c r="E7" s="33">
        <f>$C$27*'E Balans VL '!I9/100/3.6*1000000</f>
        <v>360.85920642254916</v>
      </c>
      <c r="F7" s="33">
        <f>$C$27*('E Balans VL '!L9+'E Balans VL '!N9)/100/3.6*1000000</f>
        <v>3191.1458569602601</v>
      </c>
      <c r="G7" s="34"/>
      <c r="H7" s="33"/>
      <c r="I7" s="33"/>
      <c r="J7" s="33">
        <f>$C$27*('E Balans VL '!D9+'E Balans VL '!E9)/100/3.6*1000000</f>
        <v>0</v>
      </c>
      <c r="K7" s="33"/>
      <c r="L7" s="33"/>
      <c r="M7" s="33"/>
      <c r="N7" s="33">
        <f>$C$27*'E Balans VL '!Y9/100/3.6*1000000</f>
        <v>7.2444324215105009</v>
      </c>
      <c r="O7" s="33"/>
      <c r="P7" s="33"/>
      <c r="R7" s="32"/>
    </row>
    <row r="8" spans="1:18">
      <c r="A8" s="6" t="s">
        <v>51</v>
      </c>
      <c r="B8" s="37">
        <f t="shared" si="0"/>
        <v>43857.797256169106</v>
      </c>
      <c r="C8" s="33"/>
      <c r="D8" s="37">
        <f>IF(ISERROR(TER_handel_gas_kWh/1000),0,TER_handel_gas_kWh/1000)*0.902</f>
        <v>19232.905249315412</v>
      </c>
      <c r="E8" s="33">
        <f>$C$28*'E Balans VL '!I13/100/3.6*1000000</f>
        <v>1590.7168981799962</v>
      </c>
      <c r="F8" s="33">
        <f>$C$28*('E Balans VL '!L13+'E Balans VL '!N13)/100/3.6*1000000</f>
        <v>8447.4558399696489</v>
      </c>
      <c r="G8" s="34"/>
      <c r="H8" s="33"/>
      <c r="I8" s="33"/>
      <c r="J8" s="33">
        <f>$C$28*('E Balans VL '!D13+'E Balans VL '!E13)/100/3.6*1000000</f>
        <v>0</v>
      </c>
      <c r="K8" s="33"/>
      <c r="L8" s="33"/>
      <c r="M8" s="33"/>
      <c r="N8" s="33">
        <f>$C$28*'E Balans VL '!Y13/100/3.6*1000000</f>
        <v>60.753140428887534</v>
      </c>
      <c r="O8" s="33"/>
      <c r="P8" s="33"/>
      <c r="R8" s="32"/>
    </row>
    <row r="9" spans="1:18">
      <c r="A9" s="32" t="s">
        <v>50</v>
      </c>
      <c r="B9" s="37">
        <f t="shared" si="0"/>
        <v>8366.5843325063706</v>
      </c>
      <c r="C9" s="33"/>
      <c r="D9" s="37">
        <f>IF(ISERROR(TER_gezond_gas_kWh/1000),0,TER_gezond_gas_kWh/1000)*0.902</f>
        <v>26110.322830230736</v>
      </c>
      <c r="E9" s="33">
        <f>$C$29*'E Balans VL '!I10/100/3.6*1000000</f>
        <v>0.5238307843117086</v>
      </c>
      <c r="F9" s="33">
        <f>$C$29*('E Balans VL '!L10+'E Balans VL '!N10)/100/3.6*1000000</f>
        <v>1242.8815764171152</v>
      </c>
      <c r="G9" s="34"/>
      <c r="H9" s="33"/>
      <c r="I9" s="33"/>
      <c r="J9" s="33">
        <f>$C$29*('E Balans VL '!D10+'E Balans VL '!E10)/100/3.6*1000000</f>
        <v>0</v>
      </c>
      <c r="K9" s="33"/>
      <c r="L9" s="33"/>
      <c r="M9" s="33"/>
      <c r="N9" s="33">
        <f>$C$29*'E Balans VL '!Y10/100/3.6*1000000</f>
        <v>129.41513376158792</v>
      </c>
      <c r="O9" s="33"/>
      <c r="P9" s="33"/>
      <c r="R9" s="32"/>
    </row>
    <row r="10" spans="1:18">
      <c r="A10" s="32" t="s">
        <v>49</v>
      </c>
      <c r="B10" s="37">
        <f t="shared" si="0"/>
        <v>25264.275153865598</v>
      </c>
      <c r="C10" s="33"/>
      <c r="D10" s="37">
        <f>IF(ISERROR(TER_ander_gas_kWh/1000),0,TER_ander_gas_kWh/1000)*0.902</f>
        <v>20813.18120621912</v>
      </c>
      <c r="E10" s="33">
        <f>$C$30*'E Balans VL '!I14/100/3.6*1000000</f>
        <v>30.11411319075895</v>
      </c>
      <c r="F10" s="33">
        <f>$C$30*('E Balans VL '!L14+'E Balans VL '!N14)/100/3.6*1000000</f>
        <v>6610.2575417079515</v>
      </c>
      <c r="G10" s="34"/>
      <c r="H10" s="33"/>
      <c r="I10" s="33"/>
      <c r="J10" s="33">
        <f>$C$30*('E Balans VL '!D14+'E Balans VL '!E14)/100/3.6*1000000</f>
        <v>0.54838838036632032</v>
      </c>
      <c r="K10" s="33"/>
      <c r="L10" s="33"/>
      <c r="M10" s="33"/>
      <c r="N10" s="33">
        <f>$C$30*'E Balans VL '!Y14/100/3.6*1000000</f>
        <v>21453.804252551552</v>
      </c>
      <c r="O10" s="33"/>
      <c r="P10" s="33"/>
      <c r="R10" s="32"/>
    </row>
    <row r="11" spans="1:18">
      <c r="A11" s="32" t="s">
        <v>54</v>
      </c>
      <c r="B11" s="37">
        <f t="shared" si="0"/>
        <v>2969.2179447602098</v>
      </c>
      <c r="C11" s="33"/>
      <c r="D11" s="37">
        <f>IF(ISERROR(TER_onderwijs_gas_kWh/1000),0,TER_onderwijs_gas_kWh/1000)*0.902</f>
        <v>9918.4440723293901</v>
      </c>
      <c r="E11" s="33">
        <f>$C$31*'E Balans VL '!I11/100/3.6*1000000</f>
        <v>44.800716406176456</v>
      </c>
      <c r="F11" s="33">
        <f>$C$31*('E Balans VL '!L11+'E Balans VL '!N11)/100/3.6*1000000</f>
        <v>520.25441858982185</v>
      </c>
      <c r="G11" s="34"/>
      <c r="H11" s="33"/>
      <c r="I11" s="33"/>
      <c r="J11" s="33">
        <f>$C$31*('E Balans VL '!D11+'E Balans VL '!E11)/100/3.6*1000000</f>
        <v>0</v>
      </c>
      <c r="K11" s="33"/>
      <c r="L11" s="33"/>
      <c r="M11" s="33"/>
      <c r="N11" s="33">
        <f>$C$31*'E Balans VL '!Y11/100/3.6*1000000</f>
        <v>8.3556050250995568</v>
      </c>
      <c r="O11" s="33"/>
      <c r="P11" s="33"/>
      <c r="R11" s="32"/>
    </row>
    <row r="12" spans="1:18">
      <c r="A12" s="32" t="s">
        <v>248</v>
      </c>
      <c r="B12" s="37">
        <f t="shared" si="0"/>
        <v>4015.1419941992804</v>
      </c>
      <c r="C12" s="33"/>
      <c r="D12" s="37">
        <f>IF(ISERROR(TER_rest_gas_kWh/1000),0,TER_rest_gas_kWh/1000)*0.902</f>
        <v>14873.958500296107</v>
      </c>
      <c r="E12" s="33">
        <f>$C$32*'E Balans VL '!I8/100/3.6*1000000</f>
        <v>49.859962469742229</v>
      </c>
      <c r="F12" s="33">
        <f>$C$32*('E Balans VL '!L8+'E Balans VL '!N8)/100/3.6*1000000</f>
        <v>694.31721388055325</v>
      </c>
      <c r="G12" s="34"/>
      <c r="H12" s="33"/>
      <c r="I12" s="33"/>
      <c r="J12" s="33">
        <f>$C$32*('E Balans VL '!D8+'E Balans VL '!E8)/100/3.6*1000000</f>
        <v>9.7227676671573018E-3</v>
      </c>
      <c r="K12" s="33"/>
      <c r="L12" s="33"/>
      <c r="M12" s="33"/>
      <c r="N12" s="33">
        <f>$C$32*'E Balans VL '!Y8/100/3.6*1000000</f>
        <v>388.78882761906965</v>
      </c>
      <c r="O12" s="33"/>
      <c r="P12" s="33"/>
      <c r="R12" s="32"/>
    </row>
    <row r="13" spans="1:18">
      <c r="A13" s="16" t="s">
        <v>474</v>
      </c>
      <c r="B13" s="243">
        <f ca="1">'lokale energieproductie'!N38+'lokale energieproductie'!N31</f>
        <v>225</v>
      </c>
      <c r="C13" s="243">
        <f ca="1">'lokale energieproductie'!O38+'lokale energieproductie'!O31</f>
        <v>321.42857142857144</v>
      </c>
      <c r="D13" s="302">
        <f ca="1">('lokale energieproductie'!P31+'lokale energieproductie'!P38)*(-1)</f>
        <v>-642.85714285714289</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148256.37575653146</v>
      </c>
      <c r="C16" s="21">
        <f t="shared" ca="1" si="1"/>
        <v>321.42857142857144</v>
      </c>
      <c r="D16" s="21">
        <f t="shared" ca="1" si="1"/>
        <v>178719.94004291488</v>
      </c>
      <c r="E16" s="21">
        <f t="shared" si="1"/>
        <v>2077.1151451513165</v>
      </c>
      <c r="F16" s="21">
        <f t="shared" ca="1" si="1"/>
        <v>26470.508236754104</v>
      </c>
      <c r="G16" s="21">
        <f t="shared" si="1"/>
        <v>0</v>
      </c>
      <c r="H16" s="21">
        <f t="shared" si="1"/>
        <v>0</v>
      </c>
      <c r="I16" s="21">
        <f t="shared" si="1"/>
        <v>0</v>
      </c>
      <c r="J16" s="21">
        <f t="shared" si="1"/>
        <v>0.55811114803347761</v>
      </c>
      <c r="K16" s="21">
        <f t="shared" si="1"/>
        <v>0</v>
      </c>
      <c r="L16" s="21">
        <f t="shared" ca="1" si="1"/>
        <v>0</v>
      </c>
      <c r="M16" s="21">
        <f t="shared" si="1"/>
        <v>0</v>
      </c>
      <c r="N16" s="21">
        <f t="shared" ca="1" si="1"/>
        <v>22085.045514819951</v>
      </c>
      <c r="O16" s="21">
        <f>O5</f>
        <v>9.3800000000000008</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0.21421949413729202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31759.405817192455</v>
      </c>
      <c r="C20" s="23">
        <f t="shared" ref="C20:P20" ca="1" si="2">C16*C18</f>
        <v>76.386554621848759</v>
      </c>
      <c r="D20" s="23">
        <f t="shared" ca="1" si="2"/>
        <v>36101.427888668812</v>
      </c>
      <c r="E20" s="23">
        <f t="shared" si="2"/>
        <v>471.50513794934886</v>
      </c>
      <c r="F20" s="23">
        <f t="shared" ca="1" si="2"/>
        <v>7067.6256992133458</v>
      </c>
      <c r="G20" s="23">
        <f t="shared" si="2"/>
        <v>0</v>
      </c>
      <c r="H20" s="23">
        <f t="shared" si="2"/>
        <v>0</v>
      </c>
      <c r="I20" s="23">
        <f t="shared" si="2"/>
        <v>0</v>
      </c>
      <c r="J20" s="23">
        <f t="shared" si="2"/>
        <v>0.19757134640385107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38358.400699729398</v>
      </c>
      <c r="C26" s="39">
        <f>IF(ISERROR(B26*3.6/1000000/'E Balans VL '!Z12*100),0,B26*3.6/1000000/'E Balans VL '!Z12*100)</f>
        <v>0.8108358261773051</v>
      </c>
      <c r="D26" s="233" t="s">
        <v>726</v>
      </c>
      <c r="F26" s="6"/>
    </row>
    <row r="27" spans="1:18">
      <c r="A27" s="228" t="s">
        <v>52</v>
      </c>
      <c r="B27" s="33">
        <f>IF(ISERROR(TER_horeca_ele_kWh/1000),0,TER_horeca_ele_kWh/1000)</f>
        <v>25199.958375301499</v>
      </c>
      <c r="C27" s="39">
        <f>IF(ISERROR(B27*3.6/1000000/'E Balans VL '!Z9*100),0,B27*3.6/1000000/'E Balans VL '!Z9*100)</f>
        <v>1.9865033262210261</v>
      </c>
      <c r="D27" s="233" t="s">
        <v>726</v>
      </c>
      <c r="F27" s="6"/>
    </row>
    <row r="28" spans="1:18">
      <c r="A28" s="168" t="s">
        <v>51</v>
      </c>
      <c r="B28" s="33">
        <f>IF(ISERROR(TER_handel_ele_kWh/1000),0,TER_handel_ele_kWh/1000)</f>
        <v>43857.797256169106</v>
      </c>
      <c r="C28" s="39">
        <f>IF(ISERROR(B28*3.6/1000000/'E Balans VL '!Z13*100),0,B28*3.6/1000000/'E Balans VL '!Z13*100)</f>
        <v>1.2729304817318845</v>
      </c>
      <c r="D28" s="233" t="s">
        <v>726</v>
      </c>
      <c r="F28" s="6"/>
    </row>
    <row r="29" spans="1:18">
      <c r="A29" s="228" t="s">
        <v>50</v>
      </c>
      <c r="B29" s="33">
        <f>IF(ISERROR(TER_gezond_ele_kWh/1000),0,TER_gezond_ele_kWh/1000)</f>
        <v>8366.5843325063706</v>
      </c>
      <c r="C29" s="39">
        <f>IF(ISERROR(B29*3.6/1000000/'E Balans VL '!Z10*100),0,B29*3.6/1000000/'E Balans VL '!Z10*100)</f>
        <v>0.88113871315403913</v>
      </c>
      <c r="D29" s="233" t="s">
        <v>726</v>
      </c>
      <c r="F29" s="6"/>
    </row>
    <row r="30" spans="1:18">
      <c r="A30" s="228" t="s">
        <v>49</v>
      </c>
      <c r="B30" s="33">
        <f>IF(ISERROR(TER_ander_ele_kWh/1000),0,TER_ander_ele_kWh/1000)</f>
        <v>25264.275153865598</v>
      </c>
      <c r="C30" s="39">
        <f>IF(ISERROR(B30*3.6/1000000/'E Balans VL '!Z14*100),0,B30*3.6/1000000/'E Balans VL '!Z14*100)</f>
        <v>1.8634984227223939</v>
      </c>
      <c r="D30" s="233" t="s">
        <v>726</v>
      </c>
      <c r="F30" s="6"/>
    </row>
    <row r="31" spans="1:18">
      <c r="A31" s="228" t="s">
        <v>54</v>
      </c>
      <c r="B31" s="33">
        <f>IF(ISERROR(TER_onderwijs_ele_kWh/1000),0,TER_onderwijs_ele_kWh/1000)</f>
        <v>2969.2179447602098</v>
      </c>
      <c r="C31" s="39">
        <f>IF(ISERROR(B31*3.6/1000000/'E Balans VL '!Z11*100),0,B31*3.6/1000000/'E Balans VL '!Z11*100)</f>
        <v>0.73739590204357486</v>
      </c>
      <c r="D31" s="233" t="s">
        <v>726</v>
      </c>
    </row>
    <row r="32" spans="1:18">
      <c r="A32" s="228" t="s">
        <v>248</v>
      </c>
      <c r="B32" s="33">
        <f>IF(ISERROR(TER_rest_ele_kWh/1000),0,TER_rest_ele_kWh/1000)</f>
        <v>4015.1419941992804</v>
      </c>
      <c r="C32" s="39">
        <f>IF(ISERROR(B32*3.6/1000000/'E Balans VL '!Z8*100),0,B32*3.6/1000000/'E Balans VL '!Z8*100)</f>
        <v>3.3039289053026534E-2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14</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65328.787829308159</v>
      </c>
      <c r="C5" s="17">
        <f>IF(ISERROR('Eigen informatie GS &amp; warmtenet'!B59),0,'Eigen informatie GS &amp; warmtenet'!B59)</f>
        <v>0</v>
      </c>
      <c r="D5" s="30">
        <f>SUM(D6:D15)</f>
        <v>59696.89721704556</v>
      </c>
      <c r="E5" s="17">
        <f>SUM(E6:E15)</f>
        <v>4174.4730309243569</v>
      </c>
      <c r="F5" s="17">
        <f>SUM(F6:F15)</f>
        <v>14603.749987278912</v>
      </c>
      <c r="G5" s="18"/>
      <c r="H5" s="17"/>
      <c r="I5" s="17"/>
      <c r="J5" s="17">
        <f>SUM(J6:J15)</f>
        <v>73.671758773098347</v>
      </c>
      <c r="K5" s="17"/>
      <c r="L5" s="17"/>
      <c r="M5" s="17"/>
      <c r="N5" s="17">
        <f>SUM(N6:N15)</f>
        <v>4574.9943174370246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12335.211471136599</v>
      </c>
      <c r="C8" s="33"/>
      <c r="D8" s="37">
        <f>IF( ISERROR(IND_metaal_Gas_kWH/1000),0,IND_metaal_Gas_kWH/1000)*0.902</f>
        <v>7895.8437730843098</v>
      </c>
      <c r="E8" s="33">
        <f>C30*'E Balans VL '!I18/100/3.6*1000000</f>
        <v>113.41035601656488</v>
      </c>
      <c r="F8" s="33">
        <f>C30*'E Balans VL '!L18/100/3.6*1000000+C30*'E Balans VL '!N18/100/3.6*1000000</f>
        <v>1156.6321552317495</v>
      </c>
      <c r="G8" s="34"/>
      <c r="H8" s="33"/>
      <c r="I8" s="33"/>
      <c r="J8" s="40">
        <f>C30*'E Balans VL '!D18/100/3.6*1000000+C30*'E Balans VL '!E18/100/3.6*1000000</f>
        <v>0</v>
      </c>
      <c r="K8" s="33"/>
      <c r="L8" s="33"/>
      <c r="M8" s="33"/>
      <c r="N8" s="33">
        <f>C30*'E Balans VL '!Y18/100/3.6*1000000</f>
        <v>175.98217643114478</v>
      </c>
      <c r="O8" s="33"/>
      <c r="P8" s="33"/>
      <c r="R8" s="32"/>
    </row>
    <row r="9" spans="1:18">
      <c r="A9" s="6" t="s">
        <v>32</v>
      </c>
      <c r="B9" s="37">
        <f t="shared" si="0"/>
        <v>9855.4825736015409</v>
      </c>
      <c r="C9" s="33"/>
      <c r="D9" s="37">
        <f>IF( ISERROR(IND_andere_gas_kWh/1000),0,IND_andere_gas_kWh/1000)*0.902</f>
        <v>3863.5187946546057</v>
      </c>
      <c r="E9" s="33">
        <f>C31*'E Balans VL '!I19/100/3.6*1000000</f>
        <v>2880.9494198792563</v>
      </c>
      <c r="F9" s="33">
        <f>C31*'E Balans VL '!L19/100/3.6*1000000+C31*'E Balans VL '!N19/100/3.6*1000000</f>
        <v>7919.6262393735451</v>
      </c>
      <c r="G9" s="34"/>
      <c r="H9" s="33"/>
      <c r="I9" s="33"/>
      <c r="J9" s="40">
        <f>C31*'E Balans VL '!D19/100/3.6*1000000+C31*'E Balans VL '!E19/100/3.6*1000000</f>
        <v>0</v>
      </c>
      <c r="K9" s="33"/>
      <c r="L9" s="33"/>
      <c r="M9" s="33"/>
      <c r="N9" s="33">
        <f>C31*'E Balans VL '!Y19/100/3.6*1000000</f>
        <v>773.05066766367327</v>
      </c>
      <c r="O9" s="33"/>
      <c r="P9" s="33"/>
      <c r="R9" s="32"/>
    </row>
    <row r="10" spans="1:18">
      <c r="A10" s="6" t="s">
        <v>40</v>
      </c>
      <c r="B10" s="37">
        <f t="shared" si="0"/>
        <v>20653.687023654496</v>
      </c>
      <c r="C10" s="33"/>
      <c r="D10" s="37">
        <f>IF( ISERROR(IND_voed_gas_kWh/1000),0,IND_voed_gas_kWh/1000)*0.902</f>
        <v>16780.54707563304</v>
      </c>
      <c r="E10" s="33">
        <f>C32*'E Balans VL '!I20/100/3.6*1000000</f>
        <v>43.69319513775126</v>
      </c>
      <c r="F10" s="33">
        <f>C32*'E Balans VL '!L20/100/3.6*1000000+C32*'E Balans VL '!N20/100/3.6*1000000</f>
        <v>1313.182518086584</v>
      </c>
      <c r="G10" s="34"/>
      <c r="H10" s="33"/>
      <c r="I10" s="33"/>
      <c r="J10" s="40">
        <f>C32*'E Balans VL '!D20/100/3.6*1000000+C32*'E Balans VL '!E20/100/3.6*1000000</f>
        <v>0</v>
      </c>
      <c r="K10" s="33"/>
      <c r="L10" s="33"/>
      <c r="M10" s="33"/>
      <c r="N10" s="33">
        <f>C32*'E Balans VL '!Y20/100/3.6*1000000</f>
        <v>1425.3082201958575</v>
      </c>
      <c r="O10" s="33"/>
      <c r="P10" s="33"/>
      <c r="R10" s="32"/>
    </row>
    <row r="11" spans="1:18">
      <c r="A11" s="6" t="s">
        <v>39</v>
      </c>
      <c r="B11" s="37">
        <f t="shared" si="0"/>
        <v>93.085549998959593</v>
      </c>
      <c r="C11" s="33"/>
      <c r="D11" s="37">
        <f>IF( ISERROR(IND_textiel_gas_kWh/1000),0,IND_textiel_gas_kWh/1000)*0.902</f>
        <v>276.31721815603345</v>
      </c>
      <c r="E11" s="33">
        <f>C33*'E Balans VL '!I21/100/3.6*1000000</f>
        <v>0.27645605797965395</v>
      </c>
      <c r="F11" s="33">
        <f>C33*'E Balans VL '!L21/100/3.6*1000000+C33*'E Balans VL '!N21/100/3.6*1000000</f>
        <v>9.4041961314395675</v>
      </c>
      <c r="G11" s="34"/>
      <c r="H11" s="33"/>
      <c r="I11" s="33"/>
      <c r="J11" s="40">
        <f>C33*'E Balans VL '!D21/100/3.6*1000000+C33*'E Balans VL '!E21/100/3.6*1000000</f>
        <v>0</v>
      </c>
      <c r="K11" s="33"/>
      <c r="L11" s="33"/>
      <c r="M11" s="33"/>
      <c r="N11" s="33">
        <f>C33*'E Balans VL '!Y21/100/3.6*1000000</f>
        <v>5.1339651514083426</v>
      </c>
      <c r="O11" s="33"/>
      <c r="P11" s="33"/>
      <c r="R11" s="32"/>
    </row>
    <row r="12" spans="1:18">
      <c r="A12" s="6" t="s">
        <v>36</v>
      </c>
      <c r="B12" s="37">
        <f t="shared" si="0"/>
        <v>405.11982324886395</v>
      </c>
      <c r="C12" s="33"/>
      <c r="D12" s="37">
        <f>IF( ISERROR(IND_min_gas_kWh/1000),0,IND_min_gas_kWh/1000)*0.902</f>
        <v>0</v>
      </c>
      <c r="E12" s="33">
        <f>C34*'E Balans VL '!I22/100/3.6*1000000</f>
        <v>11.742755528619606</v>
      </c>
      <c r="F12" s="33">
        <f>C34*'E Balans VL '!L22/100/3.6*1000000+C34*'E Balans VL '!N22/100/3.6*1000000</f>
        <v>139.28477318899147</v>
      </c>
      <c r="G12" s="34"/>
      <c r="H12" s="33"/>
      <c r="I12" s="33"/>
      <c r="J12" s="40">
        <f>C34*'E Balans VL '!D22/100/3.6*1000000+C34*'E Balans VL '!E22/100/3.6*1000000</f>
        <v>0.66573395063562046</v>
      </c>
      <c r="K12" s="33"/>
      <c r="L12" s="33"/>
      <c r="M12" s="33"/>
      <c r="N12" s="33">
        <f>C34*'E Balans VL '!Y22/100/3.6*1000000</f>
        <v>88.687386761236937</v>
      </c>
      <c r="O12" s="33"/>
      <c r="P12" s="33"/>
      <c r="R12" s="32"/>
    </row>
    <row r="13" spans="1:18">
      <c r="A13" s="6" t="s">
        <v>38</v>
      </c>
      <c r="B13" s="37">
        <f t="shared" si="0"/>
        <v>1665.2912447578999</v>
      </c>
      <c r="C13" s="33"/>
      <c r="D13" s="37">
        <f>IF( ISERROR(IND_papier_gas_kWh/1000),0,IND_papier_gas_kWh/1000)*0.902</f>
        <v>518.612292067814</v>
      </c>
      <c r="E13" s="33">
        <f>C35*'E Balans VL '!I23/100/3.6*1000000</f>
        <v>2.3626674271603081</v>
      </c>
      <c r="F13" s="33">
        <f>C35*'E Balans VL '!L23/100/3.6*1000000+C35*'E Balans VL '!N23/100/3.6*1000000</f>
        <v>40.656021183352856</v>
      </c>
      <c r="G13" s="34"/>
      <c r="H13" s="33"/>
      <c r="I13" s="33"/>
      <c r="J13" s="40">
        <f>C35*'E Balans VL '!D23/100/3.6*1000000+C35*'E Balans VL '!E23/100/3.6*1000000</f>
        <v>0.25755292570875421</v>
      </c>
      <c r="K13" s="33"/>
      <c r="L13" s="33"/>
      <c r="M13" s="33"/>
      <c r="N13" s="33">
        <f>C35*'E Balans VL '!Y23/100/3.6*1000000</f>
        <v>680.41385750434517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20320.910142909797</v>
      </c>
      <c r="C15" s="33"/>
      <c r="D15" s="37">
        <f>IF( ISERROR(IND_rest_gas_kWh/1000),0,IND_rest_gas_kWh/1000)*0.902</f>
        <v>30362.05806344976</v>
      </c>
      <c r="E15" s="33">
        <f>C37*'E Balans VL '!I15/100/3.6*1000000</f>
        <v>1122.0381808770253</v>
      </c>
      <c r="F15" s="33">
        <f>C37*'E Balans VL '!L15/100/3.6*1000000+C37*'E Balans VL '!N15/100/3.6*1000000</f>
        <v>4024.9640840832503</v>
      </c>
      <c r="G15" s="34"/>
      <c r="H15" s="33"/>
      <c r="I15" s="33"/>
      <c r="J15" s="40">
        <f>C37*'E Balans VL '!D15/100/3.6*1000000+C37*'E Balans VL '!E15/100/3.6*1000000</f>
        <v>72.748471896753969</v>
      </c>
      <c r="K15" s="33"/>
      <c r="L15" s="33"/>
      <c r="M15" s="33"/>
      <c r="N15" s="33">
        <f>C37*'E Balans VL '!Y15/100/3.6*1000000</f>
        <v>1426.4180437293587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65328.787829308159</v>
      </c>
      <c r="C18" s="21">
        <f>C5+C16</f>
        <v>0</v>
      </c>
      <c r="D18" s="21">
        <f>MAX((D5+D16),0)</f>
        <v>59696.89721704556</v>
      </c>
      <c r="E18" s="21">
        <f>MAX((E5+E16),0)</f>
        <v>4174.4730309243569</v>
      </c>
      <c r="F18" s="21">
        <f>MAX((F5+F16),0)</f>
        <v>14603.749987278912</v>
      </c>
      <c r="G18" s="21"/>
      <c r="H18" s="21"/>
      <c r="I18" s="21"/>
      <c r="J18" s="21">
        <f>MAX((J5+J16),0)</f>
        <v>73.671758773098347</v>
      </c>
      <c r="K18" s="21"/>
      <c r="L18" s="21">
        <f>MAX((L5+L16),0)</f>
        <v>0</v>
      </c>
      <c r="M18" s="21"/>
      <c r="N18" s="21">
        <f>MAX((N5+N16),0)</f>
        <v>4574.9943174370246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0.21421949413729202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13994.699881396873</v>
      </c>
      <c r="C22" s="23">
        <f ca="1">C18*C20</f>
        <v>0</v>
      </c>
      <c r="D22" s="23">
        <f>D18*D20</f>
        <v>12058.773237843205</v>
      </c>
      <c r="E22" s="23">
        <f>E18*E20</f>
        <v>947.605378019829</v>
      </c>
      <c r="F22" s="23">
        <f>F18*F20</f>
        <v>3899.2012466034698</v>
      </c>
      <c r="G22" s="23"/>
      <c r="H22" s="23"/>
      <c r="I22" s="23"/>
      <c r="J22" s="23">
        <f>J18*J20</f>
        <v>26.079802605676814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12335.211471136599</v>
      </c>
      <c r="C30" s="39">
        <f>IF(ISERROR(B30*3.6/1000000/'E Balans VL '!Z18*100),0,B30*3.6/1000000/'E Balans VL '!Z18*100)</f>
        <v>0.69906806362024887</v>
      </c>
      <c r="D30" s="233" t="s">
        <v>726</v>
      </c>
    </row>
    <row r="31" spans="1:18">
      <c r="A31" s="6" t="s">
        <v>32</v>
      </c>
      <c r="B31" s="37">
        <f>IF( ISERROR(IND_ander_ele_kWh/1000),0,IND_ander_ele_kWh/1000)</f>
        <v>9855.4825736015409</v>
      </c>
      <c r="C31" s="39">
        <f>IF(ISERROR(B31*3.6/1000000/'E Balans VL '!Z19*100),0,B31*3.6/1000000/'E Balans VL '!Z19*100)</f>
        <v>0.44700365202337489</v>
      </c>
      <c r="D31" s="233" t="s">
        <v>726</v>
      </c>
    </row>
    <row r="32" spans="1:18">
      <c r="A32" s="168" t="s">
        <v>40</v>
      </c>
      <c r="B32" s="37">
        <f>IF( ISERROR(IND_voed_ele_kWh/1000),0,IND_voed_ele_kWh/1000)</f>
        <v>20653.687023654496</v>
      </c>
      <c r="C32" s="39">
        <f>IF(ISERROR(B32*3.6/1000000/'E Balans VL '!Z20*100),0,B32*3.6/1000000/'E Balans VL '!Z20*100)</f>
        <v>0.63891229946406403</v>
      </c>
      <c r="D32" s="233" t="s">
        <v>726</v>
      </c>
    </row>
    <row r="33" spans="1:5">
      <c r="A33" s="168" t="s">
        <v>39</v>
      </c>
      <c r="B33" s="37">
        <f>IF( ISERROR(IND_textiel_ele_kWh/1000),0,IND_textiel_ele_kWh/1000)</f>
        <v>93.085549998959593</v>
      </c>
      <c r="C33" s="39">
        <f>IF(ISERROR(B33*3.6/1000000/'E Balans VL '!Z21*100),0,B33*3.6/1000000/'E Balans VL '!Z21*100)</f>
        <v>1.2137321021289098E-2</v>
      </c>
      <c r="D33" s="233" t="s">
        <v>726</v>
      </c>
    </row>
    <row r="34" spans="1:5">
      <c r="A34" s="168" t="s">
        <v>36</v>
      </c>
      <c r="B34" s="37">
        <f>IF( ISERROR(IND_min_ele_kWh/1000),0,IND_min_ele_kWh/1000)</f>
        <v>405.11982324886395</v>
      </c>
      <c r="C34" s="39">
        <f>IF(ISERROR(B34*3.6/1000000/'E Balans VL '!Z22*100),0,B34*3.6/1000000/'E Balans VL '!Z22*100)</f>
        <v>7.2868416609554384E-2</v>
      </c>
      <c r="D34" s="233" t="s">
        <v>726</v>
      </c>
    </row>
    <row r="35" spans="1:5">
      <c r="A35" s="168" t="s">
        <v>38</v>
      </c>
      <c r="B35" s="37">
        <f>IF( ISERROR(IND_papier_ele_kWh/1000),0,IND_papier_ele_kWh/1000)</f>
        <v>1665.2912447578999</v>
      </c>
      <c r="C35" s="39">
        <f>IF(ISERROR(B35*3.6/1000000/'E Balans VL '!Z22*100),0,B35*3.6/1000000/'E Balans VL '!Z22*100)</f>
        <v>0.29953393844348825</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20320.910142909797</v>
      </c>
      <c r="C37" s="39">
        <f>IF(ISERROR(B37*3.6/1000000/'E Balans VL '!Z15*100),0,B37*3.6/1000000/'E Balans VL '!Z15*100)</f>
        <v>0.16106816933369428</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562.16667084125504</v>
      </c>
      <c r="C5" s="17">
        <f>'Eigen informatie GS &amp; warmtenet'!B60</f>
        <v>0</v>
      </c>
      <c r="D5" s="30">
        <f>IF(ISERROR(SUM(LB_lb_gas_kWh,LB_rest_gas_kWh)/1000),0,SUM(LB_lb_gas_kWh,LB_rest_gas_kWh)/1000)*0.902</f>
        <v>504.03465911691973</v>
      </c>
      <c r="E5" s="17">
        <f>B17*'E Balans VL '!I25/3.6*1000000/100</f>
        <v>16.523795511222318</v>
      </c>
      <c r="F5" s="17">
        <f>B17*('E Balans VL '!L25/3.6*1000000+'E Balans VL '!N25/3.6*1000000)/100</f>
        <v>2341.9559728322406</v>
      </c>
      <c r="G5" s="18"/>
      <c r="H5" s="17"/>
      <c r="I5" s="17"/>
      <c r="J5" s="17">
        <f>('E Balans VL '!D25+'E Balans VL '!E25)/3.6*1000000*landbouw!B17/100</f>
        <v>81.445877937447065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562.16667084125504</v>
      </c>
      <c r="C8" s="21">
        <f>C5+C6</f>
        <v>0</v>
      </c>
      <c r="D8" s="21">
        <f>MAX((D5+D6),0)</f>
        <v>504.03465911691973</v>
      </c>
      <c r="E8" s="21">
        <f>MAX((E5+E6),0)</f>
        <v>16.523795511222318</v>
      </c>
      <c r="F8" s="21">
        <f>MAX((F5+F6),0)</f>
        <v>2341.9559728322406</v>
      </c>
      <c r="G8" s="21"/>
      <c r="H8" s="21"/>
      <c r="I8" s="21"/>
      <c r="J8" s="21">
        <f>MAX((J5+J6),0)</f>
        <v>81.445877937447065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0.21421949413729202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120.42705984845921</v>
      </c>
      <c r="C12" s="23">
        <f ca="1">C8*C10</f>
        <v>0</v>
      </c>
      <c r="D12" s="23">
        <f>D8*D10</f>
        <v>101.81500114161778</v>
      </c>
      <c r="E12" s="23">
        <f>E8*E10</f>
        <v>3.7509015810474664</v>
      </c>
      <c r="F12" s="23">
        <f>F8*F10</f>
        <v>625.30224474620832</v>
      </c>
      <c r="G12" s="23"/>
      <c r="H12" s="23"/>
      <c r="I12" s="23"/>
      <c r="J12" s="23">
        <f>J8*J10</f>
        <v>28.831840789856258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7.977321433651513E-2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87.957919509768672</v>
      </c>
      <c r="C26" s="243">
        <f>B26*'GWP N2O_CH4'!B5</f>
        <v>1847.1163097051422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19.23354654635375</v>
      </c>
      <c r="C27" s="243">
        <f>B27*'GWP N2O_CH4'!B5</f>
        <v>403.90447747342876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1.2974958882560927</v>
      </c>
      <c r="C28" s="243">
        <f>B28*'GWP N2O_CH4'!B4</f>
        <v>402.22372535938877</v>
      </c>
      <c r="D28" s="50"/>
    </row>
    <row r="29" spans="1:4">
      <c r="A29" s="41" t="s">
        <v>265</v>
      </c>
      <c r="B29" s="243">
        <f>B34*'ha_N2O bodem landbouw'!B4</f>
        <v>5.1901580799375573</v>
      </c>
      <c r="C29" s="243">
        <f>B29*'GWP N2O_CH4'!B4</f>
        <v>1608.9490047806428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1.1843761877613076E-3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4.5201677625789468E-4</v>
      </c>
      <c r="C5" s="429" t="s">
        <v>204</v>
      </c>
      <c r="D5" s="414">
        <f>SUM(D6:D11)</f>
        <v>7.6551236054867478E-4</v>
      </c>
      <c r="E5" s="414">
        <f>SUM(E6:E11)</f>
        <v>1.3827889951825137E-3</v>
      </c>
      <c r="F5" s="427" t="s">
        <v>204</v>
      </c>
      <c r="G5" s="414">
        <f>SUM(G6:G11)</f>
        <v>0.64544235778190873</v>
      </c>
      <c r="H5" s="414">
        <f>SUM(H6:H11)</f>
        <v>0.12389386922069402</v>
      </c>
      <c r="I5" s="429" t="s">
        <v>204</v>
      </c>
      <c r="J5" s="429" t="s">
        <v>204</v>
      </c>
      <c r="K5" s="429" t="s">
        <v>204</v>
      </c>
      <c r="L5" s="429" t="s">
        <v>204</v>
      </c>
      <c r="M5" s="414">
        <f>SUM(M6:M11)</f>
        <v>4.1357699294857983E-2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2.3715607417189544E-4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3.9870106441396532E-4</v>
      </c>
      <c r="E6" s="857">
        <f>vkm_GW_PW*SUMIFS(TableVerdeelsleutelVkm[LPG],TableVerdeelsleutelVkm[Voertuigtype],"Lichte voertuigen")*SUMIFS(TableECFTransport[EnergieConsumptieFactor (PJ per km)],TableECFTransport[Index],CONCATENATE($A6,"_LPG_LPG"))</f>
        <v>7.0151793842849423E-4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0.20813834119242419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6.4415580440534789E-2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1.4057022053486624E-2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4.9785914416434543E-6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0.15991444115783246</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2.6090979324195662E-6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9.3430881972655002E-3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1.058732456519867E-4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2.2822433981286818E-4</v>
      </c>
      <c r="E8" s="417">
        <f>vkm_NGW_PW*SUMIFS(TableVerdeelsleutelVkm[LPG],TableVerdeelsleutelVkm[Voertuigtype],"Lichte voertuigen")*SUMIFS(TableECFTransport[EnergieConsumptieFactor (PJ per km)],TableECFTransport[Index],CONCATENATE($A8,"_LPG_LPG"))</f>
        <v>3.8453220200020279E-4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0.10609601186715678</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3.6114619183939045E-2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7.2619543807626369E-3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1.7390752072511751E-6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7.1671851990166416E-2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1.100065899504511E-6</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4.187464892269413E-3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1.0164698681862402E-4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1.3858695632184125E-4</v>
      </c>
      <c r="E10" s="417">
        <f>vkm_SW_PW*SUMIFS(TableVerdeelsleutelVkm[LPG],TableVerdeelsleutelVkm[Voertuigtype],"Lichte voertuigen")*SUMIFS(TableECFTransport[EnergieConsumptieFactor (PJ per km)],TableECFTransport[Index],CONCATENATE($A10,"_LPG_LPG"))</f>
        <v>2.9673885475381667E-4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8.0567572451051339E-2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2.3359624489846131E-2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5.3949205919190408E-3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6.2280296649381529E-7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1.9054139123277632E-2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3.3594254214497169E-7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1.1132491791547743E-3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125.56021562719297</v>
      </c>
      <c r="C14" s="21"/>
      <c r="D14" s="21">
        <f t="shared" ref="D14:M14" si="0">((D5)*10^9/3600)+D12</f>
        <v>212.6423223746319</v>
      </c>
      <c r="E14" s="21">
        <f t="shared" si="0"/>
        <v>384.10805421736495</v>
      </c>
      <c r="F14" s="21"/>
      <c r="G14" s="21">
        <f t="shared" si="0"/>
        <v>179289.543828308</v>
      </c>
      <c r="H14" s="21">
        <f t="shared" si="0"/>
        <v>34414.963672415004</v>
      </c>
      <c r="I14" s="21"/>
      <c r="J14" s="21"/>
      <c r="K14" s="21"/>
      <c r="L14" s="21"/>
      <c r="M14" s="21">
        <f t="shared" si="0"/>
        <v>11488.249804127219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0.21421949413729202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26.897445875426587</v>
      </c>
      <c r="C18" s="23"/>
      <c r="D18" s="23">
        <f t="shared" ref="D18:M18" si="1">D14*D16</f>
        <v>42.953749119675649</v>
      </c>
      <c r="E18" s="23">
        <f t="shared" si="1"/>
        <v>87.192528307341846</v>
      </c>
      <c r="F18" s="23"/>
      <c r="G18" s="23">
        <f t="shared" si="1"/>
        <v>47870.308202158238</v>
      </c>
      <c r="H18" s="23">
        <f t="shared" si="1"/>
        <v>8569.3259544313369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6.8320867259335661E-3</v>
      </c>
      <c r="C50" s="313">
        <f t="shared" ref="C50:P50" si="2">SUM(C51:C52)</f>
        <v>0</v>
      </c>
      <c r="D50" s="313">
        <f t="shared" si="2"/>
        <v>0</v>
      </c>
      <c r="E50" s="313">
        <f t="shared" si="2"/>
        <v>0</v>
      </c>
      <c r="F50" s="313">
        <f t="shared" si="2"/>
        <v>0</v>
      </c>
      <c r="G50" s="313">
        <f t="shared" si="2"/>
        <v>3.2143186378082098E-2</v>
      </c>
      <c r="H50" s="313">
        <f t="shared" si="2"/>
        <v>0</v>
      </c>
      <c r="I50" s="313">
        <f t="shared" si="2"/>
        <v>0</v>
      </c>
      <c r="J50" s="313">
        <f t="shared" si="2"/>
        <v>0</v>
      </c>
      <c r="K50" s="313">
        <f t="shared" si="2"/>
        <v>0</v>
      </c>
      <c r="L50" s="313">
        <f t="shared" si="2"/>
        <v>0</v>
      </c>
      <c r="M50" s="313">
        <f t="shared" si="2"/>
        <v>1.851029593081522E-3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3.421669259335665E-4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3.2143186378082098E-2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1.851029593081522E-3</v>
      </c>
      <c r="N51" s="315"/>
      <c r="O51" s="315"/>
      <c r="P51" s="318"/>
    </row>
    <row r="52" spans="1:18">
      <c r="A52" s="4" t="s">
        <v>317</v>
      </c>
      <c r="B52" s="858">
        <f>vkm_tram*SUMIFS(TableECFTransport[EnergieConsumptieFactor (PJ per km)],TableECFTransport[Index],"Tram_gemiddeld_Electric_Electric")</f>
        <v>6.4899197999999996E-3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1897.8018683148794</v>
      </c>
      <c r="C54" s="21">
        <f t="shared" ref="C54:P54" si="3">(C50)*10^9/3600</f>
        <v>0</v>
      </c>
      <c r="D54" s="21">
        <f t="shared" si="3"/>
        <v>0</v>
      </c>
      <c r="E54" s="21">
        <f t="shared" si="3"/>
        <v>0</v>
      </c>
      <c r="F54" s="21">
        <f t="shared" si="3"/>
        <v>0</v>
      </c>
      <c r="G54" s="21">
        <f t="shared" si="3"/>
        <v>8928.6628828005832</v>
      </c>
      <c r="H54" s="21">
        <f t="shared" si="3"/>
        <v>0</v>
      </c>
      <c r="I54" s="21">
        <f t="shared" si="3"/>
        <v>0</v>
      </c>
      <c r="J54" s="21">
        <f t="shared" si="3"/>
        <v>0</v>
      </c>
      <c r="K54" s="21">
        <f t="shared" si="3"/>
        <v>0</v>
      </c>
      <c r="L54" s="21">
        <f t="shared" si="3"/>
        <v>0</v>
      </c>
      <c r="M54" s="21">
        <f t="shared" si="3"/>
        <v>514.17488696708949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0.21421949413729202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406.54615620322113</v>
      </c>
      <c r="C58" s="23">
        <f t="shared" ref="C58:P58" ca="1" si="4">C54*C56</f>
        <v>0</v>
      </c>
      <c r="D58" s="23">
        <f t="shared" si="4"/>
        <v>0</v>
      </c>
      <c r="E58" s="23">
        <f t="shared" si="4"/>
        <v>0</v>
      </c>
      <c r="F58" s="23">
        <f t="shared" si="4"/>
        <v>0</v>
      </c>
      <c r="G58" s="23">
        <f t="shared" si="4"/>
        <v>2383.9529897077559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11217.313835390605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225</v>
      </c>
      <c r="C8" s="536">
        <f>B48</f>
        <v>264.70588235294116</v>
      </c>
      <c r="D8" s="1002"/>
      <c r="E8" s="1002">
        <f>E48</f>
        <v>0</v>
      </c>
      <c r="F8" s="1003"/>
      <c r="G8" s="537"/>
      <c r="H8" s="1002">
        <f>I48</f>
        <v>0</v>
      </c>
      <c r="I8" s="1002">
        <f>G48+F48</f>
        <v>0</v>
      </c>
      <c r="J8" s="1002">
        <f>H48+D48+C48</f>
        <v>0</v>
      </c>
      <c r="K8" s="1002"/>
      <c r="L8" s="1002"/>
      <c r="M8" s="1002"/>
      <c r="N8" s="538"/>
      <c r="O8" s="539">
        <f>C8*$C$12+D8*$D$12+E8*$E$12+F8*$F$12+G8*$G$12+H8*$H$12+I8*$I$12+J8*$J$12</f>
        <v>53.470588235294116</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11442.313835390605</v>
      </c>
      <c r="C10" s="549">
        <f t="shared" ref="C10:L10" si="0">SUM(C8:C9)</f>
        <v>264.70588235294116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53.470588235294116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321.42857142857144</v>
      </c>
      <c r="C17" s="561">
        <f>B49</f>
        <v>378.15126050420173</v>
      </c>
      <c r="D17" s="562"/>
      <c r="E17" s="562">
        <f>E49</f>
        <v>0</v>
      </c>
      <c r="F17" s="1008"/>
      <c r="G17" s="563"/>
      <c r="H17" s="561">
        <f>I49</f>
        <v>0</v>
      </c>
      <c r="I17" s="562">
        <f>G49+F49</f>
        <v>0</v>
      </c>
      <c r="J17" s="562">
        <f>H49+D49+C49</f>
        <v>0</v>
      </c>
      <c r="K17" s="562"/>
      <c r="L17" s="562"/>
      <c r="M17" s="562"/>
      <c r="N17" s="1009"/>
      <c r="O17" s="564">
        <f>C17*$C$22+E17*$E$22+H17*$H$22+I17*$I$22+J17*$J$22+D17*$D$22+F17*$F$22+G17*$G$22+K17*$K$22+L17*$L$22</f>
        <v>76.386554621848759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321.42857142857144</v>
      </c>
      <c r="C20" s="548">
        <f>SUM(C17:C19)</f>
        <v>378.15126050420173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76.386554621848759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35013</v>
      </c>
      <c r="C28" s="762">
        <v>8400</v>
      </c>
      <c r="D28" s="619"/>
      <c r="E28" s="618"/>
      <c r="F28" s="618"/>
      <c r="G28" s="618" t="s">
        <v>896</v>
      </c>
      <c r="H28" s="618" t="s">
        <v>897</v>
      </c>
      <c r="I28" s="618"/>
      <c r="J28" s="761"/>
      <c r="K28" s="761"/>
      <c r="L28" s="618" t="s">
        <v>898</v>
      </c>
      <c r="M28" s="618">
        <v>50</v>
      </c>
      <c r="N28" s="618">
        <v>225</v>
      </c>
      <c r="O28" s="618">
        <v>321.42857142857144</v>
      </c>
      <c r="P28" s="618">
        <v>642.85714285714289</v>
      </c>
      <c r="Q28" s="618">
        <v>0</v>
      </c>
      <c r="R28" s="618">
        <v>0</v>
      </c>
      <c r="S28" s="618">
        <v>0</v>
      </c>
      <c r="T28" s="618">
        <v>0</v>
      </c>
      <c r="U28" s="618">
        <v>0</v>
      </c>
      <c r="V28" s="618">
        <v>0</v>
      </c>
      <c r="W28" s="618">
        <v>0</v>
      </c>
      <c r="X28" s="618">
        <v>1300</v>
      </c>
      <c r="Y28" s="618" t="s">
        <v>53</v>
      </c>
      <c r="Z28" s="620" t="s">
        <v>149</v>
      </c>
    </row>
    <row r="29" spans="1:26" s="556" customFormat="1" hidden="1">
      <c r="A29" s="574" t="s">
        <v>268</v>
      </c>
      <c r="B29" s="575"/>
      <c r="C29" s="575"/>
      <c r="D29" s="575"/>
      <c r="E29" s="575"/>
      <c r="F29" s="575"/>
      <c r="G29" s="575"/>
      <c r="H29" s="575"/>
      <c r="I29" s="575"/>
      <c r="J29" s="575"/>
      <c r="K29" s="575"/>
      <c r="L29" s="576"/>
      <c r="M29" s="576">
        <f>SUM(M28:M28)</f>
        <v>50</v>
      </c>
      <c r="N29" s="576">
        <f>SUM(N28:N28)</f>
        <v>225</v>
      </c>
      <c r="O29" s="576">
        <f>SUM(O28:O28)</f>
        <v>321.42857142857144</v>
      </c>
      <c r="P29" s="576">
        <f>SUM(P28:P28)</f>
        <v>642.85714285714289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50</v>
      </c>
      <c r="N31" s="576">
        <f ca="1">SUMIF($Z$28:AD28,"tertiair",N28:N28)</f>
        <v>225</v>
      </c>
      <c r="O31" s="576">
        <f ca="1">SUMIF($Z$28:AE28,"tertiair",O28:O28)</f>
        <v>321.42857142857144</v>
      </c>
      <c r="P31" s="576">
        <f ca="1">SUMIF($Z$28:AF28,"tertiair",P28:P28)</f>
        <v>642.85714285714289</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264.70588235294116</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378.15126050420173</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2021-11-11T12:49:43Z</dcterms:modified>
</cp:coreProperties>
</file>