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84505C3-075B-4666-8C8C-E859AD4E810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9" i="1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<sst xmlns="http://schemas.openxmlformats.org/spreadsheetml/2006/main" count="2464" uniqueCount="896">
  <si>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</si>
  <si>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</si>
  <si>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</si>
  <si>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</si>
  <si>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</si>
  <si>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</si>
  <si>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</si>
  <si>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</si>
  <si>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</si>
  <si>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</si>
  <si>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</si>
  <si>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</si>
  <si>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</si>
  <si>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</si>
  <si>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</si>
  <si>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</si>
  <si>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</si>
  <si>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</si>
  <si>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</si>
  <si>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</si>
  <si>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</si>
  <si>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</si>
  <si>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</si>
  <si>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</si>
  <si>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</si>
  <si>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</si>
  <si>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</si>
  <si>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</si>
  <si>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</si>
  <si>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</si>
  <si>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</si>
  <si>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</si>
  <si>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</si>
  <si>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</si>
  <si>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</si>
  <si>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</si>
  <si>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</si>
  <si>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</si>
  <si>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</si>
  <si>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</si>
  <si>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</si>
  <si>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</si>
  <si>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</si>
  <si>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</si>
  <si>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</si>
  <si>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</si>
  <si>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</si>
  <si>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</si>
  <si>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</si>
  <si>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</si>
  <si>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</si>
  <si>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</si>
  <si>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</si>
  <si>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</si>
  <si>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</si>
  <si>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</si>
  <si>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</si>
  <si>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</si>
  <si>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</si>
  <si>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</si>
  <si>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</si>
  <si>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</si>
  <si>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</si>
  <si>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</si>
  <si>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</si>
  <si>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</si>
  <si>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</si>
  <si>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</si>
  <si>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</si>
  <si>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</si>
  <si>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</si>
  <si>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</si>
  <si>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</si>
  <si>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</si>
  <si>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</si>
  <si>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</si>
  <si>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</si>
  <si>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</si>
  <si>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</si>
  <si>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</si>
  <si>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</si>
  <si>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</si>
  <si>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</si>
  <si>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</si>
  <si>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</si>
  <si>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</si>
  <si>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</si>
  <si>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</si>
  <si>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</si>
  <si>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</si>
  <si>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</si>
  <si>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</si>
  <si>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</si>
  <si>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</si>
  <si>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</si>
  <si>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</si>
  <si>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</si>
  <si>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</si>
  <si>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</si>
  <si>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</si>
  <si>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</si>
  <si>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</si>
  <si>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</si>
  <si>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</si>
  <si>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</si>
  <si>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</si>
  <si>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</si>
  <si>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</si>
  <si>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</si>
  <si>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</si>
  <si>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</si>
  <si>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</si>
  <si>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</si>
  <si>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</si>
  <si>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</si>
  <si>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</si>
  <si>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</si>
  <si>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</si>
  <si>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</si>
  <si>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</si>
  <si>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</si>
  <si>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</si>
  <si>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</si>
  <si>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</si>
  <si>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</si>
  <si>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</si>
  <si>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</si>
  <si>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</si>
  <si>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</si>
  <si>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</si>
  <si>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</si>
  <si>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</si>
  <si>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</si>
  <si>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</si>
  <si>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</si>
  <si>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</si>
  <si>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</si>
  <si>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</si>
  <si>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</si>
  <si>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</si>
  <si>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</si>
  <si>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</si>
  <si>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</si>
  <si>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</si>
  <si>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</si>
  <si>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</si>
  <si>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</si>
  <si>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</si>
  <si>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</si>
  <si>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</si>
  <si>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</si>
  <si>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</si>
  <si>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</si>
  <si>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</si>
  <si>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</si>
  <si>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</si>
  <si>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</si>
  <si>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</si>
  <si>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</si>
  <si>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</si>
  <si>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</si>
  <si>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</si>
  <si>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</si>
  <si>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</si>
  <si>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</si>
  <si>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</si>
  <si>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</si>
  <si>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</si>
  <si>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</si>
  <si>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</si>
  <si>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</si>
  <si>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</si>
  <si>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</si>
  <si>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</si>
  <si>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</si>
  <si>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</si>
  <si>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</si>
  <si>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</si>
  <si>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</si>
  <si>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</si>
  <si>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</si>
  <si>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</si>
  <si>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</si>
  <si>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</si>
  <si>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</si>
  <si>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</si>
  <si>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</si>
  <si>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</si>
  <si>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</si>
  <si>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</si>
  <si>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</si>
  <si>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</si>
  <si>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</si>
  <si>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</si>
  <si>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</si>
  <si>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</si>
  <si>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</si>
  <si>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</si>
  <si>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</si>
  <si>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</si>
  <si>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</si>
  <si>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</si>
  <si>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</si>
  <si>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</si>
  <si>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</si>
  <si>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</si>
  <si>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</si>
  <si>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</si>
  <si>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</si>
  <si>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</si>
  <si>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</si>
  <si>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</si>
  <si>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</si>
  <si>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</si>
  <si>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</si>
  <si>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</si>
  <si>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</si>
  <si>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</si>
  <si>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</si>
  <si>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</si>
  <si>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</si>
  <si>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</si>
  <si>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</si>
  <si>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</si>
  <si>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</si>
  <si>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</si>
  <si>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</si>
  <si>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</si>
  <si>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</si>
  <si>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</si>
  <si>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</si>
  <si>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</si>
  <si>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</si>
  <si>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</si>
  <si>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</si>
  <si>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</si>
  <si>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</si>
  <si>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</si>
  <si>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</si>
  <si>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</si>
  <si>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</si>
  <si>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</si>
  <si>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</si>
  <si>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</si>
  <si>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</si>
  <si>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</si>
  <si>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</si>
  <si>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</si>
  <si>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</si>
  <si>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</si>
  <si>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</si>
  <si>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</si>
  <si>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</si>
  <si>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</si>
  <si>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</si>
  <si>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</si>
  <si>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</si>
  <si>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</si>
  <si>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</si>
  <si>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</si>
  <si>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</si>
  <si>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</si>
  <si>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</si>
  <si>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</si>
  <si>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</si>
  <si>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</si>
  <si>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</si>
  <si>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</si>
  <si>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</si>
  <si>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</si>
  <si>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</si>
  <si>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</si>
  <si>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</si>
  <si>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</si>
  <si>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</si>
  <si>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</si>
  <si>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</si>
  <si>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</si>
  <si>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</si>
  <si>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</si>
  <si>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</si>
  <si>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</si>
  <si>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</si>
  <si>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</si>
  <si>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</si>
  <si>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</si>
  <si>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</si>
  <si>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</si>
  <si>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</si>
  <si>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</si>
  <si>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</si>
  <si>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</si>
  <si>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</si>
  <si>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</si>
  <si>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</si>
  <si>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</si>
  <si>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</si>
  <si>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</si>
  <si>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</si>
  <si>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</si>
  <si>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</si>
  <si>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</si>
  <si>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</si>
  <si>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</si>
  <si>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</si>
  <si>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</si>
  <si>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</si>
  <si>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</si>
  <si>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</si>
  <si>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</si>
  <si>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</si>
  <si>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</si>
  <si>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</si>
  <si>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</si>
  <si>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</si>
  <si>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</si>
  <si>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</si>
  <si>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</si>
  <si>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</si>
  <si>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</si>
  <si>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</si>
  <si>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</si>
  <si>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</si>
  <si>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</si>
  <si>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</si>
  <si>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</si>
  <si>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</si>
  <si>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</si>
  <si>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</si>
  <si>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</si>
  <si>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</si>
  <si>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</si>
  <si>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</si>
  <si>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</si>
  <si>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</si>
  <si>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</si>
  <si>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</si>
  <si>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</si>
  <si>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</si>
  <si>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</si>
  <si>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</si>
  <si>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</si>
  <si>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</si>
  <si>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</si>
  <si>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</si>
  <si>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</si>
  <si>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</si>
  <si>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</si>
  <si>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</si>
  <si>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</si>
  <si>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</si>
  <si>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</si>
  <si>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</si>
  <si>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</si>
  <si>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</si>
  <si>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</si>
  <si>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</si>
  <si>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</si>
  <si>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</si>
  <si>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</si>
  <si>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</si>
  <si>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</si>
  <si>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</si>
  <si>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</si>
  <si>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</si>
  <si>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</si>
  <si>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</si>
  <si>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</si>
  <si>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</si>
  <si>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</si>
  <si>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</si>
  <si>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</si>
  <si>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</si>
  <si>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</si>
  <si>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</si>
  <si>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</si>
  <si>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</si>
  <si>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</si>
  <si>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</si>
  <si>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</si>
  <si>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</si>
  <si>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</si>
  <si>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</si>
  <si>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</si>
  <si>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</si>
  <si>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</si>
  <si>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</si>
  <si>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</si>
  <si>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</si>
  <si>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</si>
  <si>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</si>
  <si>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</si>
  <si>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</si>
  <si>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</si>
  <si>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</si>
  <si>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</si>
  <si>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</si>
  <si>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</si>
  <si>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</si>
  <si>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</si>
  <si>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</si>
  <si>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</si>
  <si>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</si>
  <si>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</si>
  <si>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</si>
  <si>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</si>
  <si>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</si>
  <si>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</si>
  <si>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</si>
  <si>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</si>
  <si>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</si>
  <si>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</si>
  <si>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</si>
  <si>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</si>
  <si>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</si>
  <si>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</si>
  <si>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</si>
  <si>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</si>
  <si>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</si>
  <si>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</si>
  <si>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</si>
  <si>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</si>
  <si>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</si>
  <si>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</si>
  <si>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</si>
  <si>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</si>
  <si>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</si>
  <si>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</si>
  <si>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</si>
  <si>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</si>
  <si>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</si>
  <si>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</si>
  <si>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</si>
  <si>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</si>
  <si>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</si>
  <si>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</si>
  <si>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</si>
  <si>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</si>
  <si>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</si>
  <si>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</si>
  <si>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</si>
  <si>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</si>
  <si>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</si>
  <si>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</si>
  <si>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</si>
  <si>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</si>
  <si>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</si>
  <si>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</si>
  <si>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</si>
  <si>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</si>
  <si>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</si>
  <si>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</si>
  <si>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</si>
  <si>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</si>
  <si>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</si>
  <si>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</si>
  <si>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</si>
  <si>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</si>
  <si>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</si>
  <si>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</si>
  <si>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</si>
  <si>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</si>
  <si>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</si>
  <si>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</si>
  <si>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</si>
  <si>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</si>
  <si>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</si>
  <si>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</si>
  <si>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</si>
  <si>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</si>
  <si>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</si>
  <si>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</si>
  <si>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</si>
  <si>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</si>
  <si>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</si>
  <si>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</si>
  <si>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</si>
  <si>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</si>
  <si>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</si>
  <si>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</si>
  <si>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</si>
  <si>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</si>
  <si>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</si>
  <si>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</si>
  <si>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</si>
  <si>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</si>
  <si>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</si>
  <si>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</si>
  <si>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</si>
  <si>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</si>
  <si>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</si>
  <si>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</si>
  <si>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</si>
  <si>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</si>
  <si>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</si>
  <si>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</si>
  <si>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</si>
  <si>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</si>
  <si>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</si>
  <si>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</si>
  <si>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</si>
  <si>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</si>
  <si>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</si>
  <si>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</si>
  <si>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</si>
  <si>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</si>
  <si>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</si>
  <si>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</si>
  <si>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</si>
  <si>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</si>
  <si>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</si>
  <si>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</si>
  <si>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</si>
  <si>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</si>
  <si>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</si>
  <si>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</si>
  <si>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</si>
  <si>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</si>
  <si>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</si>
  <si>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</si>
  <si>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</si>
  <si>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</si>
  <si>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</si>
  <si>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</si>
  <si>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</si>
  <si>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</si>
  <si>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</si>
  <si>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</si>
  <si>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</si>
  <si>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</si>
  <si>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</si>
  <si>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</si>
  <si>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</si>
  <si>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</si>
  <si>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</si>
  <si>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</si>
  <si>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</si>
  <si>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</si>
  <si>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</si>
  <si>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</si>
  <si>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</si>
  <si>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</si>
  <si>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</si>
  <si>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</si>
  <si>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</si>
  <si>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</si>
  <si>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</si>
  <si>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</si>
  <si>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</si>
  <si>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</si>
  <si>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</si>
  <si>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</si>
  <si>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</si>
  <si>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</si>
  <si>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</si>
  <si>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</si>
  <si>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</si>
  <si>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</si>
  <si>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</si>
  <si>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</si>
  <si>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</si>
  <si>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</si>
  <si>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</si>
  <si>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</si>
  <si>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</si>
  <si>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</si>
  <si>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</si>
  <si>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</si>
  <si>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</si>
  <si>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</si>
  <si>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</si>
  <si>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</si>
  <si>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</si>
  <si>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</si>
  <si>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</si>
  <si>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</si>
  <si>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</si>
  <si>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</si>
  <si>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</si>
  <si>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</si>
  <si>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</si>
  <si>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</si>
  <si>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</si>
  <si>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</si>
  <si>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</si>
  <si>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</si>
  <si>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</si>
  <si>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</si>
  <si>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</si>
  <si>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</si>
  <si>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</si>
  <si>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</si>
  <si>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</si>
  <si>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</si>
  <si>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</si>
  <si>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</si>
  <si>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</si>
  <si>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</si>
  <si>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</si>
  <si>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</si>
  <si>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</si>
  <si>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</si>
  <si>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</si>
  <si>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</si>
  <si>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</si>
  <si>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</si>
  <si>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</si>
  <si>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</si>
  <si>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</si>
  <si>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</si>
  <si>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</si>
  <si>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</si>
  <si>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</si>
  <si>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</si>
  <si>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</si>
  <si>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</si>
  <si>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</si>
  <si>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</si>
  <si>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</si>
  <si>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</si>
  <si>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</si>
  <si>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</si>
  <si>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</si>
  <si>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</si>
  <si>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</si>
  <si>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</si>
  <si>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</si>
  <si>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</si>
  <si>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</si>
  <si>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</si>
  <si>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</si>
  <si>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</si>
  <si>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</si>
  <si>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</si>
  <si>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</si>
  <si>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</si>
  <si>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</si>
  <si>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</si>
  <si>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</si>
  <si>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</si>
  <si>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</si>
  <si>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</si>
  <si>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</si>
  <si>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</si>
  <si>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</si>
  <si>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</si>
  <si>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</si>
  <si>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</si>
  <si>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</si>
  <si>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</si>
  <si>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</si>
  <si>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</si>
  <si>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</si>
  <si>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</si>
  <si>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</si>
  <si>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</si>
  <si>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</si>
  <si>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</si>
  <si>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</si>
  <si>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</si>
  <si>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</si>
  <si>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</si>
  <si>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</si>
  <si>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</si>
  <si>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</si>
  <si>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</si>
  <si>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</si>
  <si>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</si>
  <si>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</si>
  <si>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</si>
  <si>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</si>
  <si>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</si>
  <si>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</si>
  <si>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</si>
  <si>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</si>
  <si>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</si>
  <si>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</si>
  <si>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</si>
  <si>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</si>
  <si>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</si>
  <si>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</si>
  <si>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</si>
  <si>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</si>
  <si>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</si>
  <si>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</si>
  <si>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</si>
  <si>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</si>
  <si>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</si>
  <si>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</si>
  <si>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</si>
  <si>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</si>
  <si>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</si>
  <si>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</si>
  <si>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</si>
  <si>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</si>
  <si>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</si>
  <si>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</si>
  <si>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</si>
  <si>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</si>
  <si>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</si>
  <si>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</si>
  <si>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</si>
  <si>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</si>
  <si>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</si>
  <si>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</si>
  <si>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</si>
  <si>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</si>
  <si>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</si>
  <si>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</si>
  <si>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</si>
  <si>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</si>
  <si>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</si>
  <si>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</si>
  <si>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</si>
  <si>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</si>
  <si>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</si>
  <si>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</si>
  <si>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</si>
  <si>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</si>
  <si>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</si>
  <si>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</si>
  <si>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</si>
  <si>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</si>
  <si>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</si>
  <si>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</si>
  <si>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</si>
  <si>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</si>
  <si>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</si>
  <si>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</si>
  <si>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</si>
  <si>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</si>
  <si>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</si>
  <si>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</si>
  <si>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</si>
  <si>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</si>
  <si>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</si>
  <si>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</si>
  <si>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</si>
  <si>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</si>
  <si>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</si>
  <si>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</si>
  <si>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</si>
  <si>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</si>
  <si>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</si>
  <si>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</si>
  <si>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</si>
  <si>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</si>
  <si>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</si>
  <si>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</si>
  <si>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</si>
  <si>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</si>
  <si>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</si>
  <si>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</si>
  <si>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</si>
  <si>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</si>
  <si>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</si>
  <si>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</si>
  <si>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</si>
  <si>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</si>
  <si>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</si>
  <si>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</si>
  <si>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</si>
  <si>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</si>
  <si>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</si>
  <si>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</si>
  <si>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</si>
  <si>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</si>
  <si>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</si>
  <si>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</si>
  <si>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</si>
  <si>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</si>
  <si>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</si>
  <si>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</si>
  <si>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</si>
  <si>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</si>
  <si>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</si>
  <si>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</si>
  <si>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</si>
  <si>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</si>
  <si>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</si>
  <si>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</si>
  <si>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</si>
  <si>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</si>
  <si>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</si>
  <si>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</si>
  <si>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</si>
  <si>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</si>
  <si>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</si>
  <si>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</si>
  <si>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</si>
  <si>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</si>
  <si>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</si>
  <si>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</si>
  <si>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</si>
  <si>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</si>
  <si>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</si>
  <si>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</si>
  <si>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</si>
  <si>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</si>
  <si>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</si>
  <si>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</si>
  <si>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</si>
  <si>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</si>
  <si>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</si>
  <si>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</si>
  <si>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</si>
  <si>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</si>
  <si>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</si>
  <si>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</si>
  <si>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</si>
  <si>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</si>
  <si>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</si>
  <si>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</si>
  <si>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</si>
  <si>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</si>
  <si>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</si>
  <si>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</si>
  <si>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</si>
  <si>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</si>
  <si>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</si>
  <si>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</si>
  <si>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</si>
  <si>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</si>
  <si>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</si>
  <si>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</si>
  <si>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</si>
  <si>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</si>
  <si>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</si>
  <si>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</si>
  <si>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</si>
  <si>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</si>
  <si>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</si>
  <si>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</si>
  <si>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</si>
  <si>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</si>
  <si>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</si>
  <si>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</si>
  <si>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</si>
  <si>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</si>
  <si>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</si>
  <si>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</si>
  <si>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</si>
  <si>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</si>
  <si>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</si>
  <si>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</si>
  <si>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</si>
  <si>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</si>
  <si>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</si>
  <si>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</si>
  <si>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</si>
  <si>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</si>
  <si>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</si>
  <si>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</si>
  <si>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</si>
  <si>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</si>
  <si>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</si>
  <si>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</si>
  <si>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</si>
  <si>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</si>
  <si>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</si>
  <si>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</si>
  <si>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</si>
  <si>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</si>
  <si>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</si>
  <si>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</si>
  <si>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</si>
  <si>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</si>
  <si>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</si>
  <si>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</si>
  <si>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</si>
  <si>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</si>
  <si>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</si>
  <si>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</si>
  <si>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</si>
  <si>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</si>
  <si>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</si>
  <si>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</si>
  <si>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</si>
  <si>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</si>
  <si>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</si>
  <si>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</si>
  <si>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</si>
  <si>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</si>
  <si>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</si>
  <si>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</si>
  <si>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</si>
  <si>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</si>
  <si>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</si>
  <si>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</si>
  <si>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</si>
  <si>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</si>
  <si>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</si>
  <si>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33039</t>
  </si>
  <si>
    <t>HEUVELLAND</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</si>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</sst>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64C6DB5-3274-444C-81B7-FACAF08F6DD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68839.32886359132</c:v>
                </c:pt>
                <c:pt idx="1">
                  <c:v>18106.98015766629</c:v>
                </c:pt>
                <c:pt idx="2">
                  <c:v>768.41700000000003</c:v>
                </c:pt>
                <c:pt idx="3">
                  <c:v>33294.183031919281</c:v>
                </c:pt>
                <c:pt idx="4">
                  <c:v>300026.90539860708</c:v>
                </c:pt>
                <c:pt idx="5">
                  <c:v>31616.522683297444</c:v>
                </c:pt>
                <c:pt idx="6">
                  <c:v>273.46585496600727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68839.32886359132</c:v>
                </c:pt>
                <c:pt idx="1">
                  <c:v>18106.98015766629</c:v>
                </c:pt>
                <c:pt idx="2">
                  <c:v>768.41700000000003</c:v>
                </c:pt>
                <c:pt idx="3">
                  <c:v>33294.183031919281</c:v>
                </c:pt>
                <c:pt idx="4">
                  <c:v>300026.90539860708</c:v>
                </c:pt>
                <c:pt idx="5">
                  <c:v>31616.522683297444</c:v>
                </c:pt>
                <c:pt idx="6">
                  <c:v>273.46585496600727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14601.766822829193</c:v>
                </c:pt>
                <c:pt idx="2">
                  <c:v>3632.4530485088558</c:v>
                </c:pt>
                <c:pt idx="3">
                  <c:v>163.87652290758214</c:v>
                </c:pt>
                <c:pt idx="4">
                  <c:v>8600.2618652106121</c:v>
                </c:pt>
                <c:pt idx="5">
                  <c:v>60796.45282798267</c:v>
                </c:pt>
                <c:pt idx="6">
                  <c:v>7914.1575353254611</c:v>
                </c:pt>
                <c:pt idx="7">
                  <c:v>68.932784854220415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14601.766822829193</c:v>
                </c:pt>
                <c:pt idx="2">
                  <c:v>3632.4530485088558</c:v>
                </c:pt>
                <c:pt idx="3">
                  <c:v>163.87652290758214</c:v>
                </c:pt>
                <c:pt idx="4">
                  <c:v>8600.2618652106121</c:v>
                </c:pt>
                <c:pt idx="5">
                  <c:v>60796.45282798267</c:v>
                </c:pt>
                <c:pt idx="6">
                  <c:v>7914.1575353254611</c:v>
                </c:pt>
                <c:pt idx="7">
                  <c:v>68.932784854220415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33039</v>
      </c>
      <c r="B6" s="382"/>
      <c r="C6" s="383"/>
    </row>
    <row r="7" spans="1:7" s="380" customFormat="1" ht="15.75" customHeight="1">
      <c r="A7" s="384" t="str">
        <f>txtMunicipality</f>
        <v>HEUVELLAND</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8569.7966819264293</v>
      </c>
      <c r="D10" s="971">
        <f ca="1">tertiair!C16</f>
        <v>0</v>
      </c>
      <c r="E10" s="971">
        <f ca="1">tertiair!D16</f>
        <v>7901.5791801505475</v>
      </c>
      <c r="F10" s="971">
        <f>tertiair!E16</f>
        <v>99.672640483843097</v>
      </c>
      <c r="G10" s="971">
        <f ca="1">tertiair!F16</f>
        <v>1310.6290053571863</v>
      </c>
      <c r="H10" s="971">
        <f>tertiair!G16</f>
        <v>0</v>
      </c>
      <c r="I10" s="971">
        <f>tertiair!H16</f>
        <v>0</v>
      </c>
      <c r="J10" s="971">
        <f>tertiair!I16</f>
        <v>0</v>
      </c>
      <c r="K10" s="971">
        <f>tertiair!J16</f>
        <v>2.3891285492382827E-2</v>
      </c>
      <c r="L10" s="971">
        <f>tertiair!K16</f>
        <v>0</v>
      </c>
      <c r="M10" s="971">
        <f ca="1">tertiair!L16</f>
        <v>0</v>
      </c>
      <c r="N10" s="971">
        <f>tertiair!M16</f>
        <v>0</v>
      </c>
      <c r="O10" s="971">
        <f ca="1">tertiair!N16</f>
        <v>946.18242512945574</v>
      </c>
      <c r="P10" s="971">
        <f>tertiair!O16</f>
        <v>9.3800000000000008</v>
      </c>
      <c r="Q10" s="972">
        <f>tertiair!P16</f>
        <v>38.133333333333333</v>
      </c>
      <c r="R10" s="666">
        <f ca="1">SUM(C10:Q10)</f>
        <v>18875.397157666292</v>
      </c>
      <c r="S10" s="67"/>
    </row>
    <row r="11" spans="1:19" s="439" customFormat="1">
      <c r="A11" s="775" t="s">
        <v>213</v>
      </c>
      <c r="B11" s="780"/>
      <c r="C11" s="971">
        <f>huishoudens!B8</f>
        <v>13716.020207875732</v>
      </c>
      <c r="D11" s="971">
        <f>huishoudens!C8</f>
        <v>0</v>
      </c>
      <c r="E11" s="971">
        <f>huishoudens!D8</f>
        <v>23126.296038261044</v>
      </c>
      <c r="F11" s="971">
        <f>huishoudens!E8</f>
        <v>995.78759140180728</v>
      </c>
      <c r="G11" s="971">
        <f>huishoudens!F8</f>
        <v>25228.793929295382</v>
      </c>
      <c r="H11" s="971">
        <f>huishoudens!G8</f>
        <v>0</v>
      </c>
      <c r="I11" s="971">
        <f>huishoudens!H8</f>
        <v>0</v>
      </c>
      <c r="J11" s="971">
        <f>huishoudens!I8</f>
        <v>0</v>
      </c>
      <c r="K11" s="971">
        <f>huishoudens!J8</f>
        <v>121.39812593903889</v>
      </c>
      <c r="L11" s="971">
        <f>huishoudens!K8</f>
        <v>0</v>
      </c>
      <c r="M11" s="971">
        <f>huishoudens!L8</f>
        <v>0</v>
      </c>
      <c r="N11" s="971">
        <f>huishoudens!M8</f>
        <v>0</v>
      </c>
      <c r="O11" s="971">
        <f>huishoudens!N8</f>
        <v>4998.0163041516398</v>
      </c>
      <c r="P11" s="971">
        <f>huishoudens!O8</f>
        <v>195.41666666666669</v>
      </c>
      <c r="Q11" s="972">
        <f>huishoudens!P8</f>
        <v>457.6</v>
      </c>
      <c r="R11" s="666">
        <f>SUM(C11:Q11)</f>
        <v>68839.32886359132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69642.068969022192</v>
      </c>
      <c r="D13" s="971">
        <f>industrie!C18</f>
        <v>0</v>
      </c>
      <c r="E13" s="971">
        <f>industrie!D18</f>
        <v>219405.32354223827</v>
      </c>
      <c r="F13" s="971">
        <f>industrie!E18</f>
        <v>589.02470555581544</v>
      </c>
      <c r="G13" s="971">
        <f>industrie!F18</f>
        <v>5547.3589091208041</v>
      </c>
      <c r="H13" s="971">
        <f>industrie!G18</f>
        <v>0</v>
      </c>
      <c r="I13" s="971">
        <f>industrie!H18</f>
        <v>0</v>
      </c>
      <c r="J13" s="971">
        <f>industrie!I18</f>
        <v>0</v>
      </c>
      <c r="K13" s="971">
        <f>industrie!J18</f>
        <v>26.841032822154872</v>
      </c>
      <c r="L13" s="971">
        <f>industrie!K18</f>
        <v>0</v>
      </c>
      <c r="M13" s="971">
        <f>industrie!L18</f>
        <v>0</v>
      </c>
      <c r="N13" s="971">
        <f>industrie!M18</f>
        <v>0</v>
      </c>
      <c r="O13" s="971">
        <f>industrie!N18</f>
        <v>4816.2882398478623</v>
      </c>
      <c r="P13" s="971">
        <f>industrie!O18</f>
        <v>0</v>
      </c>
      <c r="Q13" s="972">
        <f>industrie!P18</f>
        <v>0</v>
      </c>
      <c r="R13" s="666">
        <f>SUM(C13:Q13)</f>
        <v>300026.90539860708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91927.88585882436</v>
      </c>
      <c r="D16" s="698">
        <f t="shared" ref="D16:R16" ca="1" si="0">SUM(D9:D15)</f>
        <v>0</v>
      </c>
      <c r="E16" s="698">
        <f t="shared" ca="1" si="0"/>
        <v>250433.19876064986</v>
      </c>
      <c r="F16" s="698">
        <f t="shared" si="0"/>
        <v>1684.4849374414657</v>
      </c>
      <c r="G16" s="698">
        <f t="shared" ca="1" si="0"/>
        <v>32086.781843773373</v>
      </c>
      <c r="H16" s="698">
        <f t="shared" si="0"/>
        <v>0</v>
      </c>
      <c r="I16" s="698">
        <f t="shared" si="0"/>
        <v>0</v>
      </c>
      <c r="J16" s="698">
        <f t="shared" si="0"/>
        <v>0</v>
      </c>
      <c r="K16" s="698">
        <f t="shared" si="0"/>
        <v>148.26305004668615</v>
      </c>
      <c r="L16" s="698">
        <f t="shared" si="0"/>
        <v>0</v>
      </c>
      <c r="M16" s="698">
        <f t="shared" ca="1" si="0"/>
        <v>0</v>
      </c>
      <c r="N16" s="698">
        <f t="shared" si="0"/>
        <v>0</v>
      </c>
      <c r="O16" s="698">
        <f t="shared" ca="1" si="0"/>
        <v>10760.486969128957</v>
      </c>
      <c r="P16" s="698">
        <f t="shared" si="0"/>
        <v>204.79666666666668</v>
      </c>
      <c r="Q16" s="698">
        <f t="shared" si="0"/>
        <v>495.73333333333335</v>
      </c>
      <c r="R16" s="698">
        <f t="shared" ca="1" si="0"/>
        <v>387741.63141986472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2.7251260338614123</v>
      </c>
      <c r="D19" s="971">
        <f>transport!C54</f>
        <v>0</v>
      </c>
      <c r="E19" s="971">
        <f>transport!D54</f>
        <v>0</v>
      </c>
      <c r="F19" s="971">
        <f>transport!E54</f>
        <v>0</v>
      </c>
      <c r="G19" s="971">
        <f>transport!F54</f>
        <v>0</v>
      </c>
      <c r="H19" s="971">
        <f>transport!G54</f>
        <v>255.99854156324244</v>
      </c>
      <c r="I19" s="971">
        <f>transport!H54</f>
        <v>0</v>
      </c>
      <c r="J19" s="971">
        <f>transport!I54</f>
        <v>0</v>
      </c>
      <c r="K19" s="971">
        <f>transport!J54</f>
        <v>0</v>
      </c>
      <c r="L19" s="971">
        <f>transport!K54</f>
        <v>0</v>
      </c>
      <c r="M19" s="971">
        <f>transport!L54</f>
        <v>0</v>
      </c>
      <c r="N19" s="971">
        <f>transport!M54</f>
        <v>14.742187368903465</v>
      </c>
      <c r="O19" s="971">
        <f>transport!N54</f>
        <v>0</v>
      </c>
      <c r="P19" s="971">
        <f>transport!O54</f>
        <v>0</v>
      </c>
      <c r="Q19" s="972">
        <f>transport!P54</f>
        <v>0</v>
      </c>
      <c r="R19" s="666">
        <f>SUM(C19:Q19)</f>
        <v>273.46585496600727</v>
      </c>
      <c r="S19" s="67"/>
    </row>
    <row r="20" spans="1:19" s="439" customFormat="1">
      <c r="A20" s="775" t="s">
        <v>295</v>
      </c>
      <c r="B20" s="780"/>
      <c r="C20" s="971">
        <f>transport!B14</f>
        <v>18.946447607210867</v>
      </c>
      <c r="D20" s="971">
        <f>transport!C14</f>
        <v>0</v>
      </c>
      <c r="E20" s="971">
        <f>transport!D14</f>
        <v>33.535478011374039</v>
      </c>
      <c r="F20" s="971">
        <f>transport!E14</f>
        <v>58.303900067234409</v>
      </c>
      <c r="G20" s="971">
        <f>transport!F14</f>
        <v>0</v>
      </c>
      <c r="H20" s="971">
        <f>transport!G14</f>
        <v>24527.150357411363</v>
      </c>
      <c r="I20" s="971">
        <f>transport!H14</f>
        <v>5386.9824181268232</v>
      </c>
      <c r="J20" s="971">
        <f>transport!I14</f>
        <v>0</v>
      </c>
      <c r="K20" s="971">
        <f>transport!J14</f>
        <v>0</v>
      </c>
      <c r="L20" s="971">
        <f>transport!K14</f>
        <v>0</v>
      </c>
      <c r="M20" s="971">
        <f>transport!L14</f>
        <v>0</v>
      </c>
      <c r="N20" s="971">
        <f>transport!M14</f>
        <v>1591.6040820734397</v>
      </c>
      <c r="O20" s="971">
        <f>transport!N14</f>
        <v>0</v>
      </c>
      <c r="P20" s="971">
        <f>transport!O14</f>
        <v>0</v>
      </c>
      <c r="Q20" s="972">
        <f>transport!P14</f>
        <v>0</v>
      </c>
      <c r="R20" s="666">
        <f>SUM(C20:Q20)</f>
        <v>31616.522683297444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21.671573641072278</v>
      </c>
      <c r="D22" s="778">
        <f t="shared" ref="D22:R22" si="1">SUM(D18:D21)</f>
        <v>0</v>
      </c>
      <c r="E22" s="778">
        <f t="shared" si="1"/>
        <v>33.535478011374039</v>
      </c>
      <c r="F22" s="778">
        <f t="shared" si="1"/>
        <v>58.303900067234409</v>
      </c>
      <c r="G22" s="778">
        <f t="shared" si="1"/>
        <v>0</v>
      </c>
      <c r="H22" s="778">
        <f t="shared" si="1"/>
        <v>24783.148898974607</v>
      </c>
      <c r="I22" s="778">
        <f t="shared" si="1"/>
        <v>5386.9824181268232</v>
      </c>
      <c r="J22" s="778">
        <f t="shared" si="1"/>
        <v>0</v>
      </c>
      <c r="K22" s="778">
        <f t="shared" si="1"/>
        <v>0</v>
      </c>
      <c r="L22" s="778">
        <f t="shared" si="1"/>
        <v>0</v>
      </c>
      <c r="M22" s="778">
        <f t="shared" si="1"/>
        <v>0</v>
      </c>
      <c r="N22" s="778">
        <f t="shared" si="1"/>
        <v>1606.3462694423431</v>
      </c>
      <c r="O22" s="778">
        <f t="shared" si="1"/>
        <v>0</v>
      </c>
      <c r="P22" s="778">
        <f t="shared" si="1"/>
        <v>0</v>
      </c>
      <c r="Q22" s="778">
        <f t="shared" si="1"/>
        <v>0</v>
      </c>
      <c r="R22" s="778">
        <f t="shared" si="1"/>
        <v>31889.988538263453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6150.8793917956818</v>
      </c>
      <c r="D24" s="971">
        <f>+landbouw!C8</f>
        <v>0</v>
      </c>
      <c r="E24" s="971">
        <f>+landbouw!D8</f>
        <v>447.14900547630714</v>
      </c>
      <c r="F24" s="971">
        <f>+landbouw!E8</f>
        <v>180.79313227895602</v>
      </c>
      <c r="G24" s="971">
        <f>+landbouw!F8</f>
        <v>25624.231170144121</v>
      </c>
      <c r="H24" s="971">
        <f>+landbouw!G8</f>
        <v>0</v>
      </c>
      <c r="I24" s="971">
        <f>+landbouw!H8</f>
        <v>0</v>
      </c>
      <c r="J24" s="971">
        <f>+landbouw!I8</f>
        <v>0</v>
      </c>
      <c r="K24" s="971">
        <f>+landbouw!J8</f>
        <v>891.13033222421745</v>
      </c>
      <c r="L24" s="971">
        <f>+landbouw!K8</f>
        <v>0</v>
      </c>
      <c r="M24" s="971">
        <f>+landbouw!L8</f>
        <v>0</v>
      </c>
      <c r="N24" s="971">
        <f>+landbouw!M8</f>
        <v>0</v>
      </c>
      <c r="O24" s="971">
        <f>+landbouw!N8</f>
        <v>0</v>
      </c>
      <c r="P24" s="971">
        <f>+landbouw!O8</f>
        <v>0</v>
      </c>
      <c r="Q24" s="972">
        <f>+landbouw!P8</f>
        <v>0</v>
      </c>
      <c r="R24" s="666">
        <f>SUM(C24:Q24)</f>
        <v>33294.183031919281</v>
      </c>
      <c r="S24" s="67"/>
    </row>
    <row r="25" spans="1:19" s="439" customFormat="1" ht="15" thickBot="1">
      <c r="A25" s="797" t="s">
        <v>802</v>
      </c>
      <c r="B25" s="974"/>
      <c r="C25" s="975">
        <f>IF(Onbekend_ele_kWh="---",0,Onbekend_ele_kWh)/1000+IF(REST_rest_ele_kWh="---",0,REST_rest_ele_kWh)/1000</f>
        <v>623.47634036846898</v>
      </c>
      <c r="D25" s="975"/>
      <c r="E25" s="975">
        <f>IF(onbekend_gas_kWh="---",0,onbekend_gas_kWh)/1000+IF(REST_rest_gas_kWh="---",0,REST_rest_gas_kWh)/1000</f>
        <v>1020.65168542787</v>
      </c>
      <c r="F25" s="975"/>
      <c r="G25" s="975"/>
      <c r="H25" s="975"/>
      <c r="I25" s="975"/>
      <c r="J25" s="975"/>
      <c r="K25" s="975"/>
      <c r="L25" s="975"/>
      <c r="M25" s="975"/>
      <c r="N25" s="975"/>
      <c r="O25" s="975"/>
      <c r="P25" s="975"/>
      <c r="Q25" s="976"/>
      <c r="R25" s="666">
        <f>SUM(C25:Q25)</f>
        <v>1644.128025796339</v>
      </c>
      <c r="S25" s="67"/>
    </row>
    <row r="26" spans="1:19" s="439" customFormat="1" ht="15.75" thickBot="1">
      <c r="A26" s="671" t="s">
        <v>803</v>
      </c>
      <c r="B26" s="783"/>
      <c r="C26" s="778">
        <f>SUM(C24:C25)</f>
        <v>6774.355732164151</v>
      </c>
      <c r="D26" s="778">
        <f t="shared" ref="D26:R26" si="2">SUM(D24:D25)</f>
        <v>0</v>
      </c>
      <c r="E26" s="778">
        <f t="shared" si="2"/>
        <v>1467.8006909041771</v>
      </c>
      <c r="F26" s="778">
        <f t="shared" si="2"/>
        <v>180.79313227895602</v>
      </c>
      <c r="G26" s="778">
        <f t="shared" si="2"/>
        <v>25624.231170144121</v>
      </c>
      <c r="H26" s="778">
        <f t="shared" si="2"/>
        <v>0</v>
      </c>
      <c r="I26" s="778">
        <f t="shared" si="2"/>
        <v>0</v>
      </c>
      <c r="J26" s="778">
        <f t="shared" si="2"/>
        <v>0</v>
      </c>
      <c r="K26" s="778">
        <f t="shared" si="2"/>
        <v>891.13033222421745</v>
      </c>
      <c r="L26" s="778">
        <f t="shared" si="2"/>
        <v>0</v>
      </c>
      <c r="M26" s="778">
        <f t="shared" si="2"/>
        <v>0</v>
      </c>
      <c r="N26" s="778">
        <f t="shared" si="2"/>
        <v>0</v>
      </c>
      <c r="O26" s="778">
        <f t="shared" si="2"/>
        <v>0</v>
      </c>
      <c r="P26" s="778">
        <f t="shared" si="2"/>
        <v>0</v>
      </c>
      <c r="Q26" s="778">
        <f t="shared" si="2"/>
        <v>0</v>
      </c>
      <c r="R26" s="778">
        <f t="shared" si="2"/>
        <v>34938.311057715619</v>
      </c>
      <c r="S26" s="67"/>
    </row>
    <row r="27" spans="1:19" s="439" customFormat="1" ht="17.25" thickTop="1" thickBot="1">
      <c r="A27" s="672" t="s">
        <v>109</v>
      </c>
      <c r="B27" s="771"/>
      <c r="C27" s="673">
        <f ca="1">C22+C16+C26</f>
        <v>98723.913164629586</v>
      </c>
      <c r="D27" s="673">
        <f t="shared" ref="D27:R27" ca="1" si="3">D22+D16+D26</f>
        <v>0</v>
      </c>
      <c r="E27" s="673">
        <f t="shared" ca="1" si="3"/>
        <v>251934.53492956542</v>
      </c>
      <c r="F27" s="673">
        <f t="shared" si="3"/>
        <v>1923.5819697876564</v>
      </c>
      <c r="G27" s="673">
        <f t="shared" ca="1" si="3"/>
        <v>57711.013013917494</v>
      </c>
      <c r="H27" s="673">
        <f t="shared" si="3"/>
        <v>24783.148898974607</v>
      </c>
      <c r="I27" s="673">
        <f t="shared" si="3"/>
        <v>5386.9824181268232</v>
      </c>
      <c r="J27" s="673">
        <f t="shared" si="3"/>
        <v>0</v>
      </c>
      <c r="K27" s="673">
        <f t="shared" si="3"/>
        <v>1039.3933822709037</v>
      </c>
      <c r="L27" s="673">
        <f t="shared" si="3"/>
        <v>0</v>
      </c>
      <c r="M27" s="673">
        <f t="shared" ca="1" si="3"/>
        <v>0</v>
      </c>
      <c r="N27" s="673">
        <f t="shared" si="3"/>
        <v>1606.3462694423431</v>
      </c>
      <c r="O27" s="673">
        <f t="shared" ca="1" si="3"/>
        <v>10760.486969128957</v>
      </c>
      <c r="P27" s="673">
        <f t="shared" si="3"/>
        <v>204.79666666666668</v>
      </c>
      <c r="Q27" s="673">
        <f t="shared" si="3"/>
        <v>495.73333333333335</v>
      </c>
      <c r="R27" s="673">
        <f t="shared" ca="1" si="3"/>
        <v>454569.93101584382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1827.6384856907616</v>
      </c>
      <c r="D40" s="971">
        <f ca="1">tertiair!C20</f>
        <v>0</v>
      </c>
      <c r="E40" s="971">
        <f ca="1">tertiair!D20</f>
        <v>1596.1189943904108</v>
      </c>
      <c r="F40" s="971">
        <f>tertiair!E20</f>
        <v>22.625689389832385</v>
      </c>
      <c r="G40" s="971">
        <f ca="1">tertiair!F20</f>
        <v>349.93794443036876</v>
      </c>
      <c r="H40" s="971">
        <f>tertiair!G20</f>
        <v>0</v>
      </c>
      <c r="I40" s="971">
        <f>tertiair!H20</f>
        <v>0</v>
      </c>
      <c r="J40" s="971">
        <f>tertiair!I20</f>
        <v>0</v>
      </c>
      <c r="K40" s="971">
        <f>tertiair!J20</f>
        <v>8.4575150643035196E-3</v>
      </c>
      <c r="L40" s="971">
        <f>tertiair!K20</f>
        <v>0</v>
      </c>
      <c r="M40" s="971">
        <f ca="1">tertiair!L20</f>
        <v>0</v>
      </c>
      <c r="N40" s="971">
        <f>tertiair!M20</f>
        <v>0</v>
      </c>
      <c r="O40" s="971">
        <f ca="1">tertiair!N20</f>
        <v>0</v>
      </c>
      <c r="P40" s="971">
        <f>tertiair!O20</f>
        <v>0</v>
      </c>
      <c r="Q40" s="740">
        <f>tertiair!P20</f>
        <v>0</v>
      </c>
      <c r="R40" s="816">
        <f t="shared" ca="1" si="4"/>
        <v>3796.3295714164383</v>
      </c>
    </row>
    <row r="41" spans="1:18">
      <c r="A41" s="788" t="s">
        <v>213</v>
      </c>
      <c r="B41" s="795"/>
      <c r="C41" s="971">
        <f ca="1">huishoudens!B12</f>
        <v>2925.148324147965</v>
      </c>
      <c r="D41" s="971">
        <f ca="1">huishoudens!C12</f>
        <v>0</v>
      </c>
      <c r="E41" s="971">
        <f>huishoudens!D12</f>
        <v>4671.5117997287307</v>
      </c>
      <c r="F41" s="971">
        <f>huishoudens!E12</f>
        <v>226.04378324821025</v>
      </c>
      <c r="G41" s="971">
        <f>huishoudens!F12</f>
        <v>6736.0879791218676</v>
      </c>
      <c r="H41" s="971">
        <f>huishoudens!G12</f>
        <v>0</v>
      </c>
      <c r="I41" s="971">
        <f>huishoudens!H12</f>
        <v>0</v>
      </c>
      <c r="J41" s="971">
        <f>huishoudens!I12</f>
        <v>0</v>
      </c>
      <c r="K41" s="971">
        <f>huishoudens!J12</f>
        <v>42.974936582419765</v>
      </c>
      <c r="L41" s="971">
        <f>huishoudens!K12</f>
        <v>0</v>
      </c>
      <c r="M41" s="971">
        <f>huishoudens!L12</f>
        <v>0</v>
      </c>
      <c r="N41" s="971">
        <f>huishoudens!M12</f>
        <v>0</v>
      </c>
      <c r="O41" s="971">
        <f>huishoudens!N12</f>
        <v>0</v>
      </c>
      <c r="P41" s="971">
        <f>huishoudens!O12</f>
        <v>0</v>
      </c>
      <c r="Q41" s="740">
        <f>huishoudens!P12</f>
        <v>0</v>
      </c>
      <c r="R41" s="816">
        <f t="shared" ca="1" si="4"/>
        <v>14601.766822829193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14852.222309935074</v>
      </c>
      <c r="D43" s="971">
        <f ca="1">industrie!C22</f>
        <v>0</v>
      </c>
      <c r="E43" s="971">
        <f>industrie!D22</f>
        <v>44319.875355532131</v>
      </c>
      <c r="F43" s="971">
        <f>industrie!E22</f>
        <v>133.7086081611701</v>
      </c>
      <c r="G43" s="971">
        <f>industrie!F22</f>
        <v>1481.1448287352548</v>
      </c>
      <c r="H43" s="971">
        <f>industrie!G22</f>
        <v>0</v>
      </c>
      <c r="I43" s="971">
        <f>industrie!H22</f>
        <v>0</v>
      </c>
      <c r="J43" s="971">
        <f>industrie!I22</f>
        <v>0</v>
      </c>
      <c r="K43" s="971">
        <f>industrie!J22</f>
        <v>9.5017256190428245</v>
      </c>
      <c r="L43" s="971">
        <f>industrie!K22</f>
        <v>0</v>
      </c>
      <c r="M43" s="971">
        <f>industrie!L22</f>
        <v>0</v>
      </c>
      <c r="N43" s="971">
        <f>industrie!M22</f>
        <v>0</v>
      </c>
      <c r="O43" s="971">
        <f>industrie!N22</f>
        <v>0</v>
      </c>
      <c r="P43" s="971">
        <f>industrie!O22</f>
        <v>0</v>
      </c>
      <c r="Q43" s="740">
        <f>industrie!P22</f>
        <v>0</v>
      </c>
      <c r="R43" s="815">
        <f t="shared" ca="1" si="4"/>
        <v>60796.45282798267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19605.0091197738</v>
      </c>
      <c r="D46" s="698">
        <f t="shared" ref="D46:Q46" ca="1" si="5">SUM(D39:D45)</f>
        <v>0</v>
      </c>
      <c r="E46" s="698">
        <f t="shared" ca="1" si="5"/>
        <v>50587.506149651272</v>
      </c>
      <c r="F46" s="698">
        <f t="shared" si="5"/>
        <v>382.37808079921274</v>
      </c>
      <c r="G46" s="698">
        <f t="shared" ca="1" si="5"/>
        <v>8567.1707522874913</v>
      </c>
      <c r="H46" s="698">
        <f t="shared" si="5"/>
        <v>0</v>
      </c>
      <c r="I46" s="698">
        <f t="shared" si="5"/>
        <v>0</v>
      </c>
      <c r="J46" s="698">
        <f t="shared" si="5"/>
        <v>0</v>
      </c>
      <c r="K46" s="698">
        <f t="shared" si="5"/>
        <v>52.485119716526889</v>
      </c>
      <c r="L46" s="698">
        <f t="shared" si="5"/>
        <v>0</v>
      </c>
      <c r="M46" s="698">
        <f t="shared" ca="1" si="5"/>
        <v>0</v>
      </c>
      <c r="N46" s="698">
        <f t="shared" si="5"/>
        <v>0</v>
      </c>
      <c r="O46" s="698">
        <f t="shared" ca="1" si="5"/>
        <v>0</v>
      </c>
      <c r="P46" s="698">
        <f t="shared" si="5"/>
        <v>0</v>
      </c>
      <c r="Q46" s="698">
        <f t="shared" si="5"/>
        <v>0</v>
      </c>
      <c r="R46" s="698">
        <f ca="1">SUM(R39:R45)</f>
        <v>79194.549222228306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0.58117425683468504</v>
      </c>
      <c r="D49" s="971">
        <f ca="1">transport!C58</f>
        <v>0</v>
      </c>
      <c r="E49" s="971">
        <f>transport!D58</f>
        <v>0</v>
      </c>
      <c r="F49" s="971">
        <f>transport!E58</f>
        <v>0</v>
      </c>
      <c r="G49" s="971">
        <f>transport!F58</f>
        <v>0</v>
      </c>
      <c r="H49" s="971">
        <f>transport!G58</f>
        <v>68.351610597385729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68.932784854220415</v>
      </c>
    </row>
    <row r="50" spans="1:18">
      <c r="A50" s="791" t="s">
        <v>295</v>
      </c>
      <c r="B50" s="801"/>
      <c r="C50" s="669">
        <f ca="1">transport!B18</f>
        <v>4.0406159094871619</v>
      </c>
      <c r="D50" s="669">
        <f>transport!C18</f>
        <v>0</v>
      </c>
      <c r="E50" s="669">
        <f>transport!D18</f>
        <v>6.7741665582975559</v>
      </c>
      <c r="F50" s="669">
        <f>transport!E18</f>
        <v>13.234985315262211</v>
      </c>
      <c r="G50" s="669">
        <f>transport!F18</f>
        <v>0</v>
      </c>
      <c r="H50" s="669">
        <f>transport!G18</f>
        <v>6548.7491454288347</v>
      </c>
      <c r="I50" s="669">
        <f>transport!H18</f>
        <v>1341.358622113579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7914.1575353254611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4.6217901663218468</v>
      </c>
      <c r="D52" s="698">
        <f t="shared" ref="D52:Q52" ca="1" si="6">SUM(D48:D51)</f>
        <v>0</v>
      </c>
      <c r="E52" s="698">
        <f t="shared" si="6"/>
        <v>6.7741665582975559</v>
      </c>
      <c r="F52" s="698">
        <f t="shared" si="6"/>
        <v>13.234985315262211</v>
      </c>
      <c r="G52" s="698">
        <f t="shared" si="6"/>
        <v>0</v>
      </c>
      <c r="H52" s="698">
        <f t="shared" si="6"/>
        <v>6617.1007560262206</v>
      </c>
      <c r="I52" s="698">
        <f t="shared" si="6"/>
        <v>1341.358622113579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7983.0903201796818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1311.7678650412211</v>
      </c>
      <c r="D54" s="669">
        <f ca="1">+landbouw!C12</f>
        <v>0</v>
      </c>
      <c r="E54" s="669">
        <f>+landbouw!D12</f>
        <v>90.324099106214049</v>
      </c>
      <c r="F54" s="669">
        <f>+landbouw!E12</f>
        <v>41.040041027323021</v>
      </c>
      <c r="G54" s="669">
        <f>+landbouw!F12</f>
        <v>6841.6697224284808</v>
      </c>
      <c r="H54" s="669">
        <f>+landbouw!G12</f>
        <v>0</v>
      </c>
      <c r="I54" s="669">
        <f>+landbouw!H12</f>
        <v>0</v>
      </c>
      <c r="J54" s="669">
        <f>+landbouw!I12</f>
        <v>0</v>
      </c>
      <c r="K54" s="669">
        <f>+landbouw!J12</f>
        <v>315.46013760737299</v>
      </c>
      <c r="L54" s="669">
        <f>+landbouw!K12</f>
        <v>0</v>
      </c>
      <c r="M54" s="669">
        <f>+landbouw!L12</f>
        <v>0</v>
      </c>
      <c r="N54" s="669">
        <f>+landbouw!M12</f>
        <v>0</v>
      </c>
      <c r="O54" s="669">
        <f>+landbouw!N12</f>
        <v>0</v>
      </c>
      <c r="P54" s="669">
        <f>+landbouw!O12</f>
        <v>0</v>
      </c>
      <c r="Q54" s="670">
        <f>+landbouw!P12</f>
        <v>0</v>
      </c>
      <c r="R54" s="697">
        <f ca="1">SUM(C54:Q54)</f>
        <v>8600.2618652106121</v>
      </c>
    </row>
    <row r="55" spans="1:18" ht="15" thickBot="1">
      <c r="A55" s="791" t="s">
        <v>802</v>
      </c>
      <c r="B55" s="801"/>
      <c r="C55" s="669">
        <f ca="1">C25*'EF ele_warmte'!B12</f>
        <v>132.96573966313719</v>
      </c>
      <c r="D55" s="669"/>
      <c r="E55" s="669">
        <f>E25*EF_CO2_aardgas</f>
        <v>206.17164045642974</v>
      </c>
      <c r="F55" s="669"/>
      <c r="G55" s="669"/>
      <c r="H55" s="669"/>
      <c r="I55" s="669"/>
      <c r="J55" s="669"/>
      <c r="K55" s="669"/>
      <c r="L55" s="669"/>
      <c r="M55" s="669"/>
      <c r="N55" s="669"/>
      <c r="O55" s="669"/>
      <c r="P55" s="669"/>
      <c r="Q55" s="670"/>
      <c r="R55" s="697">
        <f ca="1">SUM(C55:Q55)</f>
        <v>339.13738011956696</v>
      </c>
    </row>
    <row r="56" spans="1:18" ht="15.75" thickBot="1">
      <c r="A56" s="789" t="s">
        <v>803</v>
      </c>
      <c r="B56" s="802"/>
      <c r="C56" s="698">
        <f ca="1">SUM(C54:C55)</f>
        <v>1444.7336047043582</v>
      </c>
      <c r="D56" s="698">
        <f t="shared" ref="D56:Q56" ca="1" si="7">SUM(D54:D55)</f>
        <v>0</v>
      </c>
      <c r="E56" s="698">
        <f t="shared" si="7"/>
        <v>296.49573956264379</v>
      </c>
      <c r="F56" s="698">
        <f t="shared" si="7"/>
        <v>41.040041027323021</v>
      </c>
      <c r="G56" s="698">
        <f t="shared" si="7"/>
        <v>6841.6697224284808</v>
      </c>
      <c r="H56" s="698">
        <f t="shared" si="7"/>
        <v>0</v>
      </c>
      <c r="I56" s="698">
        <f t="shared" si="7"/>
        <v>0</v>
      </c>
      <c r="J56" s="698">
        <f t="shared" si="7"/>
        <v>0</v>
      </c>
      <c r="K56" s="698">
        <f t="shared" si="7"/>
        <v>315.46013760737299</v>
      </c>
      <c r="L56" s="698">
        <f t="shared" si="7"/>
        <v>0</v>
      </c>
      <c r="M56" s="698">
        <f t="shared" si="7"/>
        <v>0</v>
      </c>
      <c r="N56" s="698">
        <f t="shared" si="7"/>
        <v>0</v>
      </c>
      <c r="O56" s="698">
        <f t="shared" si="7"/>
        <v>0</v>
      </c>
      <c r="P56" s="698">
        <f t="shared" si="7"/>
        <v>0</v>
      </c>
      <c r="Q56" s="699">
        <f t="shared" si="7"/>
        <v>0</v>
      </c>
      <c r="R56" s="700">
        <f ca="1">SUM(R54:R55)</f>
        <v>8939.3992453301798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21054.36451464448</v>
      </c>
      <c r="D61" s="706">
        <f t="shared" ref="D61:Q61" ca="1" si="8">D46+D52+D56</f>
        <v>0</v>
      </c>
      <c r="E61" s="706">
        <f t="shared" ca="1" si="8"/>
        <v>50890.776055772207</v>
      </c>
      <c r="F61" s="706">
        <f t="shared" si="8"/>
        <v>436.65310714179799</v>
      </c>
      <c r="G61" s="706">
        <f t="shared" ca="1" si="8"/>
        <v>15408.840474715973</v>
      </c>
      <c r="H61" s="706">
        <f t="shared" si="8"/>
        <v>6617.1007560262206</v>
      </c>
      <c r="I61" s="706">
        <f t="shared" si="8"/>
        <v>1341.358622113579</v>
      </c>
      <c r="J61" s="706">
        <f t="shared" si="8"/>
        <v>0</v>
      </c>
      <c r="K61" s="706">
        <f t="shared" si="8"/>
        <v>367.94525732389985</v>
      </c>
      <c r="L61" s="706">
        <f t="shared" si="8"/>
        <v>0</v>
      </c>
      <c r="M61" s="706">
        <f t="shared" ca="1" si="8"/>
        <v>0</v>
      </c>
      <c r="N61" s="706">
        <f t="shared" si="8"/>
        <v>0</v>
      </c>
      <c r="O61" s="706">
        <f t="shared" ca="1" si="8"/>
        <v>0</v>
      </c>
      <c r="P61" s="706">
        <f t="shared" si="8"/>
        <v>0</v>
      </c>
      <c r="Q61" s="706">
        <f t="shared" si="8"/>
        <v>0</v>
      </c>
      <c r="R61" s="706">
        <f ca="1">R46+R52+R56</f>
        <v>96117.038787738158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0.21326509292165857</v>
      </c>
      <c r="D63" s="747">
        <f t="shared" ca="1" si="9"/>
        <v>0</v>
      </c>
      <c r="E63" s="982">
        <f t="shared" ca="1" si="9"/>
        <v>0.20199999999999996</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3455.2954513061322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3455.2954513061322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13716.020207875732</v>
      </c>
      <c r="C4" s="443">
        <f>huishoudens!C8</f>
        <v>0</v>
      </c>
      <c r="D4" s="443">
        <f>huishoudens!D8</f>
        <v>23126.296038261044</v>
      </c>
      <c r="E4" s="443">
        <f>huishoudens!E8</f>
        <v>995.78759140180728</v>
      </c>
      <c r="F4" s="443">
        <f>huishoudens!F8</f>
        <v>25228.793929295382</v>
      </c>
      <c r="G4" s="443">
        <f>huishoudens!G8</f>
        <v>0</v>
      </c>
      <c r="H4" s="443">
        <f>huishoudens!H8</f>
        <v>0</v>
      </c>
      <c r="I4" s="443">
        <f>huishoudens!I8</f>
        <v>0</v>
      </c>
      <c r="J4" s="443">
        <f>huishoudens!J8</f>
        <v>121.39812593903889</v>
      </c>
      <c r="K4" s="443">
        <f>huishoudens!K8</f>
        <v>0</v>
      </c>
      <c r="L4" s="443">
        <f>huishoudens!L8</f>
        <v>0</v>
      </c>
      <c r="M4" s="443">
        <f>huishoudens!M8</f>
        <v>0</v>
      </c>
      <c r="N4" s="443">
        <f>huishoudens!N8</f>
        <v>4998.0163041516398</v>
      </c>
      <c r="O4" s="443">
        <f>huishoudens!O8</f>
        <v>195.41666666666669</v>
      </c>
      <c r="P4" s="444">
        <f>huishoudens!P8</f>
        <v>457.6</v>
      </c>
      <c r="Q4" s="445">
        <f>SUM(B4:P4)</f>
        <v>68839.32886359132</v>
      </c>
    </row>
    <row r="5" spans="1:17">
      <c r="A5" s="442" t="s">
        <v>149</v>
      </c>
      <c r="B5" s="443">
        <f ca="1">tertiair!B16</f>
        <v>7801.3796819264298</v>
      </c>
      <c r="C5" s="443">
        <f ca="1">tertiair!C16</f>
        <v>0</v>
      </c>
      <c r="D5" s="443">
        <f ca="1">tertiair!D16</f>
        <v>7901.5791801505475</v>
      </c>
      <c r="E5" s="443">
        <f>tertiair!E16</f>
        <v>99.672640483843097</v>
      </c>
      <c r="F5" s="443">
        <f ca="1">tertiair!F16</f>
        <v>1310.6290053571863</v>
      </c>
      <c r="G5" s="443">
        <f>tertiair!G16</f>
        <v>0</v>
      </c>
      <c r="H5" s="443">
        <f>tertiair!H16</f>
        <v>0</v>
      </c>
      <c r="I5" s="443">
        <f>tertiair!I16</f>
        <v>0</v>
      </c>
      <c r="J5" s="443">
        <f>tertiair!J16</f>
        <v>2.3891285492382827E-2</v>
      </c>
      <c r="K5" s="443">
        <f>tertiair!K16</f>
        <v>0</v>
      </c>
      <c r="L5" s="443">
        <f ca="1">tertiair!L16</f>
        <v>0</v>
      </c>
      <c r="M5" s="443">
        <f>tertiair!M16</f>
        <v>0</v>
      </c>
      <c r="N5" s="443">
        <f ca="1">tertiair!N16</f>
        <v>946.18242512945574</v>
      </c>
      <c r="O5" s="443">
        <f>tertiair!O16</f>
        <v>9.3800000000000008</v>
      </c>
      <c r="P5" s="444">
        <f>tertiair!P16</f>
        <v>38.133333333333333</v>
      </c>
      <c r="Q5" s="442">
        <f t="shared" ref="Q5:Q14" ca="1" si="0">SUM(B5:P5)</f>
        <v>18106.98015766629</v>
      </c>
    </row>
    <row r="6" spans="1:17">
      <c r="A6" s="442" t="s">
        <v>187</v>
      </c>
      <c r="B6" s="443">
        <f>'openbare verlichting'!B8</f>
        <v>768.41700000000003</v>
      </c>
      <c r="C6" s="443"/>
      <c r="D6" s="443"/>
      <c r="E6" s="443"/>
      <c r="F6" s="443"/>
      <c r="G6" s="443"/>
      <c r="H6" s="443"/>
      <c r="I6" s="443"/>
      <c r="J6" s="443"/>
      <c r="K6" s="443"/>
      <c r="L6" s="443"/>
      <c r="M6" s="443"/>
      <c r="N6" s="443"/>
      <c r="O6" s="443"/>
      <c r="P6" s="444"/>
      <c r="Q6" s="442">
        <f t="shared" si="0"/>
        <v>768.41700000000003</v>
      </c>
    </row>
    <row r="7" spans="1:17">
      <c r="A7" s="442" t="s">
        <v>105</v>
      </c>
      <c r="B7" s="443">
        <f>landbouw!B8</f>
        <v>6150.8793917956818</v>
      </c>
      <c r="C7" s="443">
        <f>landbouw!C8</f>
        <v>0</v>
      </c>
      <c r="D7" s="443">
        <f>landbouw!D8</f>
        <v>447.14900547630714</v>
      </c>
      <c r="E7" s="443">
        <f>landbouw!E8</f>
        <v>180.79313227895602</v>
      </c>
      <c r="F7" s="443">
        <f>landbouw!F8</f>
        <v>25624.231170144121</v>
      </c>
      <c r="G7" s="443">
        <f>landbouw!G8</f>
        <v>0</v>
      </c>
      <c r="H7" s="443">
        <f>landbouw!H8</f>
        <v>0</v>
      </c>
      <c r="I7" s="443">
        <f>landbouw!I8</f>
        <v>0</v>
      </c>
      <c r="J7" s="443">
        <f>landbouw!J8</f>
        <v>891.13033222421745</v>
      </c>
      <c r="K7" s="443">
        <f>landbouw!K8</f>
        <v>0</v>
      </c>
      <c r="L7" s="443">
        <f>landbouw!L8</f>
        <v>0</v>
      </c>
      <c r="M7" s="443">
        <f>landbouw!M8</f>
        <v>0</v>
      </c>
      <c r="N7" s="443">
        <f>landbouw!N8</f>
        <v>0</v>
      </c>
      <c r="O7" s="443">
        <f>landbouw!O8</f>
        <v>0</v>
      </c>
      <c r="P7" s="444">
        <f>landbouw!P8</f>
        <v>0</v>
      </c>
      <c r="Q7" s="442">
        <f t="shared" si="0"/>
        <v>33294.183031919281</v>
      </c>
    </row>
    <row r="8" spans="1:17">
      <c r="A8" s="442" t="s">
        <v>621</v>
      </c>
      <c r="B8" s="443">
        <f>industrie!B18</f>
        <v>69642.068969022192</v>
      </c>
      <c r="C8" s="443">
        <f>industrie!C18</f>
        <v>0</v>
      </c>
      <c r="D8" s="443">
        <f>industrie!D18</f>
        <v>219405.32354223827</v>
      </c>
      <c r="E8" s="443">
        <f>industrie!E18</f>
        <v>589.02470555581544</v>
      </c>
      <c r="F8" s="443">
        <f>industrie!F18</f>
        <v>5547.3589091208041</v>
      </c>
      <c r="G8" s="443">
        <f>industrie!G18</f>
        <v>0</v>
      </c>
      <c r="H8" s="443">
        <f>industrie!H18</f>
        <v>0</v>
      </c>
      <c r="I8" s="443">
        <f>industrie!I18</f>
        <v>0</v>
      </c>
      <c r="J8" s="443">
        <f>industrie!J18</f>
        <v>26.841032822154872</v>
      </c>
      <c r="K8" s="443">
        <f>industrie!K18</f>
        <v>0</v>
      </c>
      <c r="L8" s="443">
        <f>industrie!L18</f>
        <v>0</v>
      </c>
      <c r="M8" s="443">
        <f>industrie!M18</f>
        <v>0</v>
      </c>
      <c r="N8" s="443">
        <f>industrie!N18</f>
        <v>4816.2882398478623</v>
      </c>
      <c r="O8" s="443">
        <f>industrie!O18</f>
        <v>0</v>
      </c>
      <c r="P8" s="444">
        <f>industrie!P18</f>
        <v>0</v>
      </c>
      <c r="Q8" s="442">
        <f t="shared" si="0"/>
        <v>300026.90539860708</v>
      </c>
    </row>
    <row r="9" spans="1:17" s="448" customFormat="1">
      <c r="A9" s="446" t="s">
        <v>547</v>
      </c>
      <c r="B9" s="447">
        <f>transport!B14</f>
        <v>18.946447607210867</v>
      </c>
      <c r="C9" s="447">
        <f>transport!C14</f>
        <v>0</v>
      </c>
      <c r="D9" s="447">
        <f>transport!D14</f>
        <v>33.535478011374039</v>
      </c>
      <c r="E9" s="447">
        <f>transport!E14</f>
        <v>58.303900067234409</v>
      </c>
      <c r="F9" s="447">
        <f>transport!F14</f>
        <v>0</v>
      </c>
      <c r="G9" s="447">
        <f>transport!G14</f>
        <v>24527.150357411363</v>
      </c>
      <c r="H9" s="447">
        <f>transport!H14</f>
        <v>5386.9824181268232</v>
      </c>
      <c r="I9" s="447">
        <f>transport!I14</f>
        <v>0</v>
      </c>
      <c r="J9" s="447">
        <f>transport!J14</f>
        <v>0</v>
      </c>
      <c r="K9" s="447">
        <f>transport!K14</f>
        <v>0</v>
      </c>
      <c r="L9" s="447">
        <f>transport!L14</f>
        <v>0</v>
      </c>
      <c r="M9" s="447">
        <f>transport!M14</f>
        <v>1591.6040820734397</v>
      </c>
      <c r="N9" s="447">
        <f>transport!N14</f>
        <v>0</v>
      </c>
      <c r="O9" s="447">
        <f>transport!O14</f>
        <v>0</v>
      </c>
      <c r="P9" s="447">
        <f>transport!P14</f>
        <v>0</v>
      </c>
      <c r="Q9" s="446">
        <f>SUM(B9:P9)</f>
        <v>31616.522683297444</v>
      </c>
    </row>
    <row r="10" spans="1:17">
      <c r="A10" s="442" t="s">
        <v>537</v>
      </c>
      <c r="B10" s="443">
        <f>transport!B54</f>
        <v>2.7251260338614123</v>
      </c>
      <c r="C10" s="443">
        <f>transport!C54</f>
        <v>0</v>
      </c>
      <c r="D10" s="443">
        <f>transport!D54</f>
        <v>0</v>
      </c>
      <c r="E10" s="443">
        <f>transport!E54</f>
        <v>0</v>
      </c>
      <c r="F10" s="443">
        <f>transport!F54</f>
        <v>0</v>
      </c>
      <c r="G10" s="443">
        <f>transport!G54</f>
        <v>255.99854156324244</v>
      </c>
      <c r="H10" s="443">
        <f>transport!H54</f>
        <v>0</v>
      </c>
      <c r="I10" s="443">
        <f>transport!I54</f>
        <v>0</v>
      </c>
      <c r="J10" s="443">
        <f>transport!J54</f>
        <v>0</v>
      </c>
      <c r="K10" s="443">
        <f>transport!K54</f>
        <v>0</v>
      </c>
      <c r="L10" s="443">
        <f>transport!L54</f>
        <v>0</v>
      </c>
      <c r="M10" s="443">
        <f>transport!M54</f>
        <v>14.742187368903465</v>
      </c>
      <c r="N10" s="443">
        <f>transport!N54</f>
        <v>0</v>
      </c>
      <c r="O10" s="443">
        <f>transport!O54</f>
        <v>0</v>
      </c>
      <c r="P10" s="444">
        <f>transport!P54</f>
        <v>0</v>
      </c>
      <c r="Q10" s="442">
        <f t="shared" si="0"/>
        <v>273.46585496600727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623.47634036846898</v>
      </c>
      <c r="C14" s="450"/>
      <c r="D14" s="450">
        <f>'SEAP template'!E25</f>
        <v>1020.65168542787</v>
      </c>
      <c r="E14" s="450"/>
      <c r="F14" s="450"/>
      <c r="G14" s="450"/>
      <c r="H14" s="450"/>
      <c r="I14" s="450"/>
      <c r="J14" s="450"/>
      <c r="K14" s="450"/>
      <c r="L14" s="450"/>
      <c r="M14" s="450"/>
      <c r="N14" s="450"/>
      <c r="O14" s="450"/>
      <c r="P14" s="451"/>
      <c r="Q14" s="442">
        <f t="shared" si="0"/>
        <v>1644.128025796339</v>
      </c>
    </row>
    <row r="15" spans="1:17" s="452" customFormat="1">
      <c r="A15" s="997" t="s">
        <v>541</v>
      </c>
      <c r="B15" s="945">
        <f ca="1">SUM(B4:B14)</f>
        <v>98723.913164629586</v>
      </c>
      <c r="C15" s="945">
        <f t="shared" ref="C15:Q15" ca="1" si="1">SUM(C4:C14)</f>
        <v>0</v>
      </c>
      <c r="D15" s="945">
        <f t="shared" ca="1" si="1"/>
        <v>251934.53492956542</v>
      </c>
      <c r="E15" s="945">
        <f t="shared" si="1"/>
        <v>1923.5819697876564</v>
      </c>
      <c r="F15" s="945">
        <f t="shared" ca="1" si="1"/>
        <v>57711.013013917494</v>
      </c>
      <c r="G15" s="945">
        <f t="shared" si="1"/>
        <v>24783.148898974607</v>
      </c>
      <c r="H15" s="945">
        <f t="shared" si="1"/>
        <v>5386.9824181268232</v>
      </c>
      <c r="I15" s="945">
        <f t="shared" si="1"/>
        <v>0</v>
      </c>
      <c r="J15" s="945">
        <f t="shared" si="1"/>
        <v>1039.3933822709037</v>
      </c>
      <c r="K15" s="945">
        <f t="shared" si="1"/>
        <v>0</v>
      </c>
      <c r="L15" s="945">
        <f t="shared" ca="1" si="1"/>
        <v>0</v>
      </c>
      <c r="M15" s="945">
        <f t="shared" si="1"/>
        <v>1606.3462694423431</v>
      </c>
      <c r="N15" s="945">
        <f t="shared" ca="1" si="1"/>
        <v>10760.486969128957</v>
      </c>
      <c r="O15" s="945">
        <f t="shared" si="1"/>
        <v>204.79666666666668</v>
      </c>
      <c r="P15" s="945">
        <f t="shared" si="1"/>
        <v>495.73333333333335</v>
      </c>
      <c r="Q15" s="945">
        <f t="shared" ca="1" si="1"/>
        <v>454569.93101584376</v>
      </c>
    </row>
    <row r="17" spans="1:17">
      <c r="A17" s="453" t="s">
        <v>542</v>
      </c>
      <c r="B17" s="752">
        <f ca="1">huishoudens!B10</f>
        <v>0.2132650929216586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2925.148324147965</v>
      </c>
      <c r="C22" s="443">
        <f t="shared" ref="C22:C32" ca="1" si="3">C4*$C$17</f>
        <v>0</v>
      </c>
      <c r="D22" s="443">
        <f t="shared" ref="D22:D32" si="4">D4*$D$17</f>
        <v>4671.5117997287307</v>
      </c>
      <c r="E22" s="443">
        <f t="shared" ref="E22:E32" si="5">E4*$E$17</f>
        <v>226.04378324821025</v>
      </c>
      <c r="F22" s="443">
        <f t="shared" ref="F22:F32" si="6">F4*$F$17</f>
        <v>6736.0879791218676</v>
      </c>
      <c r="G22" s="443">
        <f t="shared" ref="G22:G32" si="7">G4*$G$17</f>
        <v>0</v>
      </c>
      <c r="H22" s="443">
        <f t="shared" ref="H22:H32" si="8">H4*$H$17</f>
        <v>0</v>
      </c>
      <c r="I22" s="443">
        <f t="shared" ref="I22:I32" si="9">I4*$I$17</f>
        <v>0</v>
      </c>
      <c r="J22" s="443">
        <f t="shared" ref="J22:J32" si="10">J4*$J$17</f>
        <v>42.974936582419765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14601.766822829193</v>
      </c>
    </row>
    <row r="23" spans="1:17">
      <c r="A23" s="442" t="s">
        <v>149</v>
      </c>
      <c r="B23" s="443">
        <f t="shared" ca="1" si="2"/>
        <v>1663.7619627831796</v>
      </c>
      <c r="C23" s="443">
        <f t="shared" ca="1" si="3"/>
        <v>0</v>
      </c>
      <c r="D23" s="443">
        <f t="shared" ca="1" si="4"/>
        <v>1596.1189943904108</v>
      </c>
      <c r="E23" s="443">
        <f t="shared" si="5"/>
        <v>22.625689389832385</v>
      </c>
      <c r="F23" s="443">
        <f t="shared" ca="1" si="6"/>
        <v>349.93794443036876</v>
      </c>
      <c r="G23" s="443">
        <f t="shared" si="7"/>
        <v>0</v>
      </c>
      <c r="H23" s="443">
        <f t="shared" si="8"/>
        <v>0</v>
      </c>
      <c r="I23" s="443">
        <f t="shared" si="9"/>
        <v>0</v>
      </c>
      <c r="J23" s="443">
        <f t="shared" si="10"/>
        <v>8.4575150643035196E-3</v>
      </c>
      <c r="K23" s="443">
        <f t="shared" si="11"/>
        <v>0</v>
      </c>
      <c r="L23" s="443">
        <f t="shared" ca="1" si="12"/>
        <v>0</v>
      </c>
      <c r="M23" s="443">
        <f t="shared" si="13"/>
        <v>0</v>
      </c>
      <c r="N23" s="443">
        <f t="shared" ca="1" si="14"/>
        <v>0</v>
      </c>
      <c r="O23" s="443">
        <f t="shared" si="15"/>
        <v>0</v>
      </c>
      <c r="P23" s="444">
        <f t="shared" si="16"/>
        <v>0</v>
      </c>
      <c r="Q23" s="442">
        <f t="shared" ref="Q23:Q32" ca="1" si="17">SUM(B23:P23)</f>
        <v>3632.4530485088558</v>
      </c>
    </row>
    <row r="24" spans="1:17">
      <c r="A24" s="442" t="s">
        <v>187</v>
      </c>
      <c r="B24" s="443">
        <f t="shared" ca="1" si="2"/>
        <v>163.87652290758214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163.87652290758214</v>
      </c>
    </row>
    <row r="25" spans="1:17">
      <c r="A25" s="442" t="s">
        <v>105</v>
      </c>
      <c r="B25" s="443">
        <f t="shared" ca="1" si="2"/>
        <v>1311.7678650412211</v>
      </c>
      <c r="C25" s="443">
        <f t="shared" ca="1" si="3"/>
        <v>0</v>
      </c>
      <c r="D25" s="443">
        <f t="shared" si="4"/>
        <v>90.324099106214049</v>
      </c>
      <c r="E25" s="443">
        <f t="shared" si="5"/>
        <v>41.040041027323021</v>
      </c>
      <c r="F25" s="443">
        <f t="shared" si="6"/>
        <v>6841.6697224284808</v>
      </c>
      <c r="G25" s="443">
        <f t="shared" si="7"/>
        <v>0</v>
      </c>
      <c r="H25" s="443">
        <f t="shared" si="8"/>
        <v>0</v>
      </c>
      <c r="I25" s="443">
        <f t="shared" si="9"/>
        <v>0</v>
      </c>
      <c r="J25" s="443">
        <f t="shared" si="10"/>
        <v>315.46013760737299</v>
      </c>
      <c r="K25" s="443">
        <f t="shared" si="11"/>
        <v>0</v>
      </c>
      <c r="L25" s="443">
        <f t="shared" si="12"/>
        <v>0</v>
      </c>
      <c r="M25" s="443">
        <f t="shared" si="13"/>
        <v>0</v>
      </c>
      <c r="N25" s="443">
        <f t="shared" si="14"/>
        <v>0</v>
      </c>
      <c r="O25" s="443">
        <f t="shared" si="15"/>
        <v>0</v>
      </c>
      <c r="P25" s="444">
        <f t="shared" si="16"/>
        <v>0</v>
      </c>
      <c r="Q25" s="442">
        <f t="shared" ca="1" si="17"/>
        <v>8600.2618652106121</v>
      </c>
    </row>
    <row r="26" spans="1:17">
      <c r="A26" s="442" t="s">
        <v>621</v>
      </c>
      <c r="B26" s="443">
        <f t="shared" ca="1" si="2"/>
        <v>14852.222309935074</v>
      </c>
      <c r="C26" s="443">
        <f t="shared" ca="1" si="3"/>
        <v>0</v>
      </c>
      <c r="D26" s="443">
        <f t="shared" si="4"/>
        <v>44319.875355532131</v>
      </c>
      <c r="E26" s="443">
        <f t="shared" si="5"/>
        <v>133.7086081611701</v>
      </c>
      <c r="F26" s="443">
        <f t="shared" si="6"/>
        <v>1481.1448287352548</v>
      </c>
      <c r="G26" s="443">
        <f t="shared" si="7"/>
        <v>0</v>
      </c>
      <c r="H26" s="443">
        <f t="shared" si="8"/>
        <v>0</v>
      </c>
      <c r="I26" s="443">
        <f t="shared" si="9"/>
        <v>0</v>
      </c>
      <c r="J26" s="443">
        <f t="shared" si="10"/>
        <v>9.5017256190428245</v>
      </c>
      <c r="K26" s="443">
        <f t="shared" si="11"/>
        <v>0</v>
      </c>
      <c r="L26" s="443">
        <f t="shared" si="12"/>
        <v>0</v>
      </c>
      <c r="M26" s="443">
        <f t="shared" si="13"/>
        <v>0</v>
      </c>
      <c r="N26" s="443">
        <f t="shared" si="14"/>
        <v>0</v>
      </c>
      <c r="O26" s="443">
        <f t="shared" si="15"/>
        <v>0</v>
      </c>
      <c r="P26" s="444">
        <f t="shared" si="16"/>
        <v>0</v>
      </c>
      <c r="Q26" s="442">
        <f t="shared" ca="1" si="17"/>
        <v>60796.45282798267</v>
      </c>
    </row>
    <row r="27" spans="1:17" s="448" customFormat="1">
      <c r="A27" s="446" t="s">
        <v>547</v>
      </c>
      <c r="B27" s="746">
        <f t="shared" ca="1" si="2"/>
        <v>4.0406159094871619</v>
      </c>
      <c r="C27" s="447">
        <f t="shared" ca="1" si="3"/>
        <v>0</v>
      </c>
      <c r="D27" s="447">
        <f t="shared" si="4"/>
        <v>6.7741665582975559</v>
      </c>
      <c r="E27" s="447">
        <f t="shared" si="5"/>
        <v>13.234985315262211</v>
      </c>
      <c r="F27" s="447">
        <f t="shared" si="6"/>
        <v>0</v>
      </c>
      <c r="G27" s="447">
        <f t="shared" si="7"/>
        <v>6548.7491454288347</v>
      </c>
      <c r="H27" s="447">
        <f t="shared" si="8"/>
        <v>1341.358622113579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7914.1575353254611</v>
      </c>
    </row>
    <row r="28" spans="1:17">
      <c r="A28" s="442" t="s">
        <v>537</v>
      </c>
      <c r="B28" s="443">
        <f t="shared" ca="1" si="2"/>
        <v>0.58117425683468504</v>
      </c>
      <c r="C28" s="443">
        <f t="shared" ca="1" si="3"/>
        <v>0</v>
      </c>
      <c r="D28" s="443">
        <f t="shared" si="4"/>
        <v>0</v>
      </c>
      <c r="E28" s="443">
        <f t="shared" si="5"/>
        <v>0</v>
      </c>
      <c r="F28" s="443">
        <f t="shared" si="6"/>
        <v>0</v>
      </c>
      <c r="G28" s="443">
        <f t="shared" si="7"/>
        <v>68.351610597385729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68.932784854220415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132.96573966313719</v>
      </c>
      <c r="C32" s="443">
        <f t="shared" ca="1" si="3"/>
        <v>0</v>
      </c>
      <c r="D32" s="443">
        <f t="shared" si="4"/>
        <v>206.17164045642974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339.13738011956696</v>
      </c>
    </row>
    <row r="33" spans="1:17" s="452" customFormat="1">
      <c r="A33" s="997" t="s">
        <v>541</v>
      </c>
      <c r="B33" s="945">
        <f ca="1">SUM(B22:B32)</f>
        <v>21054.364514644476</v>
      </c>
      <c r="C33" s="945">
        <f t="shared" ref="C33:Q33" ca="1" si="18">SUM(C22:C32)</f>
        <v>0</v>
      </c>
      <c r="D33" s="945">
        <f t="shared" ca="1" si="18"/>
        <v>50890.776055772207</v>
      </c>
      <c r="E33" s="945">
        <f t="shared" si="18"/>
        <v>436.65310714179799</v>
      </c>
      <c r="F33" s="945">
        <f t="shared" ca="1" si="18"/>
        <v>15408.840474715971</v>
      </c>
      <c r="G33" s="945">
        <f t="shared" si="18"/>
        <v>6617.1007560262206</v>
      </c>
      <c r="H33" s="945">
        <f t="shared" si="18"/>
        <v>1341.358622113579</v>
      </c>
      <c r="I33" s="945">
        <f t="shared" si="18"/>
        <v>0</v>
      </c>
      <c r="J33" s="945">
        <f t="shared" si="18"/>
        <v>367.94525732389985</v>
      </c>
      <c r="K33" s="945">
        <f t="shared" si="18"/>
        <v>0</v>
      </c>
      <c r="L33" s="945">
        <f t="shared" ca="1" si="18"/>
        <v>0</v>
      </c>
      <c r="M33" s="945">
        <f t="shared" si="18"/>
        <v>0</v>
      </c>
      <c r="N33" s="945">
        <f t="shared" ca="1" si="18"/>
        <v>0</v>
      </c>
      <c r="O33" s="945">
        <f t="shared" si="18"/>
        <v>0</v>
      </c>
      <c r="P33" s="945">
        <f t="shared" si="18"/>
        <v>0</v>
      </c>
      <c r="Q33" s="945">
        <f t="shared" ca="1" si="18"/>
        <v>96117.038787738173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3455.2954513061322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3455.2954513061322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0.2132650929216586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0.2132650929216586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0.2132650929216586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0.2132650929216586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3274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7768.2</v>
      </c>
      <c r="C14" s="324"/>
      <c r="D14" s="324"/>
      <c r="E14" s="324"/>
      <c r="F14" s="324"/>
    </row>
    <row r="15" spans="1:6">
      <c r="A15" s="1289" t="s">
        <v>177</v>
      </c>
      <c r="B15" s="1290">
        <v>107</v>
      </c>
      <c r="C15" s="324"/>
      <c r="D15" s="324"/>
      <c r="E15" s="324"/>
      <c r="F15" s="324"/>
    </row>
    <row r="16" spans="1:6">
      <c r="A16" s="1289" t="s">
        <v>6</v>
      </c>
      <c r="B16" s="1290">
        <v>3883</v>
      </c>
      <c r="C16" s="324"/>
      <c r="D16" s="324"/>
      <c r="E16" s="324"/>
      <c r="F16" s="324"/>
    </row>
    <row r="17" spans="1:6">
      <c r="A17" s="1289" t="s">
        <v>7</v>
      </c>
      <c r="B17" s="1290">
        <v>2574</v>
      </c>
      <c r="C17" s="324"/>
      <c r="D17" s="324"/>
      <c r="E17" s="324"/>
      <c r="F17" s="324"/>
    </row>
    <row r="18" spans="1:6">
      <c r="A18" s="1289" t="s">
        <v>8</v>
      </c>
      <c r="B18" s="1290">
        <v>4091</v>
      </c>
      <c r="C18" s="324"/>
      <c r="D18" s="324"/>
      <c r="E18" s="324"/>
      <c r="F18" s="324"/>
    </row>
    <row r="19" spans="1:6">
      <c r="A19" s="1289" t="s">
        <v>9</v>
      </c>
      <c r="B19" s="1290">
        <v>4081</v>
      </c>
      <c r="C19" s="324"/>
      <c r="D19" s="324"/>
      <c r="E19" s="324"/>
      <c r="F19" s="324"/>
    </row>
    <row r="20" spans="1:6">
      <c r="A20" s="1289" t="s">
        <v>10</v>
      </c>
      <c r="B20" s="1290">
        <v>2267</v>
      </c>
      <c r="C20" s="324"/>
      <c r="D20" s="324"/>
      <c r="E20" s="324"/>
      <c r="F20" s="324"/>
    </row>
    <row r="21" spans="1:6">
      <c r="A21" s="1289" t="s">
        <v>11</v>
      </c>
      <c r="B21" s="1290">
        <v>26799</v>
      </c>
      <c r="C21" s="324"/>
      <c r="D21" s="324"/>
      <c r="E21" s="324"/>
      <c r="F21" s="324"/>
    </row>
    <row r="22" spans="1:6">
      <c r="A22" s="1289" t="s">
        <v>12</v>
      </c>
      <c r="B22" s="1290">
        <v>66505</v>
      </c>
      <c r="C22" s="324"/>
      <c r="D22" s="324"/>
      <c r="E22" s="324"/>
      <c r="F22" s="324"/>
    </row>
    <row r="23" spans="1:6">
      <c r="A23" s="1289" t="s">
        <v>13</v>
      </c>
      <c r="B23" s="1290">
        <v>821</v>
      </c>
      <c r="C23" s="324"/>
      <c r="D23" s="324"/>
      <c r="E23" s="324"/>
      <c r="F23" s="324"/>
    </row>
    <row r="24" spans="1:6">
      <c r="A24" s="1289" t="s">
        <v>14</v>
      </c>
      <c r="B24" s="1290">
        <v>49</v>
      </c>
      <c r="C24" s="324"/>
      <c r="D24" s="324"/>
      <c r="E24" s="324"/>
      <c r="F24" s="324"/>
    </row>
    <row r="25" spans="1:6">
      <c r="A25" s="1289" t="s">
        <v>15</v>
      </c>
      <c r="B25" s="1290">
        <v>5963</v>
      </c>
      <c r="C25" s="324"/>
      <c r="D25" s="324"/>
      <c r="E25" s="324"/>
      <c r="F25" s="324"/>
    </row>
    <row r="26" spans="1:6">
      <c r="A26" s="1289" t="s">
        <v>16</v>
      </c>
      <c r="B26" s="1290">
        <v>601</v>
      </c>
      <c r="C26" s="324"/>
      <c r="D26" s="324"/>
      <c r="E26" s="324"/>
      <c r="F26" s="324"/>
    </row>
    <row r="27" spans="1:6">
      <c r="A27" s="1289" t="s">
        <v>17</v>
      </c>
      <c r="B27" s="1290">
        <v>10</v>
      </c>
      <c r="C27" s="324"/>
      <c r="D27" s="324"/>
      <c r="E27" s="324"/>
      <c r="F27" s="324"/>
    </row>
    <row r="28" spans="1:6">
      <c r="A28" s="1289" t="s">
        <v>18</v>
      </c>
      <c r="B28" s="1291">
        <v>319806</v>
      </c>
      <c r="C28" s="324"/>
      <c r="D28" s="324"/>
      <c r="E28" s="324"/>
      <c r="F28" s="324"/>
    </row>
    <row r="29" spans="1:6">
      <c r="A29" s="1289" t="s">
        <v>716</v>
      </c>
      <c r="B29" s="1291">
        <v>209</v>
      </c>
      <c r="C29" s="324"/>
      <c r="D29" s="324"/>
      <c r="E29" s="324"/>
      <c r="F29" s="324"/>
    </row>
    <row r="30" spans="1:6">
      <c r="A30" s="1284" t="s">
        <v>717</v>
      </c>
      <c r="B30" s="1292">
        <v>24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3609.3377343016</v>
      </c>
      <c r="E38" s="1290">
        <v>4</v>
      </c>
      <c r="F38" s="1290">
        <v>17999.472332544301</v>
      </c>
    </row>
    <row r="39" spans="1:6">
      <c r="A39" s="1289" t="s">
        <v>29</v>
      </c>
      <c r="B39" s="1289" t="s">
        <v>30</v>
      </c>
      <c r="C39" s="1290">
        <v>1619</v>
      </c>
      <c r="D39" s="1290">
        <v>25638909.1333271</v>
      </c>
      <c r="E39" s="1290">
        <v>3019</v>
      </c>
      <c r="F39" s="1290">
        <v>11208291.046731699</v>
      </c>
    </row>
    <row r="40" spans="1:6">
      <c r="A40" s="1289" t="s">
        <v>29</v>
      </c>
      <c r="B40" s="1289" t="s">
        <v>28</v>
      </c>
      <c r="C40" s="1290">
        <v>0</v>
      </c>
      <c r="D40" s="1290">
        <v>0</v>
      </c>
      <c r="E40" s="1290">
        <v>0</v>
      </c>
      <c r="F40" s="1290">
        <v>0</v>
      </c>
    </row>
    <row r="41" spans="1:6">
      <c r="A41" s="1289" t="s">
        <v>31</v>
      </c>
      <c r="B41" s="1289" t="s">
        <v>32</v>
      </c>
      <c r="C41" s="1290">
        <v>3</v>
      </c>
      <c r="D41" s="1290">
        <v>93525.503097736801</v>
      </c>
      <c r="E41" s="1290">
        <v>29</v>
      </c>
      <c r="F41" s="1290">
        <v>150147.944219864</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35</v>
      </c>
      <c r="D48" s="1290">
        <v>243149626.98275399</v>
      </c>
      <c r="E48" s="1290">
        <v>57</v>
      </c>
      <c r="F48" s="1290">
        <v>7497535.0258352198</v>
      </c>
    </row>
    <row r="49" spans="1:6">
      <c r="A49" s="1289" t="s">
        <v>31</v>
      </c>
      <c r="B49" s="1289" t="s">
        <v>39</v>
      </c>
      <c r="C49" s="1290">
        <v>0</v>
      </c>
      <c r="D49" s="1290">
        <v>0</v>
      </c>
      <c r="E49" s="1290">
        <v>0</v>
      </c>
      <c r="F49" s="1290">
        <v>0</v>
      </c>
    </row>
    <row r="50" spans="1:6">
      <c r="A50" s="1289" t="s">
        <v>31</v>
      </c>
      <c r="B50" s="1289" t="s">
        <v>40</v>
      </c>
      <c r="C50" s="1290">
        <v>0</v>
      </c>
      <c r="D50" s="1290">
        <v>0</v>
      </c>
      <c r="E50" s="1290">
        <v>9</v>
      </c>
      <c r="F50" s="1290">
        <v>61994385.998967104</v>
      </c>
    </row>
    <row r="51" spans="1:6">
      <c r="A51" s="1289" t="s">
        <v>41</v>
      </c>
      <c r="B51" s="1289" t="s">
        <v>42</v>
      </c>
      <c r="C51" s="1290">
        <v>9</v>
      </c>
      <c r="D51" s="1290">
        <v>323390.53324103402</v>
      </c>
      <c r="E51" s="1290">
        <v>198</v>
      </c>
      <c r="F51" s="1290">
        <v>5155472.3065117896</v>
      </c>
    </row>
    <row r="52" spans="1:6">
      <c r="A52" s="1289" t="s">
        <v>41</v>
      </c>
      <c r="B52" s="1289" t="s">
        <v>28</v>
      </c>
      <c r="C52" s="1290">
        <v>9</v>
      </c>
      <c r="D52" s="1290">
        <v>172340.07149988299</v>
      </c>
      <c r="E52" s="1290">
        <v>35</v>
      </c>
      <c r="F52" s="1290">
        <v>995407.085283892</v>
      </c>
    </row>
    <row r="53" spans="1:6">
      <c r="A53" s="1289" t="s">
        <v>43</v>
      </c>
      <c r="B53" s="1289" t="s">
        <v>44</v>
      </c>
      <c r="C53" s="1290">
        <v>58</v>
      </c>
      <c r="D53" s="1290">
        <v>1020651.68542787</v>
      </c>
      <c r="E53" s="1290">
        <v>140</v>
      </c>
      <c r="F53" s="1290">
        <v>623476.34036846901</v>
      </c>
    </row>
    <row r="54" spans="1:6">
      <c r="A54" s="1289" t="s">
        <v>45</v>
      </c>
      <c r="B54" s="1289" t="s">
        <v>46</v>
      </c>
      <c r="C54" s="1290">
        <v>0</v>
      </c>
      <c r="D54" s="1290">
        <v>0</v>
      </c>
      <c r="E54" s="1290">
        <v>1</v>
      </c>
      <c r="F54" s="1290">
        <v>768417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31</v>
      </c>
      <c r="D57" s="1290">
        <v>1137666.18683352</v>
      </c>
      <c r="E57" s="1290">
        <v>73</v>
      </c>
      <c r="F57" s="1290">
        <v>668315.13743097906</v>
      </c>
    </row>
    <row r="58" spans="1:6">
      <c r="A58" s="1289" t="s">
        <v>48</v>
      </c>
      <c r="B58" s="1289" t="s">
        <v>50</v>
      </c>
      <c r="C58" s="1290">
        <v>3</v>
      </c>
      <c r="D58" s="1290">
        <v>132481.14416175699</v>
      </c>
      <c r="E58" s="1290">
        <v>10</v>
      </c>
      <c r="F58" s="1290">
        <v>93971.827320594006</v>
      </c>
    </row>
    <row r="59" spans="1:6">
      <c r="A59" s="1289" t="s">
        <v>48</v>
      </c>
      <c r="B59" s="1289" t="s">
        <v>51</v>
      </c>
      <c r="C59" s="1290">
        <v>7</v>
      </c>
      <c r="D59" s="1290">
        <v>75038.627588176299</v>
      </c>
      <c r="E59" s="1290">
        <v>28</v>
      </c>
      <c r="F59" s="1290">
        <v>575290.62779943098</v>
      </c>
    </row>
    <row r="60" spans="1:6">
      <c r="A60" s="1289" t="s">
        <v>48</v>
      </c>
      <c r="B60" s="1289" t="s">
        <v>52</v>
      </c>
      <c r="C60" s="1290">
        <v>29</v>
      </c>
      <c r="D60" s="1290">
        <v>1007667.3649652899</v>
      </c>
      <c r="E60" s="1290">
        <v>74</v>
      </c>
      <c r="F60" s="1290">
        <v>2060925.8921294599</v>
      </c>
    </row>
    <row r="61" spans="1:6">
      <c r="A61" s="1289" t="s">
        <v>48</v>
      </c>
      <c r="B61" s="1289" t="s">
        <v>53</v>
      </c>
      <c r="C61" s="1290">
        <v>22</v>
      </c>
      <c r="D61" s="1290">
        <v>1104746.44260584</v>
      </c>
      <c r="E61" s="1290">
        <v>49</v>
      </c>
      <c r="F61" s="1290">
        <v>503288.29298833502</v>
      </c>
    </row>
    <row r="62" spans="1:6">
      <c r="A62" s="1289" t="s">
        <v>48</v>
      </c>
      <c r="B62" s="1289" t="s">
        <v>54</v>
      </c>
      <c r="C62" s="1290">
        <v>0</v>
      </c>
      <c r="D62" s="1290">
        <v>0</v>
      </c>
      <c r="E62" s="1290">
        <v>3</v>
      </c>
      <c r="F62" s="1290">
        <v>24020.786380501399</v>
      </c>
    </row>
    <row r="63" spans="1:6">
      <c r="A63" s="1289" t="s">
        <v>48</v>
      </c>
      <c r="B63" s="1289" t="s">
        <v>28</v>
      </c>
      <c r="C63" s="1290">
        <v>130</v>
      </c>
      <c r="D63" s="1290">
        <v>5302465.8437684197</v>
      </c>
      <c r="E63" s="1290">
        <v>243</v>
      </c>
      <c r="F63" s="1290">
        <v>3875567.1178771299</v>
      </c>
    </row>
    <row r="64" spans="1:6">
      <c r="A64" s="1289" t="s">
        <v>55</v>
      </c>
      <c r="B64" s="1289" t="s">
        <v>56</v>
      </c>
      <c r="C64" s="1290">
        <v>0</v>
      </c>
      <c r="D64" s="1290">
        <v>0</v>
      </c>
      <c r="E64" s="1290">
        <v>0</v>
      </c>
      <c r="F64" s="1290">
        <v>0</v>
      </c>
    </row>
    <row r="65" spans="1:6">
      <c r="A65" s="1289" t="s">
        <v>55</v>
      </c>
      <c r="B65" s="1289" t="s">
        <v>28</v>
      </c>
      <c r="C65" s="1290">
        <v>1</v>
      </c>
      <c r="D65" s="1290">
        <v>1537.8975753276</v>
      </c>
      <c r="E65" s="1290">
        <v>10</v>
      </c>
      <c r="F65" s="1290">
        <v>27406.732582991601</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3</v>
      </c>
      <c r="F68" s="1292">
        <v>256068.362701687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29454754</v>
      </c>
      <c r="E73" s="441"/>
      <c r="F73" s="324"/>
    </row>
    <row r="74" spans="1:6">
      <c r="A74" s="1289" t="s">
        <v>63</v>
      </c>
      <c r="B74" s="1289" t="s">
        <v>642</v>
      </c>
      <c r="C74" s="1302" t="s">
        <v>644</v>
      </c>
      <c r="D74" s="1290">
        <v>2631708.5</v>
      </c>
      <c r="E74" s="441"/>
      <c r="F74" s="324"/>
    </row>
    <row r="75" spans="1:6">
      <c r="A75" s="1289" t="s">
        <v>64</v>
      </c>
      <c r="B75" s="1289" t="s">
        <v>641</v>
      </c>
      <c r="C75" s="1302" t="s">
        <v>645</v>
      </c>
      <c r="D75" s="1290">
        <v>6773676</v>
      </c>
      <c r="E75" s="441"/>
      <c r="F75" s="324"/>
    </row>
    <row r="76" spans="1:6">
      <c r="A76" s="1289" t="s">
        <v>64</v>
      </c>
      <c r="B76" s="1289" t="s">
        <v>642</v>
      </c>
      <c r="C76" s="1302" t="s">
        <v>646</v>
      </c>
      <c r="D76" s="1290">
        <v>206139.5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74379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2507.7291611440319</v>
      </c>
      <c r="C91" s="324"/>
      <c r="D91" s="324"/>
      <c r="E91" s="324"/>
      <c r="F91" s="324"/>
    </row>
    <row r="92" spans="1:6">
      <c r="A92" s="1284" t="s">
        <v>68</v>
      </c>
      <c r="B92" s="1285">
        <v>947.56629016210013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1025</v>
      </c>
      <c r="C97" s="324"/>
      <c r="D97" s="324"/>
      <c r="E97" s="324"/>
      <c r="F97" s="324"/>
    </row>
    <row r="98" spans="1:6">
      <c r="A98" s="1289" t="s">
        <v>71</v>
      </c>
      <c r="B98" s="1290">
        <v>3</v>
      </c>
      <c r="C98" s="324"/>
      <c r="D98" s="324"/>
      <c r="E98" s="324"/>
      <c r="F98" s="324"/>
    </row>
    <row r="99" spans="1:6">
      <c r="A99" s="1289" t="s">
        <v>72</v>
      </c>
      <c r="B99" s="1290">
        <v>202</v>
      </c>
      <c r="C99" s="324"/>
      <c r="D99" s="324"/>
      <c r="E99" s="324"/>
      <c r="F99" s="324"/>
    </row>
    <row r="100" spans="1:6">
      <c r="A100" s="1289" t="s">
        <v>73</v>
      </c>
      <c r="B100" s="1290">
        <v>175</v>
      </c>
      <c r="C100" s="324"/>
      <c r="D100" s="324"/>
      <c r="E100" s="324"/>
      <c r="F100" s="324"/>
    </row>
    <row r="101" spans="1:6">
      <c r="A101" s="1289" t="s">
        <v>74</v>
      </c>
      <c r="B101" s="1290">
        <v>136</v>
      </c>
      <c r="C101" s="324"/>
      <c r="D101" s="324"/>
      <c r="E101" s="324"/>
      <c r="F101" s="324"/>
    </row>
    <row r="102" spans="1:6">
      <c r="A102" s="1289" t="s">
        <v>75</v>
      </c>
      <c r="B102" s="1290">
        <v>56</v>
      </c>
      <c r="C102" s="324"/>
      <c r="D102" s="324"/>
      <c r="E102" s="324"/>
      <c r="F102" s="324"/>
    </row>
    <row r="103" spans="1:6">
      <c r="A103" s="1289" t="s">
        <v>76</v>
      </c>
      <c r="B103" s="1290">
        <v>271</v>
      </c>
      <c r="C103" s="324"/>
      <c r="D103" s="324"/>
      <c r="E103" s="324"/>
      <c r="F103" s="324"/>
    </row>
    <row r="104" spans="1:6">
      <c r="A104" s="1289" t="s">
        <v>77</v>
      </c>
      <c r="B104" s="1290">
        <v>1200</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v>
      </c>
      <c r="C123" s="1290">
        <v>6</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118</v>
      </c>
      <c r="C129" s="324"/>
      <c r="D129" s="324"/>
      <c r="E129" s="324"/>
      <c r="F129" s="324"/>
    </row>
    <row r="130" spans="1:6">
      <c r="A130" s="1289" t="s">
        <v>283</v>
      </c>
      <c r="B130" s="1290">
        <v>6</v>
      </c>
      <c r="C130" s="324"/>
      <c r="D130" s="324"/>
      <c r="E130" s="324"/>
      <c r="F130" s="324"/>
    </row>
    <row r="131" spans="1:6">
      <c r="A131" s="1289" t="s">
        <v>284</v>
      </c>
      <c r="B131" s="1290">
        <v>2</v>
      </c>
      <c r="C131" s="324"/>
      <c r="D131" s="324"/>
      <c r="E131" s="324"/>
      <c r="F131" s="324"/>
    </row>
    <row r="132" spans="1:6">
      <c r="A132" s="1284" t="s">
        <v>285</v>
      </c>
      <c r="B132" s="1285">
        <v>18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98723.913164629586</v>
      </c>
      <c r="C3" s="43" t="s">
        <v>163</v>
      </c>
      <c r="D3" s="43"/>
      <c r="E3" s="154"/>
      <c r="F3" s="43"/>
      <c r="G3" s="43"/>
      <c r="H3" s="43"/>
      <c r="I3" s="43"/>
      <c r="J3" s="43"/>
      <c r="K3" s="96"/>
    </row>
    <row r="4" spans="1:11">
      <c r="A4" s="350" t="s">
        <v>164</v>
      </c>
      <c r="B4" s="49">
        <f>IF(ISERROR('SEAP template'!B78+'SEAP template'!C78),0,'SEAP template'!B78+'SEAP template'!C78)</f>
        <v>3455.2954513061322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0.2132650929216586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768.41700000000003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768.41700000000003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0.2132650929216586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163.87652290758214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11208.2910467317</v>
      </c>
      <c r="C5" s="17">
        <f>IF(ISERROR('Eigen informatie GS &amp; warmtenet'!B57),0,'Eigen informatie GS &amp; warmtenet'!B57)</f>
        <v>0</v>
      </c>
      <c r="D5" s="30">
        <f>(SUM(HH_hh_gas_kWh,HH_rest_gas_kWh)/1000)*0.902</f>
        <v>23126.296038261044</v>
      </c>
      <c r="E5" s="17">
        <f>B32*B41</f>
        <v>995.78759140180728</v>
      </c>
      <c r="F5" s="17">
        <f>B36*B45</f>
        <v>25228.793929295382</v>
      </c>
      <c r="G5" s="18"/>
      <c r="H5" s="17"/>
      <c r="I5" s="17"/>
      <c r="J5" s="17">
        <f>B35*B44+C35*C44</f>
        <v>121.39812593903889</v>
      </c>
      <c r="K5" s="17"/>
      <c r="L5" s="17"/>
      <c r="M5" s="17"/>
      <c r="N5" s="17">
        <f>B34*B43+C34*C43</f>
        <v>4998.0163041516398</v>
      </c>
      <c r="O5" s="17">
        <f>B52*B53*B54</f>
        <v>195.41666666666669</v>
      </c>
      <c r="P5" s="17">
        <f>B60*B61*B62/1000-B60*B61*B62/1000/B63</f>
        <v>457.6</v>
      </c>
    </row>
    <row r="6" spans="1:16">
      <c r="A6" s="16" t="s">
        <v>607</v>
      </c>
      <c r="B6" s="754">
        <f>kWh_PV_kleiner_dan_10kW</f>
        <v>2507.7291611440319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13716.020207875732</v>
      </c>
      <c r="C8" s="21">
        <f>C5</f>
        <v>0</v>
      </c>
      <c r="D8" s="21">
        <f>D5</f>
        <v>23126.296038261044</v>
      </c>
      <c r="E8" s="21">
        <f>E5</f>
        <v>995.78759140180728</v>
      </c>
      <c r="F8" s="21">
        <f>F5</f>
        <v>25228.793929295382</v>
      </c>
      <c r="G8" s="21"/>
      <c r="H8" s="21"/>
      <c r="I8" s="21"/>
      <c r="J8" s="21">
        <f>J5</f>
        <v>121.39812593903889</v>
      </c>
      <c r="K8" s="21"/>
      <c r="L8" s="21">
        <f>L5</f>
        <v>0</v>
      </c>
      <c r="M8" s="21">
        <f>M5</f>
        <v>0</v>
      </c>
      <c r="N8" s="21">
        <f>N5</f>
        <v>4998.0163041516398</v>
      </c>
      <c r="O8" s="21">
        <f>O5</f>
        <v>195.41666666666669</v>
      </c>
      <c r="P8" s="21">
        <f>P5</f>
        <v>457.6</v>
      </c>
    </row>
    <row r="9" spans="1:16">
      <c r="B9" s="19"/>
      <c r="C9" s="19"/>
      <c r="D9" s="254"/>
      <c r="E9" s="19"/>
      <c r="F9" s="19"/>
      <c r="G9" s="19"/>
      <c r="H9" s="19"/>
      <c r="I9" s="19"/>
      <c r="J9" s="19"/>
      <c r="K9" s="19"/>
      <c r="L9" s="19"/>
      <c r="M9" s="19"/>
      <c r="N9" s="19"/>
      <c r="O9" s="19"/>
      <c r="P9" s="19"/>
    </row>
    <row r="10" spans="1:16">
      <c r="A10" s="24" t="s">
        <v>207</v>
      </c>
      <c r="B10" s="25">
        <f ca="1">'EF ele_warmte'!B12</f>
        <v>0.2132650929216586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2925.148324147965</v>
      </c>
      <c r="C12" s="23">
        <f ca="1">C10*C8</f>
        <v>0</v>
      </c>
      <c r="D12" s="23">
        <f>D8*D10</f>
        <v>4671.5117997287307</v>
      </c>
      <c r="E12" s="23">
        <f>E10*E8</f>
        <v>226.04378324821025</v>
      </c>
      <c r="F12" s="23">
        <f>F10*F8</f>
        <v>6736.0879791218676</v>
      </c>
      <c r="G12" s="23"/>
      <c r="H12" s="23"/>
      <c r="I12" s="23"/>
      <c r="J12" s="23">
        <f>J10*J8</f>
        <v>42.974936582419765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3274</v>
      </c>
      <c r="C26" s="36"/>
      <c r="D26" s="225"/>
    </row>
    <row r="27" spans="1:5" s="15" customFormat="1">
      <c r="A27" s="227" t="s">
        <v>762</v>
      </c>
      <c r="B27" s="37">
        <f>SUM(HH_hh_gas_aantal,HH_rest_gas_aantal)</f>
        <v>1619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1538.05</v>
      </c>
      <c r="C31" s="34" t="s">
        <v>104</v>
      </c>
      <c r="D31" s="171"/>
    </row>
    <row r="32" spans="1:5">
      <c r="A32" s="168" t="s">
        <v>72</v>
      </c>
      <c r="B32" s="33">
        <f>IF((B21*($B$26-($B$27-0.05*$B$27)-$B$60))&lt;0,0,B21*($B$26-($B$27-0.05*$B$27)-$B$60))</f>
        <v>18.832296215837861</v>
      </c>
      <c r="C32" s="34" t="s">
        <v>104</v>
      </c>
      <c r="D32" s="171"/>
    </row>
    <row r="33" spans="1:6">
      <c r="A33" s="168" t="s">
        <v>73</v>
      </c>
      <c r="B33" s="33">
        <f>IF((B22*($B$26-($B$27-0.05*$B$27)-$B$60))&lt;0,0,B22*($B$26-($B$27-0.05*$B$27)-$B$60))</f>
        <v>391.53925311116723</v>
      </c>
      <c r="C33" s="34" t="s">
        <v>104</v>
      </c>
      <c r="D33" s="171"/>
    </row>
    <row r="34" spans="1:6">
      <c r="A34" s="168" t="s">
        <v>74</v>
      </c>
      <c r="B34" s="33">
        <f>IF((B24*($B$26-($B$27-0.05*$B$27)-$B$60))&lt;0,0,B24*($B$26-($B$27-0.05*$B$27)-$B$60))</f>
        <v>77.863238479148507</v>
      </c>
      <c r="C34" s="33">
        <f>B26*C24</f>
        <v>670.17323767838252</v>
      </c>
      <c r="D34" s="230"/>
    </row>
    <row r="35" spans="1:6">
      <c r="A35" s="168" t="s">
        <v>76</v>
      </c>
      <c r="B35" s="33">
        <f>IF((B19*($B$26-($B$27-0.05*$B$27)-$B$60))&lt;0,0,B19*($B$26-($B$27-0.05*$B$27)-$B$60))</f>
        <v>14.2540175361297</v>
      </c>
      <c r="C35" s="33">
        <f>B35/2</f>
        <v>7.12700876806485</v>
      </c>
      <c r="D35" s="230"/>
    </row>
    <row r="36" spans="1:6">
      <c r="A36" s="168" t="s">
        <v>77</v>
      </c>
      <c r="B36" s="33">
        <f>IF((B18*($B$26-($B$27-0.05*$B$27)-$B$60))&lt;0,0,B18*($B$26-($B$27-0.05*$B$27)-$B$60))</f>
        <v>1209.4611946577168</v>
      </c>
      <c r="C36" s="34" t="s">
        <v>104</v>
      </c>
      <c r="D36" s="171"/>
    </row>
    <row r="37" spans="1:6">
      <c r="A37" s="168" t="s">
        <v>78</v>
      </c>
      <c r="B37" s="33">
        <f>B60</f>
        <v>24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7801.3796819264298</v>
      </c>
      <c r="C5" s="17">
        <f>IF(ISERROR('Eigen informatie GS &amp; warmtenet'!B58),0,'Eigen informatie GS &amp; warmtenet'!B58)</f>
        <v>0</v>
      </c>
      <c r="D5" s="30">
        <f>SUM(D6:D12)</f>
        <v>7901.5791801505475</v>
      </c>
      <c r="E5" s="17">
        <f>SUM(E6:E12)</f>
        <v>99.672640483843097</v>
      </c>
      <c r="F5" s="17">
        <f>SUM(F6:F12)</f>
        <v>1310.6290053571863</v>
      </c>
      <c r="G5" s="18"/>
      <c r="H5" s="17"/>
      <c r="I5" s="17"/>
      <c r="J5" s="17">
        <f>SUM(J6:J12)</f>
        <v>2.3891285492382827E-2</v>
      </c>
      <c r="K5" s="17"/>
      <c r="L5" s="17"/>
      <c r="M5" s="17"/>
      <c r="N5" s="17">
        <f>SUM(N6:N12)</f>
        <v>946.18242512945574</v>
      </c>
      <c r="O5" s="17">
        <f>B38*B39*B40</f>
        <v>9.3800000000000008</v>
      </c>
      <c r="P5" s="17">
        <f>B46*B47*B48/1000-B46*B47*B48/1000/B49</f>
        <v>38.133333333333333</v>
      </c>
      <c r="R5" s="32"/>
    </row>
    <row r="6" spans="1:18">
      <c r="A6" s="32" t="s">
        <v>53</v>
      </c>
      <c r="B6" s="37">
        <f>B26</f>
        <v>503.288292988335</v>
      </c>
      <c r="C6" s="33"/>
      <c r="D6" s="37">
        <f>IF(ISERROR(TER_kantoor_gas_kWh/1000),0,TER_kantoor_gas_kWh/1000)*0.902</f>
        <v>996.48129123046772</v>
      </c>
      <c r="E6" s="33">
        <f>$C$26*'E Balans VL '!I12/100/3.6*1000000</f>
        <v>3.1544436293870523E-3</v>
      </c>
      <c r="F6" s="33">
        <f>$C$26*('E Balans VL '!L12+'E Balans VL '!N12)/100/3.6*1000000</f>
        <v>75.630167219978802</v>
      </c>
      <c r="G6" s="34"/>
      <c r="H6" s="33"/>
      <c r="I6" s="33"/>
      <c r="J6" s="33">
        <f>$C$26*('E Balans VL '!D12+'E Balans VL '!E12)/100/3.6*1000000</f>
        <v>0</v>
      </c>
      <c r="K6" s="33"/>
      <c r="L6" s="33"/>
      <c r="M6" s="33"/>
      <c r="N6" s="33">
        <f>$C$26*'E Balans VL '!Y12/100/3.6*1000000</f>
        <v>0.4813206315647226</v>
      </c>
      <c r="O6" s="33"/>
      <c r="P6" s="33"/>
      <c r="R6" s="32"/>
    </row>
    <row r="7" spans="1:18">
      <c r="A7" s="32" t="s">
        <v>52</v>
      </c>
      <c r="B7" s="37">
        <f t="shared" ref="B7:B12" si="0">B27</f>
        <v>2060.92589212946</v>
      </c>
      <c r="C7" s="33"/>
      <c r="D7" s="37">
        <f>IF(ISERROR(TER_horeca_gas_kWh/1000),0,TER_horeca_gas_kWh/1000)*0.902</f>
        <v>908.91596319869154</v>
      </c>
      <c r="E7" s="33">
        <f>$C$27*'E Balans VL '!I9/100/3.6*1000000</f>
        <v>29.51211549057264</v>
      </c>
      <c r="F7" s="33">
        <f>$C$27*('E Balans VL '!L9+'E Balans VL '!N9)/100/3.6*1000000</f>
        <v>260.98118989819034</v>
      </c>
      <c r="G7" s="34"/>
      <c r="H7" s="33"/>
      <c r="I7" s="33"/>
      <c r="J7" s="33">
        <f>$C$27*('E Balans VL '!D9+'E Balans VL '!E9)/100/3.6*1000000</f>
        <v>0</v>
      </c>
      <c r="K7" s="33"/>
      <c r="L7" s="33"/>
      <c r="M7" s="33"/>
      <c r="N7" s="33">
        <f>$C$27*'E Balans VL '!Y9/100/3.6*1000000</f>
        <v>0.59247075447181108</v>
      </c>
      <c r="O7" s="33"/>
      <c r="P7" s="33"/>
      <c r="R7" s="32"/>
    </row>
    <row r="8" spans="1:18">
      <c r="A8" s="6" t="s">
        <v>51</v>
      </c>
      <c r="B8" s="37">
        <f t="shared" si="0"/>
        <v>575.29062779943092</v>
      </c>
      <c r="C8" s="33"/>
      <c r="D8" s="37">
        <f>IF(ISERROR(TER_handel_gas_kWh/1000),0,TER_handel_gas_kWh/1000)*0.902</f>
        <v>67.68484208453502</v>
      </c>
      <c r="E8" s="33">
        <f>$C$28*'E Balans VL '!I13/100/3.6*1000000</f>
        <v>20.865720128623433</v>
      </c>
      <c r="F8" s="33">
        <f>$C$28*('E Balans VL '!L13+'E Balans VL '!N13)/100/3.6*1000000</f>
        <v>110.80680010213077</v>
      </c>
      <c r="G8" s="34"/>
      <c r="H8" s="33"/>
      <c r="I8" s="33"/>
      <c r="J8" s="33">
        <f>$C$28*('E Balans VL '!D13+'E Balans VL '!E13)/100/3.6*1000000</f>
        <v>0</v>
      </c>
      <c r="K8" s="33"/>
      <c r="L8" s="33"/>
      <c r="M8" s="33"/>
      <c r="N8" s="33">
        <f>$C$28*'E Balans VL '!Y13/100/3.6*1000000</f>
        <v>0.79690988797221152</v>
      </c>
      <c r="O8" s="33"/>
      <c r="P8" s="33"/>
      <c r="R8" s="32"/>
    </row>
    <row r="9" spans="1:18">
      <c r="A9" s="32" t="s">
        <v>50</v>
      </c>
      <c r="B9" s="37">
        <f t="shared" si="0"/>
        <v>93.971827320594002</v>
      </c>
      <c r="C9" s="33"/>
      <c r="D9" s="37">
        <f>IF(ISERROR(TER_gezond_gas_kWh/1000),0,TER_gezond_gas_kWh/1000)*0.902</f>
        <v>119.49799203390481</v>
      </c>
      <c r="E9" s="33">
        <f>$C$29*'E Balans VL '!I10/100/3.6*1000000</f>
        <v>5.8835641944464598E-3</v>
      </c>
      <c r="F9" s="33">
        <f>$C$29*('E Balans VL '!L10+'E Balans VL '!N10)/100/3.6*1000000</f>
        <v>13.959801065440093</v>
      </c>
      <c r="G9" s="34"/>
      <c r="H9" s="33"/>
      <c r="I9" s="33"/>
      <c r="J9" s="33">
        <f>$C$29*('E Balans VL '!D10+'E Balans VL '!E10)/100/3.6*1000000</f>
        <v>0</v>
      </c>
      <c r="K9" s="33"/>
      <c r="L9" s="33"/>
      <c r="M9" s="33"/>
      <c r="N9" s="33">
        <f>$C$29*'E Balans VL '!Y10/100/3.6*1000000</f>
        <v>1.4535652925011926</v>
      </c>
      <c r="O9" s="33"/>
      <c r="P9" s="33"/>
      <c r="R9" s="32"/>
    </row>
    <row r="10" spans="1:18">
      <c r="A10" s="32" t="s">
        <v>49</v>
      </c>
      <c r="B10" s="37">
        <f t="shared" si="0"/>
        <v>668.31513743097901</v>
      </c>
      <c r="C10" s="33"/>
      <c r="D10" s="37">
        <f>IF(ISERROR(TER_ander_gas_kWh/1000),0,TER_ander_gas_kWh/1000)*0.902</f>
        <v>1026.174900523835</v>
      </c>
      <c r="E10" s="33">
        <f>$C$30*'E Balans VL '!I14/100/3.6*1000000</f>
        <v>0.79660776226998775</v>
      </c>
      <c r="F10" s="33">
        <f>$C$30*('E Balans VL '!L14+'E Balans VL '!N14)/100/3.6*1000000</f>
        <v>174.86095090936234</v>
      </c>
      <c r="G10" s="34"/>
      <c r="H10" s="33"/>
      <c r="I10" s="33"/>
      <c r="J10" s="33">
        <f>$C$30*('E Balans VL '!D14+'E Balans VL '!E14)/100/3.6*1000000</f>
        <v>1.450650191062351E-2</v>
      </c>
      <c r="K10" s="33"/>
      <c r="L10" s="33"/>
      <c r="M10" s="33"/>
      <c r="N10" s="33">
        <f>$C$30*'E Balans VL '!Y14/100/3.6*1000000</f>
        <v>567.51686126516563</v>
      </c>
      <c r="O10" s="33"/>
      <c r="P10" s="33"/>
      <c r="R10" s="32"/>
    </row>
    <row r="11" spans="1:18">
      <c r="A11" s="32" t="s">
        <v>54</v>
      </c>
      <c r="B11" s="37">
        <f t="shared" si="0"/>
        <v>24.020786380501399</v>
      </c>
      <c r="C11" s="33"/>
      <c r="D11" s="37">
        <f>IF(ISERROR(TER_onderwijs_gas_kWh/1000),0,TER_onderwijs_gas_kWh/1000)*0.902</f>
        <v>0</v>
      </c>
      <c r="E11" s="33">
        <f>$C$31*'E Balans VL '!I11/100/3.6*1000000</f>
        <v>0.36243497732636032</v>
      </c>
      <c r="F11" s="33">
        <f>$C$31*('E Balans VL '!L11+'E Balans VL '!N11)/100/3.6*1000000</f>
        <v>4.2088255173425138</v>
      </c>
      <c r="G11" s="34"/>
      <c r="H11" s="33"/>
      <c r="I11" s="33"/>
      <c r="J11" s="33">
        <f>$C$31*('E Balans VL '!D11+'E Balans VL '!E11)/100/3.6*1000000</f>
        <v>0</v>
      </c>
      <c r="K11" s="33"/>
      <c r="L11" s="33"/>
      <c r="M11" s="33"/>
      <c r="N11" s="33">
        <f>$C$31*'E Balans VL '!Y11/100/3.6*1000000</f>
        <v>6.7596319004454009E-2</v>
      </c>
      <c r="O11" s="33"/>
      <c r="P11" s="33"/>
      <c r="R11" s="32"/>
    </row>
    <row r="12" spans="1:18">
      <c r="A12" s="32" t="s">
        <v>248</v>
      </c>
      <c r="B12" s="37">
        <f t="shared" si="0"/>
        <v>3875.5671178771299</v>
      </c>
      <c r="C12" s="33"/>
      <c r="D12" s="37">
        <f>IF(ISERROR(TER_rest_gas_kWh/1000),0,TER_rest_gas_kWh/1000)*0.902</f>
        <v>4782.8241910791139</v>
      </c>
      <c r="E12" s="33">
        <f>$C$32*'E Balans VL '!I8/100/3.6*1000000</f>
        <v>48.126724117226843</v>
      </c>
      <c r="F12" s="33">
        <f>$C$32*('E Balans VL '!L8+'E Balans VL '!N8)/100/3.6*1000000</f>
        <v>670.18127064474152</v>
      </c>
      <c r="G12" s="34"/>
      <c r="H12" s="33"/>
      <c r="I12" s="33"/>
      <c r="J12" s="33">
        <f>$C$32*('E Balans VL '!D8+'E Balans VL '!E8)/100/3.6*1000000</f>
        <v>9.3847835817593185E-3</v>
      </c>
      <c r="K12" s="33"/>
      <c r="L12" s="33"/>
      <c r="M12" s="33"/>
      <c r="N12" s="33">
        <f>$C$32*'E Balans VL '!Y8/100/3.6*1000000</f>
        <v>375.27370097877576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7801.3796819264298</v>
      </c>
      <c r="C16" s="21">
        <f t="shared" ca="1" si="1"/>
        <v>0</v>
      </c>
      <c r="D16" s="21">
        <f t="shared" ca="1" si="1"/>
        <v>7901.5791801505475</v>
      </c>
      <c r="E16" s="21">
        <f t="shared" si="1"/>
        <v>99.672640483843097</v>
      </c>
      <c r="F16" s="21">
        <f t="shared" ca="1" si="1"/>
        <v>1310.6290053571863</v>
      </c>
      <c r="G16" s="21">
        <f t="shared" si="1"/>
        <v>0</v>
      </c>
      <c r="H16" s="21">
        <f t="shared" si="1"/>
        <v>0</v>
      </c>
      <c r="I16" s="21">
        <f t="shared" si="1"/>
        <v>0</v>
      </c>
      <c r="J16" s="21">
        <f t="shared" si="1"/>
        <v>2.3891285492382827E-2</v>
      </c>
      <c r="K16" s="21">
        <f t="shared" si="1"/>
        <v>0</v>
      </c>
      <c r="L16" s="21">
        <f t="shared" ca="1" si="1"/>
        <v>0</v>
      </c>
      <c r="M16" s="21">
        <f t="shared" si="1"/>
        <v>0</v>
      </c>
      <c r="N16" s="21">
        <f t="shared" ca="1" si="1"/>
        <v>946.18242512945574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0.2132650929216586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1663.7619627831796</v>
      </c>
      <c r="C20" s="23">
        <f t="shared" ref="C20:P20" ca="1" si="2">C16*C18</f>
        <v>0</v>
      </c>
      <c r="D20" s="23">
        <f t="shared" ca="1" si="2"/>
        <v>1596.1189943904108</v>
      </c>
      <c r="E20" s="23">
        <f t="shared" si="2"/>
        <v>22.625689389832385</v>
      </c>
      <c r="F20" s="23">
        <f t="shared" ca="1" si="2"/>
        <v>349.93794443036876</v>
      </c>
      <c r="G20" s="23">
        <f t="shared" si="2"/>
        <v>0</v>
      </c>
      <c r="H20" s="23">
        <f t="shared" si="2"/>
        <v>0</v>
      </c>
      <c r="I20" s="23">
        <f t="shared" si="2"/>
        <v>0</v>
      </c>
      <c r="J20" s="23">
        <f t="shared" si="2"/>
        <v>8.4575150643035196E-3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503.288292988335</v>
      </c>
      <c r="C26" s="39">
        <f>IF(ISERROR(B26*3.6/1000000/'E Balans VL '!Z12*100),0,B26*3.6/1000000/'E Balans VL '!Z12*100)</f>
        <v>1.0638717240717519E-2</v>
      </c>
      <c r="D26" s="233" t="s">
        <v>726</v>
      </c>
      <c r="F26" s="6"/>
    </row>
    <row r="27" spans="1:18">
      <c r="A27" s="228" t="s">
        <v>52</v>
      </c>
      <c r="B27" s="33">
        <f>IF(ISERROR(TER_horeca_ele_kWh/1000),0,TER_horeca_ele_kWh/1000)</f>
        <v>2060.92589212946</v>
      </c>
      <c r="C27" s="39">
        <f>IF(ISERROR(B27*3.6/1000000/'E Balans VL '!Z9*100),0,B27*3.6/1000000/'E Balans VL '!Z9*100)</f>
        <v>0.16246201993027004</v>
      </c>
      <c r="D27" s="233" t="s">
        <v>726</v>
      </c>
      <c r="F27" s="6"/>
    </row>
    <row r="28" spans="1:18">
      <c r="A28" s="168" t="s">
        <v>51</v>
      </c>
      <c r="B28" s="33">
        <f>IF(ISERROR(TER_handel_ele_kWh/1000),0,TER_handel_ele_kWh/1000)</f>
        <v>575.29062779943092</v>
      </c>
      <c r="C28" s="39">
        <f>IF(ISERROR(B28*3.6/1000000/'E Balans VL '!Z13*100),0,B28*3.6/1000000/'E Balans VL '!Z13*100)</f>
        <v>1.669725845334288E-2</v>
      </c>
      <c r="D28" s="233" t="s">
        <v>726</v>
      </c>
      <c r="F28" s="6"/>
    </row>
    <row r="29" spans="1:18">
      <c r="A29" s="228" t="s">
        <v>50</v>
      </c>
      <c r="B29" s="33">
        <f>IF(ISERROR(TER_gezond_ele_kWh/1000),0,TER_gezond_ele_kWh/1000)</f>
        <v>93.971827320594002</v>
      </c>
      <c r="C29" s="39">
        <f>IF(ISERROR(B29*3.6/1000000/'E Balans VL '!Z10*100),0,B29*3.6/1000000/'E Balans VL '!Z10*100)</f>
        <v>9.8967764749939239E-3</v>
      </c>
      <c r="D29" s="233" t="s">
        <v>726</v>
      </c>
      <c r="F29" s="6"/>
    </row>
    <row r="30" spans="1:18">
      <c r="A30" s="228" t="s">
        <v>49</v>
      </c>
      <c r="B30" s="33">
        <f>IF(ISERROR(TER_ander_ele_kWh/1000),0,TER_ander_ele_kWh/1000)</f>
        <v>668.31513743097901</v>
      </c>
      <c r="C30" s="39">
        <f>IF(ISERROR(B30*3.6/1000000/'E Balans VL '!Z14*100),0,B30*3.6/1000000/'E Balans VL '!Z14*100)</f>
        <v>4.9295069694234805E-2</v>
      </c>
      <c r="D30" s="233" t="s">
        <v>726</v>
      </c>
      <c r="F30" s="6"/>
    </row>
    <row r="31" spans="1:18">
      <c r="A31" s="228" t="s">
        <v>54</v>
      </c>
      <c r="B31" s="33">
        <f>IF(ISERROR(TER_onderwijs_ele_kWh/1000),0,TER_onderwijs_ele_kWh/1000)</f>
        <v>24.020786380501399</v>
      </c>
      <c r="C31" s="39">
        <f>IF(ISERROR(B31*3.6/1000000/'E Balans VL '!Z11*100),0,B31*3.6/1000000/'E Balans VL '!Z11*100)</f>
        <v>5.9654864581778991E-3</v>
      </c>
      <c r="D31" s="233" t="s">
        <v>726</v>
      </c>
    </row>
    <row r="32" spans="1:18">
      <c r="A32" s="228" t="s">
        <v>248</v>
      </c>
      <c r="B32" s="33">
        <f>IF(ISERROR(TER_rest_ele_kWh/1000),0,TER_rest_ele_kWh/1000)</f>
        <v>3875.5671178771299</v>
      </c>
      <c r="C32" s="39">
        <f>IF(ISERROR(B32*3.6/1000000/'E Balans VL '!Z8*100),0,B32*3.6/1000000/'E Balans VL '!Z8*100)</f>
        <v>3.1890773087710697E-2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6</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69642.068969022192</v>
      </c>
      <c r="C5" s="17">
        <f>IF(ISERROR('Eigen informatie GS &amp; warmtenet'!B59),0,'Eigen informatie GS &amp; warmtenet'!B59)</f>
        <v>0</v>
      </c>
      <c r="D5" s="30">
        <f>SUM(D6:D15)</f>
        <v>219405.32354223827</v>
      </c>
      <c r="E5" s="17">
        <f>SUM(E6:E15)</f>
        <v>589.02470555581544</v>
      </c>
      <c r="F5" s="17">
        <f>SUM(F6:F15)</f>
        <v>5547.3589091208041</v>
      </c>
      <c r="G5" s="18"/>
      <c r="H5" s="17"/>
      <c r="I5" s="17"/>
      <c r="J5" s="17">
        <f>SUM(J6:J15)</f>
        <v>26.841032822154872</v>
      </c>
      <c r="K5" s="17"/>
      <c r="L5" s="17"/>
      <c r="M5" s="17"/>
      <c r="N5" s="17">
        <f>SUM(N6:N15)</f>
        <v>4816.2882398478623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150.147944219864</v>
      </c>
      <c r="C9" s="33"/>
      <c r="D9" s="37">
        <f>IF( ISERROR(IND_andere_gas_kWh/1000),0,IND_andere_gas_kWh/1000)*0.902</f>
        <v>84.360003794158601</v>
      </c>
      <c r="E9" s="33">
        <f>C31*'E Balans VL '!I19/100/3.6*1000000</f>
        <v>43.891167131170128</v>
      </c>
      <c r="F9" s="33">
        <f>C31*'E Balans VL '!L19/100/3.6*1000000+C31*'E Balans VL '!N19/100/3.6*1000000</f>
        <v>120.65523833574039</v>
      </c>
      <c r="G9" s="34"/>
      <c r="H9" s="33"/>
      <c r="I9" s="33"/>
      <c r="J9" s="40">
        <f>C31*'E Balans VL '!D19/100/3.6*1000000+C31*'E Balans VL '!E19/100/3.6*1000000</f>
        <v>0</v>
      </c>
      <c r="K9" s="33"/>
      <c r="L9" s="33"/>
      <c r="M9" s="33"/>
      <c r="N9" s="33">
        <f>C31*'E Balans VL '!Y19/100/3.6*1000000</f>
        <v>11.777400818342375</v>
      </c>
      <c r="O9" s="33"/>
      <c r="P9" s="33"/>
      <c r="R9" s="32"/>
    </row>
    <row r="10" spans="1:18">
      <c r="A10" s="6" t="s">
        <v>40</v>
      </c>
      <c r="B10" s="37">
        <f t="shared" si="0"/>
        <v>61994.385998967104</v>
      </c>
      <c r="C10" s="33"/>
      <c r="D10" s="37">
        <f>IF( ISERROR(IND_voed_gas_kWh/1000),0,IND_voed_gas_kWh/1000)*0.902</f>
        <v>0</v>
      </c>
      <c r="E10" s="33">
        <f>C32*'E Balans VL '!I20/100/3.6*1000000</f>
        <v>131.15008481515454</v>
      </c>
      <c r="F10" s="33">
        <f>C32*'E Balans VL '!L20/100/3.6*1000000+C32*'E Balans VL '!N20/100/3.6*1000000</f>
        <v>3941.6663872226368</v>
      </c>
      <c r="G10" s="34"/>
      <c r="H10" s="33"/>
      <c r="I10" s="33"/>
      <c r="J10" s="40">
        <f>C32*'E Balans VL '!D20/100/3.6*1000000+C32*'E Balans VL '!E20/100/3.6*1000000</f>
        <v>0</v>
      </c>
      <c r="K10" s="33"/>
      <c r="L10" s="33"/>
      <c r="M10" s="33"/>
      <c r="N10" s="33">
        <f>C32*'E Balans VL '!Y20/100/3.6*1000000</f>
        <v>4278.2244094782482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7497.53502583522</v>
      </c>
      <c r="C15" s="33"/>
      <c r="D15" s="37">
        <f>IF( ISERROR(IND_rest_gas_kWh/1000),0,IND_rest_gas_kWh/1000)*0.902</f>
        <v>219320.96353844411</v>
      </c>
      <c r="E15" s="33">
        <f>C37*'E Balans VL '!I15/100/3.6*1000000</f>
        <v>413.98345360949071</v>
      </c>
      <c r="F15" s="33">
        <f>C37*'E Balans VL '!L15/100/3.6*1000000+C37*'E Balans VL '!N15/100/3.6*1000000</f>
        <v>1485.0372835624271</v>
      </c>
      <c r="G15" s="34"/>
      <c r="H15" s="33"/>
      <c r="I15" s="33"/>
      <c r="J15" s="40">
        <f>C37*'E Balans VL '!D15/100/3.6*1000000+C37*'E Balans VL '!E15/100/3.6*1000000</f>
        <v>26.841032822154872</v>
      </c>
      <c r="K15" s="33"/>
      <c r="L15" s="33"/>
      <c r="M15" s="33"/>
      <c r="N15" s="33">
        <f>C37*'E Balans VL '!Y15/100/3.6*1000000</f>
        <v>526.28642955127157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69642.068969022192</v>
      </c>
      <c r="C18" s="21">
        <f>C5+C16</f>
        <v>0</v>
      </c>
      <c r="D18" s="21">
        <f>MAX((D5+D16),0)</f>
        <v>219405.32354223827</v>
      </c>
      <c r="E18" s="21">
        <f>MAX((E5+E16),0)</f>
        <v>589.02470555581544</v>
      </c>
      <c r="F18" s="21">
        <f>MAX((F5+F16),0)</f>
        <v>5547.3589091208041</v>
      </c>
      <c r="G18" s="21"/>
      <c r="H18" s="21"/>
      <c r="I18" s="21"/>
      <c r="J18" s="21">
        <f>MAX((J5+J16),0)</f>
        <v>26.841032822154872</v>
      </c>
      <c r="K18" s="21"/>
      <c r="L18" s="21">
        <f>MAX((L5+L16),0)</f>
        <v>0</v>
      </c>
      <c r="M18" s="21"/>
      <c r="N18" s="21">
        <f>MAX((N5+N16),0)</f>
        <v>4816.2882398478623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0.2132650929216586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14852.222309935074</v>
      </c>
      <c r="C22" s="23">
        <f ca="1">C18*C20</f>
        <v>0</v>
      </c>
      <c r="D22" s="23">
        <f>D18*D20</f>
        <v>44319.875355532131</v>
      </c>
      <c r="E22" s="23">
        <f>E18*E20</f>
        <v>133.7086081611701</v>
      </c>
      <c r="F22" s="23">
        <f>F18*F20</f>
        <v>1481.1448287352548</v>
      </c>
      <c r="G22" s="23"/>
      <c r="H22" s="23"/>
      <c r="I22" s="23"/>
      <c r="J22" s="23">
        <f>J18*J20</f>
        <v>9.5017256190428245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150.147944219864</v>
      </c>
      <c r="C31" s="39">
        <f>IF(ISERROR(B31*3.6/1000000/'E Balans VL '!Z19*100),0,B31*3.6/1000000/'E Balans VL '!Z19*100)</f>
        <v>6.8100855446548035E-3</v>
      </c>
      <c r="D31" s="233" t="s">
        <v>726</v>
      </c>
    </row>
    <row r="32" spans="1:18">
      <c r="A32" s="168" t="s">
        <v>40</v>
      </c>
      <c r="B32" s="37">
        <f>IF( ISERROR(IND_voed_ele_kWh/1000),0,IND_voed_ele_kWh/1000)</f>
        <v>61994.385998967104</v>
      </c>
      <c r="C32" s="39">
        <f>IF(ISERROR(B32*3.6/1000000/'E Balans VL '!Z20*100),0,B32*3.6/1000000/'E Balans VL '!Z20*100)</f>
        <v>1.9177677896977434</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7497.53502583522</v>
      </c>
      <c r="C37" s="39">
        <f>IF(ISERROR(B37*3.6/1000000/'E Balans VL '!Z15*100),0,B37*3.6/1000000/'E Balans VL '!Z15*100)</f>
        <v>5.9427172928466568E-2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6150.8793917956818</v>
      </c>
      <c r="C5" s="17">
        <f>'Eigen informatie GS &amp; warmtenet'!B60</f>
        <v>0</v>
      </c>
      <c r="D5" s="30">
        <f>IF(ISERROR(SUM(LB_lb_gas_kWh,LB_rest_gas_kWh)/1000),0,SUM(LB_lb_gas_kWh,LB_rest_gas_kWh)/1000)*0.902</f>
        <v>447.14900547630714</v>
      </c>
      <c r="E5" s="17">
        <f>B17*'E Balans VL '!I25/3.6*1000000/100</f>
        <v>180.79313227895602</v>
      </c>
      <c r="F5" s="17">
        <f>B17*('E Balans VL '!L25/3.6*1000000+'E Balans VL '!N25/3.6*1000000)/100</f>
        <v>25624.231170144121</v>
      </c>
      <c r="G5" s="18"/>
      <c r="H5" s="17"/>
      <c r="I5" s="17"/>
      <c r="J5" s="17">
        <f>('E Balans VL '!D25+'E Balans VL '!E25)/3.6*1000000*landbouw!B17/100</f>
        <v>891.13033222421745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6150.8793917956818</v>
      </c>
      <c r="C8" s="21">
        <f>C5+C6</f>
        <v>0</v>
      </c>
      <c r="D8" s="21">
        <f>MAX((D5+D6),0)</f>
        <v>447.14900547630714</v>
      </c>
      <c r="E8" s="21">
        <f>MAX((E5+E6),0)</f>
        <v>180.79313227895602</v>
      </c>
      <c r="F8" s="21">
        <f>MAX((F5+F6),0)</f>
        <v>25624.231170144121</v>
      </c>
      <c r="G8" s="21"/>
      <c r="H8" s="21"/>
      <c r="I8" s="21"/>
      <c r="J8" s="21">
        <f>MAX((J5+J6),0)</f>
        <v>891.13033222421745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0.2132650929216586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1311.7678650412211</v>
      </c>
      <c r="C12" s="23">
        <f ca="1">C8*C10</f>
        <v>0</v>
      </c>
      <c r="D12" s="23">
        <f>D8*D10</f>
        <v>90.324099106214049</v>
      </c>
      <c r="E12" s="23">
        <f>E8*E10</f>
        <v>41.040041027323021</v>
      </c>
      <c r="F12" s="23">
        <f>F8*F10</f>
        <v>6841.6697224284808</v>
      </c>
      <c r="G12" s="23"/>
      <c r="H12" s="23"/>
      <c r="I12" s="23"/>
      <c r="J12" s="23">
        <f>J8*J10</f>
        <v>315.46013760737299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0.87282908349137633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1256.7908418696611</v>
      </c>
      <c r="C26" s="243">
        <f>B26*'GWP N2O_CH4'!B5</f>
        <v>26392.607679262885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613.61035402710615</v>
      </c>
      <c r="C27" s="243">
        <f>B27*'GWP N2O_CH4'!B5</f>
        <v>12885.81743456923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18.637886182573361</v>
      </c>
      <c r="C28" s="243">
        <f>B28*'GWP N2O_CH4'!B4</f>
        <v>5777.7447165977419</v>
      </c>
      <c r="D28" s="50"/>
    </row>
    <row r="29" spans="1:4">
      <c r="A29" s="41" t="s">
        <v>265</v>
      </c>
      <c r="B29" s="243">
        <f>B34*'ha_N2O bodem landbouw'!B4</f>
        <v>50.541776558906541</v>
      </c>
      <c r="C29" s="243">
        <f>B29*'GWP N2O_CH4'!B4</f>
        <v>15667.950733261028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1.1533459236031926E-2</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6.8207211385959117E-5</v>
      </c>
      <c r="C5" s="429" t="s">
        <v>204</v>
      </c>
      <c r="D5" s="414">
        <f>SUM(D6:D11)</f>
        <v>1.2072772084094656E-4</v>
      </c>
      <c r="E5" s="414">
        <f>SUM(E6:E11)</f>
        <v>2.0989404024204388E-4</v>
      </c>
      <c r="F5" s="427" t="s">
        <v>204</v>
      </c>
      <c r="G5" s="414">
        <f>SUM(G6:G11)</f>
        <v>8.82977412866809E-2</v>
      </c>
      <c r="H5" s="414">
        <f>SUM(H6:H11)</f>
        <v>1.9393136705256563E-2</v>
      </c>
      <c r="I5" s="429" t="s">
        <v>204</v>
      </c>
      <c r="J5" s="429" t="s">
        <v>204</v>
      </c>
      <c r="K5" s="429" t="s">
        <v>204</v>
      </c>
      <c r="L5" s="429" t="s">
        <v>204</v>
      </c>
      <c r="M5" s="414">
        <f>SUM(M6:M11)</f>
        <v>5.7297746954643831E-3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5.1664997383671697E-5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8.6857945855876138E-5</v>
      </c>
      <c r="E6" s="857">
        <f>vkm_GW_PW*SUMIFS(TableVerdeelsleutelVkm[LPG],TableVerdeelsleutelVkm[Voertuigtype],"Lichte voertuigen")*SUMIFS(TableECFTransport[EnergieConsumptieFactor (PJ per km)],TableECFTransport[Index],CONCATENATE($A6,"_LPG_LPG"))</f>
        <v>1.5282729982803053E-4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4.5343417370596349E-2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1.4033082671606798E-2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3.0623546546364095E-3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7.6973638432204285E-7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2.4724254878218502E-2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4.0339072454191992E-7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1.4445280380329993E-3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1.5712184818289431E-5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3.3869774985070425E-5</v>
      </c>
      <c r="E8" s="417">
        <f>vkm_NGW_PW*SUMIFS(TableVerdeelsleutelVkm[LPG],TableVerdeelsleutelVkm[Voertuigtype],"Lichte voertuigen")*SUMIFS(TableECFTransport[EnergieConsumptieFactor (PJ per km)],TableECFTransport[Index],CONCATENATE($A8,"_LPG_LPG"))</f>
        <v>5.706674041401333E-5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1.5745244576894812E-2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5.3596125042336736E-3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1.0777148529817269E-3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6.0292799675934378E-8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2.4848244609712248E-3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3.8138691548589563E-8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1.4517714981324725E-4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18.946447607210867</v>
      </c>
      <c r="C14" s="21"/>
      <c r="D14" s="21">
        <f t="shared" ref="D14:M14" si="0">((D5)*10^9/3600)+D12</f>
        <v>33.535478011374039</v>
      </c>
      <c r="E14" s="21">
        <f t="shared" si="0"/>
        <v>58.303900067234409</v>
      </c>
      <c r="F14" s="21"/>
      <c r="G14" s="21">
        <f t="shared" si="0"/>
        <v>24527.150357411363</v>
      </c>
      <c r="H14" s="21">
        <f t="shared" si="0"/>
        <v>5386.9824181268232</v>
      </c>
      <c r="I14" s="21"/>
      <c r="J14" s="21"/>
      <c r="K14" s="21"/>
      <c r="L14" s="21"/>
      <c r="M14" s="21">
        <f t="shared" si="0"/>
        <v>1591.6040820734397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0.2132650929216586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4.0406159094871619</v>
      </c>
      <c r="C18" s="23"/>
      <c r="D18" s="23">
        <f t="shared" ref="D18:M18" si="1">D14*D16</f>
        <v>6.7741665582975559</v>
      </c>
      <c r="E18" s="23">
        <f t="shared" si="1"/>
        <v>13.234985315262211</v>
      </c>
      <c r="F18" s="23"/>
      <c r="G18" s="23">
        <f t="shared" si="1"/>
        <v>6548.7491454288347</v>
      </c>
      <c r="H18" s="23">
        <f t="shared" si="1"/>
        <v>1341.358622113579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9.8104537219010835E-6</v>
      </c>
      <c r="C50" s="313">
        <f t="shared" ref="C50:P50" si="2">SUM(C51:C52)</f>
        <v>0</v>
      </c>
      <c r="D50" s="313">
        <f t="shared" si="2"/>
        <v>0</v>
      </c>
      <c r="E50" s="313">
        <f t="shared" si="2"/>
        <v>0</v>
      </c>
      <c r="F50" s="313">
        <f t="shared" si="2"/>
        <v>0</v>
      </c>
      <c r="G50" s="313">
        <f t="shared" si="2"/>
        <v>9.2159474962767284E-4</v>
      </c>
      <c r="H50" s="313">
        <f t="shared" si="2"/>
        <v>0</v>
      </c>
      <c r="I50" s="313">
        <f t="shared" si="2"/>
        <v>0</v>
      </c>
      <c r="J50" s="313">
        <f t="shared" si="2"/>
        <v>0</v>
      </c>
      <c r="K50" s="313">
        <f t="shared" si="2"/>
        <v>0</v>
      </c>
      <c r="L50" s="313">
        <f t="shared" si="2"/>
        <v>0</v>
      </c>
      <c r="M50" s="313">
        <f t="shared" si="2"/>
        <v>5.3071874528052474E-5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9.8104537219010835E-6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9.2159474962767284E-4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5.3071874528052474E-5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2.7251260338614123</v>
      </c>
      <c r="C54" s="21">
        <f t="shared" ref="C54:P54" si="3">(C50)*10^9/3600</f>
        <v>0</v>
      </c>
      <c r="D54" s="21">
        <f t="shared" si="3"/>
        <v>0</v>
      </c>
      <c r="E54" s="21">
        <f t="shared" si="3"/>
        <v>0</v>
      </c>
      <c r="F54" s="21">
        <f t="shared" si="3"/>
        <v>0</v>
      </c>
      <c r="G54" s="21">
        <f t="shared" si="3"/>
        <v>255.99854156324244</v>
      </c>
      <c r="H54" s="21">
        <f t="shared" si="3"/>
        <v>0</v>
      </c>
      <c r="I54" s="21">
        <f t="shared" si="3"/>
        <v>0</v>
      </c>
      <c r="J54" s="21">
        <f t="shared" si="3"/>
        <v>0</v>
      </c>
      <c r="K54" s="21">
        <f t="shared" si="3"/>
        <v>0</v>
      </c>
      <c r="L54" s="21">
        <f t="shared" si="3"/>
        <v>0</v>
      </c>
      <c r="M54" s="21">
        <f t="shared" si="3"/>
        <v>14.742187368903465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0.2132650929216586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0.58117425683468504</v>
      </c>
      <c r="C58" s="23">
        <f t="shared" ref="C58:P58" ca="1" si="4">C54*C56</f>
        <v>0</v>
      </c>
      <c r="D58" s="23">
        <f t="shared" si="4"/>
        <v>0</v>
      </c>
      <c r="E58" s="23">
        <f t="shared" si="4"/>
        <v>0</v>
      </c>
      <c r="F58" s="23">
        <f t="shared" si="4"/>
        <v>0</v>
      </c>
      <c r="G58" s="23">
        <f t="shared" si="4"/>
        <v>68.351610597385729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3455.2954513061322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3455.2954513061322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2021-11-11T12:49:05Z</dcterms:modified>
</cp:coreProperties>
</file>