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1D2B9FD2-5A78-4D89-82F8-54D085B8B28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6" i="22" s="1"/>
  <c r="A8" i="23"/>
  <c r="B52" i="22" s="1"/>
  <c r="A9" i="23"/>
  <c r="A10" i="23"/>
  <c r="A11" i="23"/>
  <c r="A12" i="23"/>
  <c r="A13" i="23"/>
  <c r="A14" i="23"/>
  <c r="A15" i="23"/>
  <c r="A16" i="23"/>
  <c r="A17" i="23"/>
  <c r="A18" i="23"/>
  <c r="A19" i="23"/>
  <c r="A20" i="23"/>
  <c r="D8" i="22" s="1"/>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<sst xmlns="http://schemas.openxmlformats.org/spreadsheetml/2006/main" count="2464" uniqueCount="896">
  <si>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</si>
  <si>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</si>
  <si>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</si>
  <si>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</si>
  <si>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</si>
  <si>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</si>
  <si>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</si>
  <si>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</si>
  <si>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</si>
  <si>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</si>
  <si>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</si>
  <si>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</si>
  <si>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</si>
  <si>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</si>
  <si>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</si>
  <si>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</si>
  <si>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</si>
  <si>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</si>
  <si>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</si>
  <si>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</si>
  <si>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</si>
  <si>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</si>
  <si>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</si>
  <si>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</si>
  <si>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</si>
  <si>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</si>
  <si>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</si>
  <si>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</si>
  <si>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</si>
  <si>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</si>
  <si>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</si>
  <si>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</si>
  <si>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</si>
  <si>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</si>
  <si>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</si>
  <si>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</si>
  <si>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</si>
  <si>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</si>
  <si>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</si>
  <si>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</si>
  <si>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</si>
  <si>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</si>
  <si>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</si>
  <si>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</si>
  <si>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</si>
  <si>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</si>
  <si>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</si>
  <si>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</si>
  <si>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</si>
  <si>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</si>
  <si>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</si>
  <si>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</si>
  <si>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</si>
  <si>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</si>
  <si>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</si>
  <si>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</si>
  <si>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</si>
  <si>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</si>
  <si>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</si>
  <si>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</si>
  <si>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</si>
  <si>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</si>
  <si>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</si>
  <si>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</si>
  <si>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</si>
  <si>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</si>
  <si>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</si>
  <si>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</si>
  <si>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</si>
  <si>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</si>
  <si>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</si>
  <si>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</si>
  <si>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</si>
  <si>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</si>
  <si>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</si>
  <si>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</si>
  <si>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</si>
  <si>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</si>
  <si>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</si>
  <si>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</si>
  <si>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</si>
  <si>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</si>
  <si>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</si>
  <si>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</si>
  <si>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</si>
  <si>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</si>
  <si>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</si>
  <si>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</si>
  <si>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</si>
  <si>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</si>
  <si>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</si>
  <si>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</si>
  <si>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</si>
  <si>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</si>
  <si>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</si>
  <si>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</si>
  <si>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</si>
  <si>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</si>
  <si>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</si>
  <si>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</si>
  <si>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</si>
  <si>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</si>
  <si>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</si>
  <si>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</si>
  <si>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</si>
  <si>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</si>
  <si>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</si>
  <si>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</si>
  <si>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</si>
  <si>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</si>
  <si>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</si>
  <si>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</si>
  <si>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</si>
  <si>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</si>
  <si>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</si>
  <si>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</si>
  <si>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</si>
  <si>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</si>
  <si>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</si>
  <si>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</si>
  <si>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</si>
  <si>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</si>
  <si>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</si>
  <si>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</si>
  <si>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</si>
  <si>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</si>
  <si>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</si>
  <si>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</si>
  <si>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</si>
  <si>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</si>
  <si>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</si>
  <si>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</si>
  <si>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</si>
  <si>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</si>
  <si>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</si>
  <si>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</si>
  <si>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</si>
  <si>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</si>
  <si>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</si>
  <si>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</si>
  <si>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</si>
  <si>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</si>
  <si>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</si>
  <si>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</si>
  <si>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</si>
  <si>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</si>
  <si>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</si>
  <si>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</si>
  <si>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</si>
  <si>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</si>
  <si>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</si>
  <si>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</si>
  <si>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</si>
  <si>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</si>
  <si>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</si>
  <si>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</si>
  <si>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</si>
  <si>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</si>
  <si>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</si>
  <si>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</si>
  <si>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</si>
  <si>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</si>
  <si>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</si>
  <si>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</si>
  <si>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</si>
  <si>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</si>
  <si>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</si>
  <si>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</si>
  <si>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</si>
  <si>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</si>
  <si>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</si>
  <si>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</si>
  <si>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</si>
  <si>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</si>
  <si>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</si>
  <si>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</si>
  <si>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</si>
  <si>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</si>
  <si>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</si>
  <si>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</si>
  <si>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</si>
  <si>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</si>
  <si>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</si>
  <si>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</si>
  <si>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</si>
  <si>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</si>
  <si>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</si>
  <si>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</si>
  <si>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</si>
  <si>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</si>
  <si>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</si>
  <si>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</si>
  <si>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</si>
  <si>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</si>
  <si>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</si>
  <si>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</si>
  <si>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</si>
  <si>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</si>
  <si>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</si>
  <si>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</si>
  <si>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</si>
  <si>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</si>
  <si>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</si>
  <si>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</si>
  <si>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</si>
  <si>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</si>
  <si>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</si>
  <si>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</si>
  <si>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</si>
  <si>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</si>
  <si>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</si>
  <si>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</si>
  <si>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</si>
  <si>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</si>
  <si>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</si>
  <si>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</si>
  <si>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</si>
  <si>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</si>
  <si>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</si>
  <si>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</si>
  <si>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</si>
  <si>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</si>
  <si>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</si>
  <si>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</si>
  <si>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</si>
  <si>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</si>
  <si>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</si>
  <si>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</si>
  <si>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</si>
  <si>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</si>
  <si>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</si>
  <si>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</si>
  <si>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</si>
  <si>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</si>
  <si>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</si>
  <si>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</si>
  <si>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</si>
  <si>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</si>
  <si>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</si>
  <si>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</si>
  <si>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</si>
  <si>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</si>
  <si>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</si>
  <si>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</si>
  <si>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</si>
  <si>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</si>
  <si>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</si>
  <si>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</si>
  <si>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</si>
  <si>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</si>
  <si>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</si>
  <si>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</si>
  <si>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</si>
  <si>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</si>
  <si>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</si>
  <si>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</si>
  <si>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</si>
  <si>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</si>
  <si>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</si>
  <si>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</si>
  <si>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</si>
  <si>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</si>
  <si>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</si>
  <si>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</si>
  <si>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</si>
  <si>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</si>
  <si>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</si>
  <si>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</si>
  <si>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</si>
  <si>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</si>
  <si>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</si>
  <si>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</si>
  <si>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</si>
  <si>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</si>
  <si>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</si>
  <si>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</si>
  <si>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</si>
  <si>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</si>
  <si>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</si>
  <si>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</si>
  <si>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</si>
  <si>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</si>
  <si>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</si>
  <si>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</si>
  <si>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</si>
  <si>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</si>
  <si>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</si>
  <si>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</si>
  <si>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</si>
  <si>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</si>
  <si>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</si>
  <si>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</si>
  <si>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</si>
  <si>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</si>
  <si>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</si>
  <si>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</si>
  <si>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</si>
  <si>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</si>
  <si>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</si>
  <si>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</si>
  <si>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</si>
  <si>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</si>
  <si>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</si>
  <si>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</si>
  <si>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</si>
  <si>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</si>
  <si>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</si>
  <si>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</si>
  <si>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</si>
  <si>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</si>
  <si>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</si>
  <si>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</si>
  <si>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</si>
  <si>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</si>
  <si>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</si>
  <si>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</si>
  <si>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</si>
  <si>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</si>
  <si>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</si>
  <si>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</si>
  <si>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</si>
  <si>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</si>
  <si>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</si>
  <si>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</si>
  <si>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</si>
  <si>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</si>
  <si>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</si>
  <si>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</si>
  <si>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</si>
  <si>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</si>
  <si>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</si>
  <si>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</si>
  <si>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</si>
  <si>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</si>
  <si>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</si>
  <si>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</si>
  <si>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</si>
  <si>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</si>
  <si>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</si>
  <si>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</si>
  <si>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</si>
  <si>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</si>
  <si>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</si>
  <si>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</si>
  <si>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</si>
  <si>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</si>
  <si>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</si>
  <si>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</si>
  <si>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</si>
  <si>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</si>
  <si>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</si>
  <si>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</si>
  <si>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</si>
  <si>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</si>
  <si>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</si>
  <si>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</si>
  <si>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</si>
  <si>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</si>
  <si>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</si>
  <si>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</si>
  <si>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</si>
  <si>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</si>
  <si>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</si>
  <si>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</si>
  <si>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</si>
  <si>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</si>
  <si>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</si>
  <si>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</si>
  <si>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</si>
  <si>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</si>
  <si>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</si>
  <si>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</si>
  <si>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</si>
  <si>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</si>
  <si>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</si>
  <si>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</si>
  <si>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</si>
  <si>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</si>
  <si>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</si>
  <si>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</si>
  <si>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</si>
  <si>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</si>
  <si>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</si>
  <si>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</si>
  <si>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</si>
  <si>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</si>
  <si>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</si>
  <si>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</si>
  <si>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</si>
  <si>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</si>
  <si>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</si>
  <si>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</si>
  <si>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</si>
  <si>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</si>
  <si>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</si>
  <si>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</si>
  <si>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</si>
  <si>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</si>
  <si>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</si>
  <si>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</si>
  <si>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</si>
  <si>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</si>
  <si>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</si>
  <si>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</si>
  <si>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</si>
  <si>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</si>
  <si>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</si>
  <si>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</si>
  <si>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</si>
  <si>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</si>
  <si>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</si>
  <si>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</si>
  <si>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</si>
  <si>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</si>
  <si>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</si>
  <si>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</si>
  <si>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</si>
  <si>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</si>
  <si>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</si>
  <si>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</si>
  <si>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</si>
  <si>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</si>
  <si>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</si>
  <si>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</si>
  <si>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</si>
  <si>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</si>
  <si>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</si>
  <si>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</si>
  <si>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</si>
  <si>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</si>
  <si>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</si>
  <si>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</si>
  <si>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</si>
  <si>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</si>
  <si>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</si>
  <si>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</si>
  <si>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</si>
  <si>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</si>
  <si>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</si>
  <si>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</si>
  <si>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</si>
  <si>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</si>
  <si>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</si>
  <si>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</si>
  <si>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</si>
  <si>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</si>
  <si>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</si>
  <si>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</si>
  <si>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</si>
  <si>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</si>
  <si>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</si>
  <si>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</si>
  <si>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</si>
  <si>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</si>
  <si>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</si>
  <si>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</si>
  <si>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</si>
  <si>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</si>
  <si>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</si>
  <si>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</si>
  <si>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</si>
  <si>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</si>
  <si>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</si>
  <si>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</si>
  <si>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</si>
  <si>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</si>
  <si>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</si>
  <si>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</si>
  <si>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</si>
  <si>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</si>
  <si>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</si>
  <si>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</si>
  <si>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</si>
  <si>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</si>
  <si>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</si>
  <si>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</si>
  <si>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</si>
  <si>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</si>
  <si>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</si>
  <si>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</si>
  <si>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</si>
  <si>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</si>
  <si>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</si>
  <si>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</si>
  <si>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</si>
  <si>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</si>
  <si>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</si>
  <si>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</si>
  <si>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</si>
  <si>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</si>
  <si>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</si>
  <si>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</si>
  <si>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</si>
  <si>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</si>
  <si>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</si>
  <si>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</si>
  <si>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</si>
  <si>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</si>
  <si>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</si>
  <si>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</si>
  <si>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</si>
  <si>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</si>
  <si>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</si>
  <si>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</si>
  <si>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</si>
  <si>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</si>
  <si>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</si>
  <si>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</si>
  <si>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</si>
  <si>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</si>
  <si>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</si>
  <si>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</si>
  <si>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</si>
  <si>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</si>
  <si>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</si>
  <si>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</si>
  <si>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</si>
  <si>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</si>
  <si>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</si>
  <si>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</si>
  <si>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</si>
  <si>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</si>
  <si>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</si>
  <si>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</si>
  <si>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</si>
  <si>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</si>
  <si>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</si>
  <si>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</si>
  <si>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</si>
  <si>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</si>
  <si>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</si>
  <si>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</si>
  <si>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</si>
  <si>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</si>
  <si>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</si>
  <si>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</si>
  <si>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</si>
  <si>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</si>
  <si>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</si>
  <si>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</si>
  <si>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</si>
  <si>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</si>
  <si>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</si>
  <si>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</si>
  <si>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</si>
  <si>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</si>
  <si>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</si>
  <si>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</si>
  <si>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</si>
  <si>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</si>
  <si>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</si>
  <si>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</si>
  <si>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</si>
  <si>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</si>
  <si>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</si>
  <si>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</si>
  <si>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</si>
  <si>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</si>
  <si>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</si>
  <si>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</si>
  <si>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</si>
  <si>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</si>
  <si>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</si>
  <si>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</si>
  <si>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</si>
  <si>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</si>
  <si>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</si>
  <si>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</si>
  <si>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</si>
  <si>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</si>
  <si>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</si>
  <si>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</si>
  <si>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</si>
  <si>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</si>
  <si>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</si>
  <si>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</si>
  <si>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</si>
  <si>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</si>
  <si>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</si>
  <si>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</si>
  <si>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</si>
  <si>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</si>
  <si>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</si>
  <si>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</si>
  <si>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</si>
  <si>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</si>
  <si>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</si>
  <si>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</si>
  <si>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</si>
  <si>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</si>
  <si>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</si>
  <si>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</si>
  <si>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</si>
  <si>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</si>
  <si>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</si>
  <si>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</si>
  <si>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</si>
  <si>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</si>
  <si>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</si>
  <si>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</si>
  <si>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</si>
  <si>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</si>
  <si>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</si>
  <si>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</si>
  <si>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</si>
  <si>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</si>
  <si>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</si>
  <si>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</si>
  <si>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</si>
  <si>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</si>
  <si>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</si>
  <si>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</si>
  <si>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</si>
  <si>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</si>
  <si>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</si>
  <si>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</si>
  <si>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</si>
  <si>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</si>
  <si>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</si>
  <si>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</si>
  <si>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</si>
  <si>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</si>
  <si>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</si>
  <si>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</si>
  <si>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</si>
  <si>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</si>
  <si>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</si>
  <si>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</si>
  <si>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</si>
  <si>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</si>
  <si>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</si>
  <si>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</si>
  <si>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</si>
  <si>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</si>
  <si>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</si>
  <si>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</si>
  <si>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</si>
  <si>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</si>
  <si>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</si>
  <si>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</si>
  <si>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</si>
  <si>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</si>
  <si>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</si>
  <si>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</si>
  <si>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</si>
  <si>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</si>
  <si>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</si>
  <si>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</si>
  <si>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</si>
  <si>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</si>
  <si>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</si>
  <si>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</si>
  <si>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</si>
  <si>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</si>
  <si>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</si>
  <si>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</si>
  <si>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</si>
  <si>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</si>
  <si>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</si>
  <si>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</si>
  <si>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</si>
  <si>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</si>
  <si>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</si>
  <si>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</si>
  <si>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</si>
  <si>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</si>
  <si>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</si>
  <si>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</si>
  <si>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</si>
  <si>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</si>
  <si>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</si>
  <si>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</si>
  <si>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</si>
  <si>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</si>
  <si>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</si>
  <si>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</si>
  <si>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</si>
  <si>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</si>
  <si>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</si>
  <si>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</si>
  <si>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</si>
  <si>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</si>
  <si>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</si>
  <si>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</si>
  <si>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</si>
  <si>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</si>
  <si>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</si>
  <si>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</si>
  <si>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</si>
  <si>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</si>
  <si>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</si>
  <si>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</si>
  <si>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</si>
  <si>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</si>
  <si>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</si>
  <si>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</si>
  <si>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</si>
  <si>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</si>
  <si>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</si>
  <si>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</si>
  <si>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</si>
  <si>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</si>
  <si>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</si>
  <si>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</si>
  <si>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</si>
  <si>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</si>
  <si>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</si>
  <si>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</si>
  <si>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</si>
  <si>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</si>
  <si>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</si>
  <si>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</si>
  <si>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</si>
  <si>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</si>
  <si>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</si>
  <si>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</si>
  <si>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</si>
  <si>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</si>
  <si>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</si>
  <si>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</si>
  <si>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</si>
  <si>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</si>
  <si>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</si>
  <si>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</si>
  <si>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</si>
  <si>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</si>
  <si>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</si>
  <si>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</si>
  <si>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</si>
  <si>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</si>
  <si>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</si>
  <si>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</si>
  <si>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</si>
  <si>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</si>
  <si>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</si>
  <si>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</si>
  <si>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</si>
  <si>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</si>
  <si>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</si>
  <si>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</si>
  <si>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</si>
  <si>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</si>
  <si>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</si>
  <si>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</si>
  <si>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</si>
  <si>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</si>
  <si>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</si>
  <si>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</si>
  <si>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</si>
  <si>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</si>
  <si>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</si>
  <si>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</si>
  <si>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</si>
  <si>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</si>
  <si>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</si>
  <si>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</si>
  <si>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</si>
  <si>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</si>
  <si>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</si>
  <si>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</si>
  <si>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</si>
  <si>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</si>
  <si>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</si>
  <si>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</si>
  <si>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</si>
  <si>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</si>
  <si>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</si>
  <si>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</si>
  <si>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</si>
  <si>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</si>
  <si>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</si>
  <si>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</si>
  <si>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</si>
  <si>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</si>
  <si>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</si>
  <si>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</si>
  <si>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</si>
  <si>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</si>
  <si>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</si>
  <si>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</si>
  <si>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</si>
  <si>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</si>
  <si>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</si>
  <si>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</si>
  <si>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</si>
  <si>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</si>
  <si>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</si>
  <si>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</si>
  <si>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</si>
  <si>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</si>
  <si>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</si>
  <si>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</si>
  <si>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</si>
  <si>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</si>
  <si>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</si>
  <si>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</si>
  <si>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</si>
  <si>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</si>
  <si>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</si>
  <si>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</si>
  <si>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</si>
  <si>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</si>
  <si>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</si>
  <si>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</si>
  <si>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</si>
  <si>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</si>
  <si>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</si>
  <si>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</si>
  <si>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</si>
  <si>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</si>
  <si>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</si>
  <si>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</si>
  <si>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</si>
  <si>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</si>
  <si>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</si>
  <si>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</si>
  <si>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</si>
  <si>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</si>
  <si>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</si>
  <si>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</si>
  <si>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</si>
  <si>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</si>
  <si>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</si>
  <si>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</si>
  <si>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</si>
  <si>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</si>
  <si>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</si>
  <si>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</si>
  <si>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</si>
  <si>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</si>
  <si>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</si>
  <si>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</si>
  <si>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</si>
  <si>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</si>
  <si>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</si>
  <si>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</si>
  <si>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</si>
  <si>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</si>
  <si>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</si>
  <si>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</si>
  <si>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</si>
  <si>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</si>
  <si>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</si>
  <si>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</si>
  <si>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</si>
  <si>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</si>
  <si>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</si>
  <si>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</si>
  <si>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</si>
  <si>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</si>
  <si>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</si>
  <si>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</si>
  <si>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</si>
  <si>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</si>
  <si>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</si>
  <si>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</si>
  <si>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</si>
  <si>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</si>
  <si>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</si>
  <si>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</si>
  <si>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</si>
  <si>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</si>
  <si>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</si>
  <si>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</si>
  <si>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</si>
  <si>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</si>
  <si>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</si>
  <si>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</si>
  <si>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</si>
  <si>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</si>
  <si>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</si>
  <si>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</si>
  <si>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</si>
  <si>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</si>
  <si>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</si>
  <si>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</si>
  <si>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</si>
  <si>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</si>
  <si>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</si>
  <si>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</si>
  <si>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</si>
  <si>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</si>
  <si>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</si>
  <si>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</si>
  <si>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</si>
  <si>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</si>
  <si>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</si>
  <si>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</si>
  <si>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</si>
  <si>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</si>
  <si>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</si>
  <si>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</si>
  <si>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33029</t>
  </si>
  <si>
    <t>WERVIK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</si>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</sst>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2E9534E5-234D-4AC9-8A69-5C1C3BC90D1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148686.12250305671</c:v>
                </c:pt>
                <c:pt idx="1">
                  <c:v>37317.424781366964</c:v>
                </c:pt>
                <c:pt idx="2">
                  <c:v>1283.8779999999999</c:v>
                </c:pt>
                <c:pt idx="3">
                  <c:v>30965.30934657891</c:v>
                </c:pt>
                <c:pt idx="4">
                  <c:v>25911.953191408149</c:v>
                </c:pt>
                <c:pt idx="5">
                  <c:v>126965.68279283162</c:v>
                </c:pt>
                <c:pt idx="6">
                  <c:v>292.09546126768868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148686.12250305671</c:v>
                </c:pt>
                <c:pt idx="1">
                  <c:v>37317.424781366964</c:v>
                </c:pt>
                <c:pt idx="2">
                  <c:v>1283.8779999999999</c:v>
                </c:pt>
                <c:pt idx="3">
                  <c:v>30965.30934657891</c:v>
                </c:pt>
                <c:pt idx="4">
                  <c:v>25911.953191408149</c:v>
                </c:pt>
                <c:pt idx="5">
                  <c:v>126965.68279283162</c:v>
                </c:pt>
                <c:pt idx="6">
                  <c:v>292.09546126768868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29440.76472000618</c:v>
                </c:pt>
                <c:pt idx="2">
                  <c:v>7425.8390732061689</c:v>
                </c:pt>
                <c:pt idx="3">
                  <c:v>249.95711400327471</c:v>
                </c:pt>
                <c:pt idx="4">
                  <c:v>7509.9625777755382</c:v>
                </c:pt>
                <c:pt idx="5">
                  <c:v>5225.2737198385976</c:v>
                </c:pt>
                <c:pt idx="6">
                  <c:v>31823.737189111547</c:v>
                </c:pt>
                <c:pt idx="7">
                  <c:v>73.574696173918497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29440.76472000618</c:v>
                </c:pt>
                <c:pt idx="2">
                  <c:v>7425.8390732061689</c:v>
                </c:pt>
                <c:pt idx="3">
                  <c:v>249.95711400327471</c:v>
                </c:pt>
                <c:pt idx="4">
                  <c:v>7509.9625777755382</c:v>
                </c:pt>
                <c:pt idx="5">
                  <c:v>5225.2737198385976</c:v>
                </c:pt>
                <c:pt idx="6">
                  <c:v>31823.737189111547</c:v>
                </c:pt>
                <c:pt idx="7">
                  <c:v>73.574696173918497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33029</v>
      </c>
      <c r="B6" s="382"/>
      <c r="C6" s="383"/>
    </row>
    <row r="7" spans="1:7" s="380" customFormat="1" ht="15.75" customHeight="1">
      <c r="A7" s="384" t="str">
        <f>txtMunicipality</f>
        <v>WERVIK</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14832.631994940664</v>
      </c>
      <c r="D10" s="971">
        <f ca="1">tertiair!C16</f>
        <v>0</v>
      </c>
      <c r="E10" s="971">
        <f ca="1">tertiair!D16</f>
        <v>20494.4737442396</v>
      </c>
      <c r="F10" s="971">
        <f>tertiair!E16</f>
        <v>178.28478397730041</v>
      </c>
      <c r="G10" s="971">
        <f ca="1">tertiair!F16</f>
        <v>2275.9638165050683</v>
      </c>
      <c r="H10" s="971">
        <f>tertiair!G16</f>
        <v>0</v>
      </c>
      <c r="I10" s="971">
        <f>tertiair!H16</f>
        <v>0</v>
      </c>
      <c r="J10" s="971">
        <f>tertiair!I16</f>
        <v>0</v>
      </c>
      <c r="K10" s="971">
        <f>tertiair!J16</f>
        <v>1.9829559308099279E-2</v>
      </c>
      <c r="L10" s="971">
        <f>tertiair!K16</f>
        <v>0</v>
      </c>
      <c r="M10" s="971">
        <f ca="1">tertiair!L16</f>
        <v>0</v>
      </c>
      <c r="N10" s="971">
        <f>tertiair!M16</f>
        <v>0</v>
      </c>
      <c r="O10" s="971">
        <f ca="1">tertiair!N16</f>
        <v>797.73527881169196</v>
      </c>
      <c r="P10" s="971">
        <f>tertiair!O16</f>
        <v>3.1266666666666669</v>
      </c>
      <c r="Q10" s="972">
        <f>tertiair!P16</f>
        <v>19.066666666666666</v>
      </c>
      <c r="R10" s="666">
        <f ca="1">SUM(C10:Q10)</f>
        <v>38601.302781366961</v>
      </c>
      <c r="S10" s="67"/>
    </row>
    <row r="11" spans="1:19" s="439" customFormat="1">
      <c r="A11" s="775" t="s">
        <v>213</v>
      </c>
      <c r="B11" s="780"/>
      <c r="C11" s="971">
        <f>huishoudens!B8</f>
        <v>28727.080709464426</v>
      </c>
      <c r="D11" s="971">
        <f>huishoudens!C8</f>
        <v>0</v>
      </c>
      <c r="E11" s="971">
        <f>huishoudens!D8</f>
        <v>78834.592134278515</v>
      </c>
      <c r="F11" s="971">
        <f>huishoudens!E8</f>
        <v>1126.3140293880601</v>
      </c>
      <c r="G11" s="971">
        <f>huishoudens!F8</f>
        <v>28535.74878062509</v>
      </c>
      <c r="H11" s="971">
        <f>huishoudens!G8</f>
        <v>0</v>
      </c>
      <c r="I11" s="971">
        <f>huishoudens!H8</f>
        <v>0</v>
      </c>
      <c r="J11" s="971">
        <f>huishoudens!I8</f>
        <v>0</v>
      </c>
      <c r="K11" s="971">
        <f>huishoudens!J8</f>
        <v>137.3108216723958</v>
      </c>
      <c r="L11" s="971">
        <f>huishoudens!K8</f>
        <v>0</v>
      </c>
      <c r="M11" s="971">
        <f>huishoudens!L8</f>
        <v>0</v>
      </c>
      <c r="N11" s="971">
        <f>huishoudens!M8</f>
        <v>0</v>
      </c>
      <c r="O11" s="971">
        <f>huishoudens!N8</f>
        <v>10798.62936096155</v>
      </c>
      <c r="P11" s="971">
        <f>huishoudens!O8</f>
        <v>259.51333333333338</v>
      </c>
      <c r="Q11" s="972">
        <f>huishoudens!P8</f>
        <v>266.93333333333334</v>
      </c>
      <c r="R11" s="666">
        <f>SUM(C11:Q11)</f>
        <v>148686.12250305671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11332.512108204095</v>
      </c>
      <c r="D13" s="971">
        <f>industrie!C18</f>
        <v>0</v>
      </c>
      <c r="E13" s="971">
        <f>industrie!D18</f>
        <v>9619.9246822071436</v>
      </c>
      <c r="F13" s="971">
        <f>industrie!E18</f>
        <v>984.76583680539295</v>
      </c>
      <c r="G13" s="971">
        <f>industrie!F18</f>
        <v>3167.8524865753334</v>
      </c>
      <c r="H13" s="971">
        <f>industrie!G18</f>
        <v>0</v>
      </c>
      <c r="I13" s="971">
        <f>industrie!H18</f>
        <v>0</v>
      </c>
      <c r="J13" s="971">
        <f>industrie!I18</f>
        <v>0</v>
      </c>
      <c r="K13" s="971">
        <f>industrie!J18</f>
        <v>18.003807058188311</v>
      </c>
      <c r="L13" s="971">
        <f>industrie!K18</f>
        <v>0</v>
      </c>
      <c r="M13" s="971">
        <f>industrie!L18</f>
        <v>0</v>
      </c>
      <c r="N13" s="971">
        <f>industrie!M18</f>
        <v>0</v>
      </c>
      <c r="O13" s="971">
        <f>industrie!N18</f>
        <v>788.89427055800184</v>
      </c>
      <c r="P13" s="971">
        <f>industrie!O18</f>
        <v>0</v>
      </c>
      <c r="Q13" s="972">
        <f>industrie!P18</f>
        <v>0</v>
      </c>
      <c r="R13" s="666">
        <f>SUM(C13:Q13)</f>
        <v>25911.953191408149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54892.22481260918</v>
      </c>
      <c r="D16" s="698">
        <f t="shared" ref="D16:R16" ca="1" si="0">SUM(D9:D15)</f>
        <v>0</v>
      </c>
      <c r="E16" s="698">
        <f t="shared" ca="1" si="0"/>
        <v>108948.99056072526</v>
      </c>
      <c r="F16" s="698">
        <f t="shared" si="0"/>
        <v>2289.3646501707535</v>
      </c>
      <c r="G16" s="698">
        <f t="shared" ca="1" si="0"/>
        <v>33979.565083705493</v>
      </c>
      <c r="H16" s="698">
        <f t="shared" si="0"/>
        <v>0</v>
      </c>
      <c r="I16" s="698">
        <f t="shared" si="0"/>
        <v>0</v>
      </c>
      <c r="J16" s="698">
        <f t="shared" si="0"/>
        <v>0</v>
      </c>
      <c r="K16" s="698">
        <f t="shared" si="0"/>
        <v>155.33445828989221</v>
      </c>
      <c r="L16" s="698">
        <f t="shared" si="0"/>
        <v>0</v>
      </c>
      <c r="M16" s="698">
        <f t="shared" ca="1" si="0"/>
        <v>0</v>
      </c>
      <c r="N16" s="698">
        <f t="shared" si="0"/>
        <v>0</v>
      </c>
      <c r="O16" s="698">
        <f t="shared" ca="1" si="0"/>
        <v>12385.258910331242</v>
      </c>
      <c r="P16" s="698">
        <f t="shared" si="0"/>
        <v>262.64000000000004</v>
      </c>
      <c r="Q16" s="698">
        <f t="shared" si="0"/>
        <v>286</v>
      </c>
      <c r="R16" s="698">
        <f t="shared" ca="1" si="0"/>
        <v>213199.37847583185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2.9107727031306383</v>
      </c>
      <c r="D19" s="971">
        <f>transport!C54</f>
        <v>0</v>
      </c>
      <c r="E19" s="971">
        <f>transport!D54</f>
        <v>0</v>
      </c>
      <c r="F19" s="971">
        <f>transport!E54</f>
        <v>0</v>
      </c>
      <c r="G19" s="971">
        <f>transport!F54</f>
        <v>0</v>
      </c>
      <c r="H19" s="971">
        <f>transport!G54</f>
        <v>273.43820343152447</v>
      </c>
      <c r="I19" s="971">
        <f>transport!H54</f>
        <v>0</v>
      </c>
      <c r="J19" s="971">
        <f>transport!I54</f>
        <v>0</v>
      </c>
      <c r="K19" s="971">
        <f>transport!J54</f>
        <v>0</v>
      </c>
      <c r="L19" s="971">
        <f>transport!K54</f>
        <v>0</v>
      </c>
      <c r="M19" s="971">
        <f>transport!L54</f>
        <v>0</v>
      </c>
      <c r="N19" s="971">
        <f>transport!M54</f>
        <v>15.746485133033582</v>
      </c>
      <c r="O19" s="971">
        <f>transport!N54</f>
        <v>0</v>
      </c>
      <c r="P19" s="971">
        <f>transport!O54</f>
        <v>0</v>
      </c>
      <c r="Q19" s="972">
        <f>transport!P54</f>
        <v>0</v>
      </c>
      <c r="R19" s="666">
        <f>SUM(C19:Q19)</f>
        <v>292.09546126768868</v>
      </c>
      <c r="S19" s="67"/>
    </row>
    <row r="20" spans="1:19" s="439" customFormat="1">
      <c r="A20" s="775" t="s">
        <v>295</v>
      </c>
      <c r="B20" s="780"/>
      <c r="C20" s="971">
        <f>transport!B14</f>
        <v>71.332496182010317</v>
      </c>
      <c r="D20" s="971">
        <f>transport!C14</f>
        <v>0</v>
      </c>
      <c r="E20" s="971">
        <f>transport!D14</f>
        <v>108.07500511551768</v>
      </c>
      <c r="F20" s="971">
        <f>transport!E14</f>
        <v>208.42955481115627</v>
      </c>
      <c r="G20" s="971">
        <f>transport!F14</f>
        <v>0</v>
      </c>
      <c r="H20" s="971">
        <f>transport!G14</f>
        <v>102299.44146202173</v>
      </c>
      <c r="I20" s="971">
        <f>transport!H14</f>
        <v>17778.128497458856</v>
      </c>
      <c r="J20" s="971">
        <f>transport!I14</f>
        <v>0</v>
      </c>
      <c r="K20" s="971">
        <f>transport!J14</f>
        <v>0</v>
      </c>
      <c r="L20" s="971">
        <f>transport!K14</f>
        <v>0</v>
      </c>
      <c r="M20" s="971">
        <f>transport!L14</f>
        <v>0</v>
      </c>
      <c r="N20" s="971">
        <f>transport!M14</f>
        <v>6500.2757772423547</v>
      </c>
      <c r="O20" s="971">
        <f>transport!N14</f>
        <v>0</v>
      </c>
      <c r="P20" s="971">
        <f>transport!O14</f>
        <v>0</v>
      </c>
      <c r="Q20" s="972">
        <f>transport!P14</f>
        <v>0</v>
      </c>
      <c r="R20" s="666">
        <f>SUM(C20:Q20)</f>
        <v>126965.68279283162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74.243268885140949</v>
      </c>
      <c r="D22" s="778">
        <f t="shared" ref="D22:R22" si="1">SUM(D18:D21)</f>
        <v>0</v>
      </c>
      <c r="E22" s="778">
        <f t="shared" si="1"/>
        <v>108.07500511551768</v>
      </c>
      <c r="F22" s="778">
        <f t="shared" si="1"/>
        <v>208.42955481115627</v>
      </c>
      <c r="G22" s="778">
        <f t="shared" si="1"/>
        <v>0</v>
      </c>
      <c r="H22" s="778">
        <f t="shared" si="1"/>
        <v>102572.87966545325</v>
      </c>
      <c r="I22" s="778">
        <f t="shared" si="1"/>
        <v>17778.128497458856</v>
      </c>
      <c r="J22" s="778">
        <f t="shared" si="1"/>
        <v>0</v>
      </c>
      <c r="K22" s="778">
        <f t="shared" si="1"/>
        <v>0</v>
      </c>
      <c r="L22" s="778">
        <f t="shared" si="1"/>
        <v>0</v>
      </c>
      <c r="M22" s="778">
        <f t="shared" si="1"/>
        <v>0</v>
      </c>
      <c r="N22" s="778">
        <f t="shared" si="1"/>
        <v>6516.022262375388</v>
      </c>
      <c r="O22" s="778">
        <f t="shared" si="1"/>
        <v>0</v>
      </c>
      <c r="P22" s="778">
        <f t="shared" si="1"/>
        <v>0</v>
      </c>
      <c r="Q22" s="778">
        <f t="shared" si="1"/>
        <v>0</v>
      </c>
      <c r="R22" s="778">
        <f t="shared" si="1"/>
        <v>127257.77825409931</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4384.4507241110059</v>
      </c>
      <c r="D24" s="971">
        <f>+landbouw!C8</f>
        <v>0</v>
      </c>
      <c r="E24" s="971">
        <f>+landbouw!D8</f>
        <v>7551.3886778966335</v>
      </c>
      <c r="F24" s="971">
        <f>+landbouw!E8</f>
        <v>128.87239843981916</v>
      </c>
      <c r="G24" s="971">
        <f>+landbouw!F8</f>
        <v>18265.384793364872</v>
      </c>
      <c r="H24" s="971">
        <f>+landbouw!G8</f>
        <v>0</v>
      </c>
      <c r="I24" s="971">
        <f>+landbouw!H8</f>
        <v>0</v>
      </c>
      <c r="J24" s="971">
        <f>+landbouw!I8</f>
        <v>0</v>
      </c>
      <c r="K24" s="971">
        <f>+landbouw!J8</f>
        <v>635.21275276657821</v>
      </c>
      <c r="L24" s="971">
        <f>+landbouw!K8</f>
        <v>0</v>
      </c>
      <c r="M24" s="971">
        <f>+landbouw!L8</f>
        <v>0</v>
      </c>
      <c r="N24" s="971">
        <f>+landbouw!M8</f>
        <v>0</v>
      </c>
      <c r="O24" s="971">
        <f>+landbouw!N8</f>
        <v>0</v>
      </c>
      <c r="P24" s="971">
        <f>+landbouw!O8</f>
        <v>0</v>
      </c>
      <c r="Q24" s="972">
        <f>+landbouw!P8</f>
        <v>0</v>
      </c>
      <c r="R24" s="666">
        <f>SUM(C24:Q24)</f>
        <v>30965.30934657891</v>
      </c>
      <c r="S24" s="67"/>
    </row>
    <row r="25" spans="1:19" s="439" customFormat="1" ht="15" thickBot="1">
      <c r="A25" s="797" t="s">
        <v>802</v>
      </c>
      <c r="B25" s="974"/>
      <c r="C25" s="975">
        <f>IF(Onbekend_ele_kWh="---",0,Onbekend_ele_kWh)/1000+IF(REST_rest_ele_kWh="---",0,REST_rest_ele_kWh)/1000</f>
        <v>751.16027980600199</v>
      </c>
      <c r="D25" s="975"/>
      <c r="E25" s="975">
        <f>IF(onbekend_gas_kWh="---",0,onbekend_gas_kWh)/1000+IF(REST_rest_gas_kWh="---",0,REST_rest_gas_kWh)/1000</f>
        <v>2907.2486704305497</v>
      </c>
      <c r="F25" s="975"/>
      <c r="G25" s="975"/>
      <c r="H25" s="975"/>
      <c r="I25" s="975"/>
      <c r="J25" s="975"/>
      <c r="K25" s="975"/>
      <c r="L25" s="975"/>
      <c r="M25" s="975"/>
      <c r="N25" s="975"/>
      <c r="O25" s="975"/>
      <c r="P25" s="975"/>
      <c r="Q25" s="976"/>
      <c r="R25" s="666">
        <f>SUM(C25:Q25)</f>
        <v>3658.4089502365518</v>
      </c>
      <c r="S25" s="67"/>
    </row>
    <row r="26" spans="1:19" s="439" customFormat="1" ht="15.75" thickBot="1">
      <c r="A26" s="671" t="s">
        <v>803</v>
      </c>
      <c r="B26" s="783"/>
      <c r="C26" s="778">
        <f>SUM(C24:C25)</f>
        <v>5135.611003917008</v>
      </c>
      <c r="D26" s="778">
        <f t="shared" ref="D26:R26" si="2">SUM(D24:D25)</f>
        <v>0</v>
      </c>
      <c r="E26" s="778">
        <f t="shared" si="2"/>
        <v>10458.637348327184</v>
      </c>
      <c r="F26" s="778">
        <f t="shared" si="2"/>
        <v>128.87239843981916</v>
      </c>
      <c r="G26" s="778">
        <f t="shared" si="2"/>
        <v>18265.384793364872</v>
      </c>
      <c r="H26" s="778">
        <f t="shared" si="2"/>
        <v>0</v>
      </c>
      <c r="I26" s="778">
        <f t="shared" si="2"/>
        <v>0</v>
      </c>
      <c r="J26" s="778">
        <f t="shared" si="2"/>
        <v>0</v>
      </c>
      <c r="K26" s="778">
        <f t="shared" si="2"/>
        <v>635.21275276657821</v>
      </c>
      <c r="L26" s="778">
        <f t="shared" si="2"/>
        <v>0</v>
      </c>
      <c r="M26" s="778">
        <f t="shared" si="2"/>
        <v>0</v>
      </c>
      <c r="N26" s="778">
        <f t="shared" si="2"/>
        <v>0</v>
      </c>
      <c r="O26" s="778">
        <f t="shared" si="2"/>
        <v>0</v>
      </c>
      <c r="P26" s="778">
        <f t="shared" si="2"/>
        <v>0</v>
      </c>
      <c r="Q26" s="778">
        <f t="shared" si="2"/>
        <v>0</v>
      </c>
      <c r="R26" s="778">
        <f t="shared" si="2"/>
        <v>34623.718296815459</v>
      </c>
      <c r="S26" s="67"/>
    </row>
    <row r="27" spans="1:19" s="439" customFormat="1" ht="17.25" thickTop="1" thickBot="1">
      <c r="A27" s="672" t="s">
        <v>109</v>
      </c>
      <c r="B27" s="771"/>
      <c r="C27" s="673">
        <f ca="1">C22+C16+C26</f>
        <v>60102.079085411329</v>
      </c>
      <c r="D27" s="673">
        <f t="shared" ref="D27:R27" ca="1" si="3">D22+D16+D26</f>
        <v>0</v>
      </c>
      <c r="E27" s="673">
        <f t="shared" ca="1" si="3"/>
        <v>119515.70291416797</v>
      </c>
      <c r="F27" s="673">
        <f t="shared" si="3"/>
        <v>2626.6666034217292</v>
      </c>
      <c r="G27" s="673">
        <f t="shared" ca="1" si="3"/>
        <v>52244.949877070365</v>
      </c>
      <c r="H27" s="673">
        <f t="shared" si="3"/>
        <v>102572.87966545325</v>
      </c>
      <c r="I27" s="673">
        <f t="shared" si="3"/>
        <v>17778.128497458856</v>
      </c>
      <c r="J27" s="673">
        <f t="shared" si="3"/>
        <v>0</v>
      </c>
      <c r="K27" s="673">
        <f t="shared" si="3"/>
        <v>790.54721105647036</v>
      </c>
      <c r="L27" s="673">
        <f t="shared" si="3"/>
        <v>0</v>
      </c>
      <c r="M27" s="673">
        <f t="shared" ca="1" si="3"/>
        <v>0</v>
      </c>
      <c r="N27" s="673">
        <f t="shared" si="3"/>
        <v>6516.022262375388</v>
      </c>
      <c r="O27" s="673">
        <f t="shared" ca="1" si="3"/>
        <v>12385.258910331242</v>
      </c>
      <c r="P27" s="673">
        <f t="shared" si="3"/>
        <v>262.64000000000004</v>
      </c>
      <c r="Q27" s="673">
        <f t="shared" si="3"/>
        <v>286</v>
      </c>
      <c r="R27" s="673">
        <f t="shared" ca="1" si="3"/>
        <v>375080.87502674659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2887.7524862393498</v>
      </c>
      <c r="D40" s="971">
        <f ca="1">tertiair!C20</f>
        <v>0</v>
      </c>
      <c r="E40" s="971">
        <f ca="1">tertiair!D20</f>
        <v>4139.8836963363992</v>
      </c>
      <c r="F40" s="971">
        <f>tertiair!E20</f>
        <v>40.470645962847193</v>
      </c>
      <c r="G40" s="971">
        <f ca="1">tertiair!F20</f>
        <v>607.68233900685323</v>
      </c>
      <c r="H40" s="971">
        <f>tertiair!G20</f>
        <v>0</v>
      </c>
      <c r="I40" s="971">
        <f>tertiair!H20</f>
        <v>0</v>
      </c>
      <c r="J40" s="971">
        <f>tertiair!I20</f>
        <v>0</v>
      </c>
      <c r="K40" s="971">
        <f>tertiair!J20</f>
        <v>7.0196639950671439E-3</v>
      </c>
      <c r="L40" s="971">
        <f>tertiair!K20</f>
        <v>0</v>
      </c>
      <c r="M40" s="971">
        <f ca="1">tertiair!L20</f>
        <v>0</v>
      </c>
      <c r="N40" s="971">
        <f>tertiair!M20</f>
        <v>0</v>
      </c>
      <c r="O40" s="971">
        <f ca="1">tertiair!N20</f>
        <v>0</v>
      </c>
      <c r="P40" s="971">
        <f>tertiair!O20</f>
        <v>0</v>
      </c>
      <c r="Q40" s="740">
        <f>tertiair!P20</f>
        <v>0</v>
      </c>
      <c r="R40" s="816">
        <f t="shared" ca="1" si="4"/>
        <v>7675.7961872094438</v>
      </c>
    </row>
    <row r="41" spans="1:18">
      <c r="A41" s="788" t="s">
        <v>213</v>
      </c>
      <c r="B41" s="795"/>
      <c r="C41" s="971">
        <f ca="1">huishoudens!B12</f>
        <v>5592.8508689119008</v>
      </c>
      <c r="D41" s="971">
        <f ca="1">huishoudens!C12</f>
        <v>0</v>
      </c>
      <c r="E41" s="971">
        <f>huishoudens!D12</f>
        <v>15924.587611124261</v>
      </c>
      <c r="F41" s="971">
        <f>huishoudens!E12</f>
        <v>255.67328467108965</v>
      </c>
      <c r="G41" s="971">
        <f>huishoudens!F12</f>
        <v>7619.0449244268993</v>
      </c>
      <c r="H41" s="971">
        <f>huishoudens!G12</f>
        <v>0</v>
      </c>
      <c r="I41" s="971">
        <f>huishoudens!H12</f>
        <v>0</v>
      </c>
      <c r="J41" s="971">
        <f>huishoudens!I12</f>
        <v>0</v>
      </c>
      <c r="K41" s="971">
        <f>huishoudens!J12</f>
        <v>48.60803087202811</v>
      </c>
      <c r="L41" s="971">
        <f>huishoudens!K12</f>
        <v>0</v>
      </c>
      <c r="M41" s="971">
        <f>huishoudens!L12</f>
        <v>0</v>
      </c>
      <c r="N41" s="971">
        <f>huishoudens!M12</f>
        <v>0</v>
      </c>
      <c r="O41" s="971">
        <f>huishoudens!N12</f>
        <v>0</v>
      </c>
      <c r="P41" s="971">
        <f>huishoudens!O12</f>
        <v>0</v>
      </c>
      <c r="Q41" s="740">
        <f>huishoudens!P12</f>
        <v>0</v>
      </c>
      <c r="R41" s="816">
        <f t="shared" ca="1" si="4"/>
        <v>29440.76472000618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2206.317127463717</v>
      </c>
      <c r="D43" s="971">
        <f ca="1">industrie!C22</f>
        <v>0</v>
      </c>
      <c r="E43" s="971">
        <f>industrie!D22</f>
        <v>1943.2247858058431</v>
      </c>
      <c r="F43" s="971">
        <f>industrie!E22</f>
        <v>223.5418449548242</v>
      </c>
      <c r="G43" s="971">
        <f>industrie!F22</f>
        <v>845.81661391561408</v>
      </c>
      <c r="H43" s="971">
        <f>industrie!G22</f>
        <v>0</v>
      </c>
      <c r="I43" s="971">
        <f>industrie!H22</f>
        <v>0</v>
      </c>
      <c r="J43" s="971">
        <f>industrie!I22</f>
        <v>0</v>
      </c>
      <c r="K43" s="971">
        <f>industrie!J22</f>
        <v>6.3733476985986615</v>
      </c>
      <c r="L43" s="971">
        <f>industrie!K22</f>
        <v>0</v>
      </c>
      <c r="M43" s="971">
        <f>industrie!L22</f>
        <v>0</v>
      </c>
      <c r="N43" s="971">
        <f>industrie!M22</f>
        <v>0</v>
      </c>
      <c r="O43" s="971">
        <f>industrie!N22</f>
        <v>0</v>
      </c>
      <c r="P43" s="971">
        <f>industrie!O22</f>
        <v>0</v>
      </c>
      <c r="Q43" s="740">
        <f>industrie!P22</f>
        <v>0</v>
      </c>
      <c r="R43" s="815">
        <f t="shared" ca="1" si="4"/>
        <v>5225.2737198385976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10686.920482614967</v>
      </c>
      <c r="D46" s="698">
        <f t="shared" ref="D46:Q46" ca="1" si="5">SUM(D39:D45)</f>
        <v>0</v>
      </c>
      <c r="E46" s="698">
        <f t="shared" ca="1" si="5"/>
        <v>22007.696093266506</v>
      </c>
      <c r="F46" s="698">
        <f t="shared" si="5"/>
        <v>519.68577558876109</v>
      </c>
      <c r="G46" s="698">
        <f t="shared" ca="1" si="5"/>
        <v>9072.5438773493679</v>
      </c>
      <c r="H46" s="698">
        <f t="shared" si="5"/>
        <v>0</v>
      </c>
      <c r="I46" s="698">
        <f t="shared" si="5"/>
        <v>0</v>
      </c>
      <c r="J46" s="698">
        <f t="shared" si="5"/>
        <v>0</v>
      </c>
      <c r="K46" s="698">
        <f t="shared" si="5"/>
        <v>54.98839823462184</v>
      </c>
      <c r="L46" s="698">
        <f t="shared" si="5"/>
        <v>0</v>
      </c>
      <c r="M46" s="698">
        <f t="shared" ca="1" si="5"/>
        <v>0</v>
      </c>
      <c r="N46" s="698">
        <f t="shared" si="5"/>
        <v>0</v>
      </c>
      <c r="O46" s="698">
        <f t="shared" ca="1" si="5"/>
        <v>0</v>
      </c>
      <c r="P46" s="698">
        <f t="shared" si="5"/>
        <v>0</v>
      </c>
      <c r="Q46" s="698">
        <f t="shared" si="5"/>
        <v>0</v>
      </c>
      <c r="R46" s="698">
        <f ca="1">SUM(R39:R45)</f>
        <v>42341.834627054217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0.5666958577014678</v>
      </c>
      <c r="D49" s="971">
        <f ca="1">transport!C58</f>
        <v>0</v>
      </c>
      <c r="E49" s="971">
        <f>transport!D58</f>
        <v>0</v>
      </c>
      <c r="F49" s="971">
        <f>transport!E58</f>
        <v>0</v>
      </c>
      <c r="G49" s="971">
        <f>transport!F58</f>
        <v>0</v>
      </c>
      <c r="H49" s="971">
        <f>transport!G58</f>
        <v>73.008000316217036</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73.574696173918497</v>
      </c>
    </row>
    <row r="50" spans="1:18">
      <c r="A50" s="791" t="s">
        <v>295</v>
      </c>
      <c r="B50" s="801"/>
      <c r="C50" s="669">
        <f ca="1">transport!B18</f>
        <v>13.887662909018545</v>
      </c>
      <c r="D50" s="669">
        <f>transport!C18</f>
        <v>0</v>
      </c>
      <c r="E50" s="669">
        <f>transport!D18</f>
        <v>21.831151033334574</v>
      </c>
      <c r="F50" s="669">
        <f>transport!E18</f>
        <v>47.313508942132472</v>
      </c>
      <c r="G50" s="669">
        <f>transport!F18</f>
        <v>0</v>
      </c>
      <c r="H50" s="669">
        <f>transport!G18</f>
        <v>27313.950870359804</v>
      </c>
      <c r="I50" s="669">
        <f>transport!H18</f>
        <v>4426.7539958672551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31823.737189111547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14.454358766720013</v>
      </c>
      <c r="D52" s="698">
        <f t="shared" ref="D52:Q52" ca="1" si="6">SUM(D48:D51)</f>
        <v>0</v>
      </c>
      <c r="E52" s="698">
        <f t="shared" si="6"/>
        <v>21.831151033334574</v>
      </c>
      <c r="F52" s="698">
        <f t="shared" si="6"/>
        <v>47.313508942132472</v>
      </c>
      <c r="G52" s="698">
        <f t="shared" si="6"/>
        <v>0</v>
      </c>
      <c r="H52" s="698">
        <f t="shared" si="6"/>
        <v>27386.958870676022</v>
      </c>
      <c r="I52" s="698">
        <f t="shared" si="6"/>
        <v>4426.7539958672551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31897.311885285464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853.60497608678952</v>
      </c>
      <c r="D54" s="669">
        <f ca="1">+landbouw!C12</f>
        <v>0</v>
      </c>
      <c r="E54" s="669">
        <f>+landbouw!D12</f>
        <v>1525.3805129351201</v>
      </c>
      <c r="F54" s="669">
        <f>+landbouw!E12</f>
        <v>29.254034445838951</v>
      </c>
      <c r="G54" s="669">
        <f>+landbouw!F12</f>
        <v>4876.8577398284215</v>
      </c>
      <c r="H54" s="669">
        <f>+landbouw!G12</f>
        <v>0</v>
      </c>
      <c r="I54" s="669">
        <f>+landbouw!H12</f>
        <v>0</v>
      </c>
      <c r="J54" s="669">
        <f>+landbouw!I12</f>
        <v>0</v>
      </c>
      <c r="K54" s="669">
        <f>+landbouw!J12</f>
        <v>224.86531447936866</v>
      </c>
      <c r="L54" s="669">
        <f>+landbouw!K12</f>
        <v>0</v>
      </c>
      <c r="M54" s="669">
        <f>+landbouw!L12</f>
        <v>0</v>
      </c>
      <c r="N54" s="669">
        <f>+landbouw!M12</f>
        <v>0</v>
      </c>
      <c r="O54" s="669">
        <f>+landbouw!N12</f>
        <v>0</v>
      </c>
      <c r="P54" s="669">
        <f>+landbouw!O12</f>
        <v>0</v>
      </c>
      <c r="Q54" s="670">
        <f>+landbouw!P12</f>
        <v>0</v>
      </c>
      <c r="R54" s="697">
        <f ca="1">SUM(C54:Q54)</f>
        <v>7509.9625777755382</v>
      </c>
    </row>
    <row r="55" spans="1:18" ht="15" thickBot="1">
      <c r="A55" s="791" t="s">
        <v>802</v>
      </c>
      <c r="B55" s="801"/>
      <c r="C55" s="669">
        <f ca="1">C25*'EF ele_warmte'!B12</f>
        <v>146.24275491456399</v>
      </c>
      <c r="D55" s="669"/>
      <c r="E55" s="669">
        <f>E25*EF_CO2_aardgas</f>
        <v>587.26423142697104</v>
      </c>
      <c r="F55" s="669"/>
      <c r="G55" s="669"/>
      <c r="H55" s="669"/>
      <c r="I55" s="669"/>
      <c r="J55" s="669"/>
      <c r="K55" s="669"/>
      <c r="L55" s="669"/>
      <c r="M55" s="669"/>
      <c r="N55" s="669"/>
      <c r="O55" s="669"/>
      <c r="P55" s="669"/>
      <c r="Q55" s="670"/>
      <c r="R55" s="697">
        <f ca="1">SUM(C55:Q55)</f>
        <v>733.50698634153503</v>
      </c>
    </row>
    <row r="56" spans="1:18" ht="15.75" thickBot="1">
      <c r="A56" s="789" t="s">
        <v>803</v>
      </c>
      <c r="B56" s="802"/>
      <c r="C56" s="698">
        <f ca="1">SUM(C54:C55)</f>
        <v>999.84773100135351</v>
      </c>
      <c r="D56" s="698">
        <f t="shared" ref="D56:Q56" ca="1" si="7">SUM(D54:D55)</f>
        <v>0</v>
      </c>
      <c r="E56" s="698">
        <f t="shared" si="7"/>
        <v>2112.6447443620909</v>
      </c>
      <c r="F56" s="698">
        <f t="shared" si="7"/>
        <v>29.254034445838951</v>
      </c>
      <c r="G56" s="698">
        <f t="shared" si="7"/>
        <v>4876.8577398284215</v>
      </c>
      <c r="H56" s="698">
        <f t="shared" si="7"/>
        <v>0</v>
      </c>
      <c r="I56" s="698">
        <f t="shared" si="7"/>
        <v>0</v>
      </c>
      <c r="J56" s="698">
        <f t="shared" si="7"/>
        <v>0</v>
      </c>
      <c r="K56" s="698">
        <f t="shared" si="7"/>
        <v>224.86531447936866</v>
      </c>
      <c r="L56" s="698">
        <f t="shared" si="7"/>
        <v>0</v>
      </c>
      <c r="M56" s="698">
        <f t="shared" si="7"/>
        <v>0</v>
      </c>
      <c r="N56" s="698">
        <f t="shared" si="7"/>
        <v>0</v>
      </c>
      <c r="O56" s="698">
        <f t="shared" si="7"/>
        <v>0</v>
      </c>
      <c r="P56" s="698">
        <f t="shared" si="7"/>
        <v>0</v>
      </c>
      <c r="Q56" s="699">
        <f t="shared" si="7"/>
        <v>0</v>
      </c>
      <c r="R56" s="700">
        <f ca="1">SUM(R54:R55)</f>
        <v>8243.4695641170729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11701.22257238304</v>
      </c>
      <c r="D61" s="706">
        <f t="shared" ref="D61:Q61" ca="1" si="8">D46+D52+D56</f>
        <v>0</v>
      </c>
      <c r="E61" s="706">
        <f t="shared" ca="1" si="8"/>
        <v>24142.171988661932</v>
      </c>
      <c r="F61" s="706">
        <f t="shared" si="8"/>
        <v>596.25331897673243</v>
      </c>
      <c r="G61" s="706">
        <f t="shared" ca="1" si="8"/>
        <v>13949.401617177789</v>
      </c>
      <c r="H61" s="706">
        <f t="shared" si="8"/>
        <v>27386.958870676022</v>
      </c>
      <c r="I61" s="706">
        <f t="shared" si="8"/>
        <v>4426.7539958672551</v>
      </c>
      <c r="J61" s="706">
        <f t="shared" si="8"/>
        <v>0</v>
      </c>
      <c r="K61" s="706">
        <f t="shared" si="8"/>
        <v>279.85371271399049</v>
      </c>
      <c r="L61" s="706">
        <f t="shared" si="8"/>
        <v>0</v>
      </c>
      <c r="M61" s="706">
        <f t="shared" ca="1" si="8"/>
        <v>0</v>
      </c>
      <c r="N61" s="706">
        <f t="shared" si="8"/>
        <v>0</v>
      </c>
      <c r="O61" s="706">
        <f t="shared" ca="1" si="8"/>
        <v>0</v>
      </c>
      <c r="P61" s="706">
        <f t="shared" si="8"/>
        <v>0</v>
      </c>
      <c r="Q61" s="706">
        <f t="shared" si="8"/>
        <v>0</v>
      </c>
      <c r="R61" s="706">
        <f ca="1">R46+R52+R56</f>
        <v>82482.616076456747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0.19468914803686543</v>
      </c>
      <c r="D63" s="747">
        <f t="shared" ca="1" si="9"/>
        <v>0</v>
      </c>
      <c r="E63" s="982">
        <f t="shared" ca="1" si="9"/>
        <v>0.20200000000000001</v>
      </c>
      <c r="F63" s="747">
        <f t="shared" si="9"/>
        <v>0.22699999999999995</v>
      </c>
      <c r="G63" s="747">
        <f t="shared" ca="1" si="9"/>
        <v>0.26700000000000002</v>
      </c>
      <c r="H63" s="747">
        <f t="shared" si="9"/>
        <v>0.26700000000000007</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7155.370613089879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7155.370613089879</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28727.080709464426</v>
      </c>
      <c r="C4" s="443">
        <f>huishoudens!C8</f>
        <v>0</v>
      </c>
      <c r="D4" s="443">
        <f>huishoudens!D8</f>
        <v>78834.592134278515</v>
      </c>
      <c r="E4" s="443">
        <f>huishoudens!E8</f>
        <v>1126.3140293880601</v>
      </c>
      <c r="F4" s="443">
        <f>huishoudens!F8</f>
        <v>28535.74878062509</v>
      </c>
      <c r="G4" s="443">
        <f>huishoudens!G8</f>
        <v>0</v>
      </c>
      <c r="H4" s="443">
        <f>huishoudens!H8</f>
        <v>0</v>
      </c>
      <c r="I4" s="443">
        <f>huishoudens!I8</f>
        <v>0</v>
      </c>
      <c r="J4" s="443">
        <f>huishoudens!J8</f>
        <v>137.3108216723958</v>
      </c>
      <c r="K4" s="443">
        <f>huishoudens!K8</f>
        <v>0</v>
      </c>
      <c r="L4" s="443">
        <f>huishoudens!L8</f>
        <v>0</v>
      </c>
      <c r="M4" s="443">
        <f>huishoudens!M8</f>
        <v>0</v>
      </c>
      <c r="N4" s="443">
        <f>huishoudens!N8</f>
        <v>10798.62936096155</v>
      </c>
      <c r="O4" s="443">
        <f>huishoudens!O8</f>
        <v>259.51333333333338</v>
      </c>
      <c r="P4" s="444">
        <f>huishoudens!P8</f>
        <v>266.93333333333334</v>
      </c>
      <c r="Q4" s="445">
        <f>SUM(B4:P4)</f>
        <v>148686.12250305671</v>
      </c>
    </row>
    <row r="5" spans="1:17">
      <c r="A5" s="442" t="s">
        <v>149</v>
      </c>
      <c r="B5" s="443">
        <f ca="1">tertiair!B16</f>
        <v>13548.753994940664</v>
      </c>
      <c r="C5" s="443">
        <f ca="1">tertiair!C16</f>
        <v>0</v>
      </c>
      <c r="D5" s="443">
        <f ca="1">tertiair!D16</f>
        <v>20494.4737442396</v>
      </c>
      <c r="E5" s="443">
        <f>tertiair!E16</f>
        <v>178.28478397730041</v>
      </c>
      <c r="F5" s="443">
        <f ca="1">tertiair!F16</f>
        <v>2275.9638165050683</v>
      </c>
      <c r="G5" s="443">
        <f>tertiair!G16</f>
        <v>0</v>
      </c>
      <c r="H5" s="443">
        <f>tertiair!H16</f>
        <v>0</v>
      </c>
      <c r="I5" s="443">
        <f>tertiair!I16</f>
        <v>0</v>
      </c>
      <c r="J5" s="443">
        <f>tertiair!J16</f>
        <v>1.9829559308099279E-2</v>
      </c>
      <c r="K5" s="443">
        <f>tertiair!K16</f>
        <v>0</v>
      </c>
      <c r="L5" s="443">
        <f ca="1">tertiair!L16</f>
        <v>0</v>
      </c>
      <c r="M5" s="443">
        <f>tertiair!M16</f>
        <v>0</v>
      </c>
      <c r="N5" s="443">
        <f ca="1">tertiair!N16</f>
        <v>797.73527881169196</v>
      </c>
      <c r="O5" s="443">
        <f>tertiair!O16</f>
        <v>3.1266666666666669</v>
      </c>
      <c r="P5" s="444">
        <f>tertiair!P16</f>
        <v>19.066666666666666</v>
      </c>
      <c r="Q5" s="442">
        <f t="shared" ref="Q5:Q14" ca="1" si="0">SUM(B5:P5)</f>
        <v>37317.424781366964</v>
      </c>
    </row>
    <row r="6" spans="1:17">
      <c r="A6" s="442" t="s">
        <v>187</v>
      </c>
      <c r="B6" s="443">
        <f>'openbare verlichting'!B8</f>
        <v>1283.8779999999999</v>
      </c>
      <c r="C6" s="443"/>
      <c r="D6" s="443"/>
      <c r="E6" s="443"/>
      <c r="F6" s="443"/>
      <c r="G6" s="443"/>
      <c r="H6" s="443"/>
      <c r="I6" s="443"/>
      <c r="J6" s="443"/>
      <c r="K6" s="443"/>
      <c r="L6" s="443"/>
      <c r="M6" s="443"/>
      <c r="N6" s="443"/>
      <c r="O6" s="443"/>
      <c r="P6" s="444"/>
      <c r="Q6" s="442">
        <f t="shared" si="0"/>
        <v>1283.8779999999999</v>
      </c>
    </row>
    <row r="7" spans="1:17">
      <c r="A7" s="442" t="s">
        <v>105</v>
      </c>
      <c r="B7" s="443">
        <f>landbouw!B8</f>
        <v>4384.4507241110059</v>
      </c>
      <c r="C7" s="443">
        <f>landbouw!C8</f>
        <v>0</v>
      </c>
      <c r="D7" s="443">
        <f>landbouw!D8</f>
        <v>7551.3886778966335</v>
      </c>
      <c r="E7" s="443">
        <f>landbouw!E8</f>
        <v>128.87239843981916</v>
      </c>
      <c r="F7" s="443">
        <f>landbouw!F8</f>
        <v>18265.384793364872</v>
      </c>
      <c r="G7" s="443">
        <f>landbouw!G8</f>
        <v>0</v>
      </c>
      <c r="H7" s="443">
        <f>landbouw!H8</f>
        <v>0</v>
      </c>
      <c r="I7" s="443">
        <f>landbouw!I8</f>
        <v>0</v>
      </c>
      <c r="J7" s="443">
        <f>landbouw!J8</f>
        <v>635.21275276657821</v>
      </c>
      <c r="K7" s="443">
        <f>landbouw!K8</f>
        <v>0</v>
      </c>
      <c r="L7" s="443">
        <f>landbouw!L8</f>
        <v>0</v>
      </c>
      <c r="M7" s="443">
        <f>landbouw!M8</f>
        <v>0</v>
      </c>
      <c r="N7" s="443">
        <f>landbouw!N8</f>
        <v>0</v>
      </c>
      <c r="O7" s="443">
        <f>landbouw!O8</f>
        <v>0</v>
      </c>
      <c r="P7" s="444">
        <f>landbouw!P8</f>
        <v>0</v>
      </c>
      <c r="Q7" s="442">
        <f t="shared" si="0"/>
        <v>30965.30934657891</v>
      </c>
    </row>
    <row r="8" spans="1:17">
      <c r="A8" s="442" t="s">
        <v>621</v>
      </c>
      <c r="B8" s="443">
        <f>industrie!B18</f>
        <v>11332.512108204095</v>
      </c>
      <c r="C8" s="443">
        <f>industrie!C18</f>
        <v>0</v>
      </c>
      <c r="D8" s="443">
        <f>industrie!D18</f>
        <v>9619.9246822071436</v>
      </c>
      <c r="E8" s="443">
        <f>industrie!E18</f>
        <v>984.76583680539295</v>
      </c>
      <c r="F8" s="443">
        <f>industrie!F18</f>
        <v>3167.8524865753334</v>
      </c>
      <c r="G8" s="443">
        <f>industrie!G18</f>
        <v>0</v>
      </c>
      <c r="H8" s="443">
        <f>industrie!H18</f>
        <v>0</v>
      </c>
      <c r="I8" s="443">
        <f>industrie!I18</f>
        <v>0</v>
      </c>
      <c r="J8" s="443">
        <f>industrie!J18</f>
        <v>18.003807058188311</v>
      </c>
      <c r="K8" s="443">
        <f>industrie!K18</f>
        <v>0</v>
      </c>
      <c r="L8" s="443">
        <f>industrie!L18</f>
        <v>0</v>
      </c>
      <c r="M8" s="443">
        <f>industrie!M18</f>
        <v>0</v>
      </c>
      <c r="N8" s="443">
        <f>industrie!N18</f>
        <v>788.89427055800184</v>
      </c>
      <c r="O8" s="443">
        <f>industrie!O18</f>
        <v>0</v>
      </c>
      <c r="P8" s="444">
        <f>industrie!P18</f>
        <v>0</v>
      </c>
      <c r="Q8" s="442">
        <f t="shared" si="0"/>
        <v>25911.953191408149</v>
      </c>
    </row>
    <row r="9" spans="1:17" s="448" customFormat="1">
      <c r="A9" s="446" t="s">
        <v>547</v>
      </c>
      <c r="B9" s="447">
        <f>transport!B14</f>
        <v>71.332496182010317</v>
      </c>
      <c r="C9" s="447">
        <f>transport!C14</f>
        <v>0</v>
      </c>
      <c r="D9" s="447">
        <f>transport!D14</f>
        <v>108.07500511551768</v>
      </c>
      <c r="E9" s="447">
        <f>transport!E14</f>
        <v>208.42955481115627</v>
      </c>
      <c r="F9" s="447">
        <f>transport!F14</f>
        <v>0</v>
      </c>
      <c r="G9" s="447">
        <f>transport!G14</f>
        <v>102299.44146202173</v>
      </c>
      <c r="H9" s="447">
        <f>transport!H14</f>
        <v>17778.128497458856</v>
      </c>
      <c r="I9" s="447">
        <f>transport!I14</f>
        <v>0</v>
      </c>
      <c r="J9" s="447">
        <f>transport!J14</f>
        <v>0</v>
      </c>
      <c r="K9" s="447">
        <f>transport!K14</f>
        <v>0</v>
      </c>
      <c r="L9" s="447">
        <f>transport!L14</f>
        <v>0</v>
      </c>
      <c r="M9" s="447">
        <f>transport!M14</f>
        <v>6500.2757772423547</v>
      </c>
      <c r="N9" s="447">
        <f>transport!N14</f>
        <v>0</v>
      </c>
      <c r="O9" s="447">
        <f>transport!O14</f>
        <v>0</v>
      </c>
      <c r="P9" s="447">
        <f>transport!P14</f>
        <v>0</v>
      </c>
      <c r="Q9" s="446">
        <f>SUM(B9:P9)</f>
        <v>126965.68279283162</v>
      </c>
    </row>
    <row r="10" spans="1:17">
      <c r="A10" s="442" t="s">
        <v>537</v>
      </c>
      <c r="B10" s="443">
        <f>transport!B54</f>
        <v>2.9107727031306383</v>
      </c>
      <c r="C10" s="443">
        <f>transport!C54</f>
        <v>0</v>
      </c>
      <c r="D10" s="443">
        <f>transport!D54</f>
        <v>0</v>
      </c>
      <c r="E10" s="443">
        <f>transport!E54</f>
        <v>0</v>
      </c>
      <c r="F10" s="443">
        <f>transport!F54</f>
        <v>0</v>
      </c>
      <c r="G10" s="443">
        <f>transport!G54</f>
        <v>273.43820343152447</v>
      </c>
      <c r="H10" s="443">
        <f>transport!H54</f>
        <v>0</v>
      </c>
      <c r="I10" s="443">
        <f>transport!I54</f>
        <v>0</v>
      </c>
      <c r="J10" s="443">
        <f>transport!J54</f>
        <v>0</v>
      </c>
      <c r="K10" s="443">
        <f>transport!K54</f>
        <v>0</v>
      </c>
      <c r="L10" s="443">
        <f>transport!L54</f>
        <v>0</v>
      </c>
      <c r="M10" s="443">
        <f>transport!M54</f>
        <v>15.746485133033582</v>
      </c>
      <c r="N10" s="443">
        <f>transport!N54</f>
        <v>0</v>
      </c>
      <c r="O10" s="443">
        <f>transport!O54</f>
        <v>0</v>
      </c>
      <c r="P10" s="444">
        <f>transport!P54</f>
        <v>0</v>
      </c>
      <c r="Q10" s="442">
        <f t="shared" si="0"/>
        <v>292.09546126768868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751.16027980600199</v>
      </c>
      <c r="C14" s="450"/>
      <c r="D14" s="450">
        <f>'SEAP template'!E25</f>
        <v>2907.2486704305497</v>
      </c>
      <c r="E14" s="450"/>
      <c r="F14" s="450"/>
      <c r="G14" s="450"/>
      <c r="H14" s="450"/>
      <c r="I14" s="450"/>
      <c r="J14" s="450"/>
      <c r="K14" s="450"/>
      <c r="L14" s="450"/>
      <c r="M14" s="450"/>
      <c r="N14" s="450"/>
      <c r="O14" s="450"/>
      <c r="P14" s="451"/>
      <c r="Q14" s="442">
        <f t="shared" si="0"/>
        <v>3658.4089502365518</v>
      </c>
    </row>
    <row r="15" spans="1:17" s="452" customFormat="1">
      <c r="A15" s="997" t="s">
        <v>541</v>
      </c>
      <c r="B15" s="945">
        <f ca="1">SUM(B4:B14)</f>
        <v>60102.079085411329</v>
      </c>
      <c r="C15" s="945">
        <f t="shared" ref="C15:Q15" ca="1" si="1">SUM(C4:C14)</f>
        <v>0</v>
      </c>
      <c r="D15" s="945">
        <f t="shared" ca="1" si="1"/>
        <v>119515.70291416795</v>
      </c>
      <c r="E15" s="945">
        <f t="shared" si="1"/>
        <v>2626.6666034217287</v>
      </c>
      <c r="F15" s="945">
        <f t="shared" ca="1" si="1"/>
        <v>52244.949877070365</v>
      </c>
      <c r="G15" s="945">
        <f t="shared" si="1"/>
        <v>102572.87966545325</v>
      </c>
      <c r="H15" s="945">
        <f t="shared" si="1"/>
        <v>17778.128497458856</v>
      </c>
      <c r="I15" s="945">
        <f t="shared" si="1"/>
        <v>0</v>
      </c>
      <c r="J15" s="945">
        <f t="shared" si="1"/>
        <v>790.54721105647036</v>
      </c>
      <c r="K15" s="945">
        <f t="shared" si="1"/>
        <v>0</v>
      </c>
      <c r="L15" s="945">
        <f t="shared" ca="1" si="1"/>
        <v>0</v>
      </c>
      <c r="M15" s="945">
        <f t="shared" si="1"/>
        <v>6516.022262375388</v>
      </c>
      <c r="N15" s="945">
        <f t="shared" ca="1" si="1"/>
        <v>12385.258910331242</v>
      </c>
      <c r="O15" s="945">
        <f t="shared" si="1"/>
        <v>262.64000000000004</v>
      </c>
      <c r="P15" s="945">
        <f t="shared" si="1"/>
        <v>286</v>
      </c>
      <c r="Q15" s="945">
        <f t="shared" ca="1" si="1"/>
        <v>375080.87502674659</v>
      </c>
    </row>
    <row r="17" spans="1:17">
      <c r="A17" s="453" t="s">
        <v>542</v>
      </c>
      <c r="B17" s="752">
        <f ca="1">huishoudens!B10</f>
        <v>0.19468914803686543</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5592.8508689119008</v>
      </c>
      <c r="C22" s="443">
        <f t="shared" ref="C22:C32" ca="1" si="3">C4*$C$17</f>
        <v>0</v>
      </c>
      <c r="D22" s="443">
        <f t="shared" ref="D22:D32" si="4">D4*$D$17</f>
        <v>15924.587611124261</v>
      </c>
      <c r="E22" s="443">
        <f t="shared" ref="E22:E32" si="5">E4*$E$17</f>
        <v>255.67328467108965</v>
      </c>
      <c r="F22" s="443">
        <f t="shared" ref="F22:F32" si="6">F4*$F$17</f>
        <v>7619.0449244268993</v>
      </c>
      <c r="G22" s="443">
        <f t="shared" ref="G22:G32" si="7">G4*$G$17</f>
        <v>0</v>
      </c>
      <c r="H22" s="443">
        <f t="shared" ref="H22:H32" si="8">H4*$H$17</f>
        <v>0</v>
      </c>
      <c r="I22" s="443">
        <f t="shared" ref="I22:I32" si="9">I4*$I$17</f>
        <v>0</v>
      </c>
      <c r="J22" s="443">
        <f t="shared" ref="J22:J32" si="10">J4*$J$17</f>
        <v>48.60803087202811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29440.76472000618</v>
      </c>
    </row>
    <row r="23" spans="1:17">
      <c r="A23" s="442" t="s">
        <v>149</v>
      </c>
      <c r="B23" s="443">
        <f t="shared" ca="1" si="2"/>
        <v>2637.7953722360749</v>
      </c>
      <c r="C23" s="443">
        <f t="shared" ca="1" si="3"/>
        <v>0</v>
      </c>
      <c r="D23" s="443">
        <f t="shared" ca="1" si="4"/>
        <v>4139.8836963363992</v>
      </c>
      <c r="E23" s="443">
        <f t="shared" si="5"/>
        <v>40.470645962847193</v>
      </c>
      <c r="F23" s="443">
        <f t="shared" ca="1" si="6"/>
        <v>607.68233900685323</v>
      </c>
      <c r="G23" s="443">
        <f t="shared" si="7"/>
        <v>0</v>
      </c>
      <c r="H23" s="443">
        <f t="shared" si="8"/>
        <v>0</v>
      </c>
      <c r="I23" s="443">
        <f t="shared" si="9"/>
        <v>0</v>
      </c>
      <c r="J23" s="443">
        <f t="shared" si="10"/>
        <v>7.0196639950671439E-3</v>
      </c>
      <c r="K23" s="443">
        <f t="shared" si="11"/>
        <v>0</v>
      </c>
      <c r="L23" s="443">
        <f t="shared" ca="1" si="12"/>
        <v>0</v>
      </c>
      <c r="M23" s="443">
        <f t="shared" si="13"/>
        <v>0</v>
      </c>
      <c r="N23" s="443">
        <f t="shared" ca="1" si="14"/>
        <v>0</v>
      </c>
      <c r="O23" s="443">
        <f t="shared" si="15"/>
        <v>0</v>
      </c>
      <c r="P23" s="444">
        <f t="shared" si="16"/>
        <v>0</v>
      </c>
      <c r="Q23" s="442">
        <f t="shared" ref="Q23:Q32" ca="1" si="17">SUM(B23:P23)</f>
        <v>7425.8390732061689</v>
      </c>
    </row>
    <row r="24" spans="1:17">
      <c r="A24" s="442" t="s">
        <v>187</v>
      </c>
      <c r="B24" s="443">
        <f t="shared" ca="1" si="2"/>
        <v>249.95711400327471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249.95711400327471</v>
      </c>
    </row>
    <row r="25" spans="1:17">
      <c r="A25" s="442" t="s">
        <v>105</v>
      </c>
      <c r="B25" s="443">
        <f t="shared" ca="1" si="2"/>
        <v>853.60497608678952</v>
      </c>
      <c r="C25" s="443">
        <f t="shared" ca="1" si="3"/>
        <v>0</v>
      </c>
      <c r="D25" s="443">
        <f t="shared" si="4"/>
        <v>1525.3805129351201</v>
      </c>
      <c r="E25" s="443">
        <f t="shared" si="5"/>
        <v>29.254034445838951</v>
      </c>
      <c r="F25" s="443">
        <f t="shared" si="6"/>
        <v>4876.8577398284215</v>
      </c>
      <c r="G25" s="443">
        <f t="shared" si="7"/>
        <v>0</v>
      </c>
      <c r="H25" s="443">
        <f t="shared" si="8"/>
        <v>0</v>
      </c>
      <c r="I25" s="443">
        <f t="shared" si="9"/>
        <v>0</v>
      </c>
      <c r="J25" s="443">
        <f t="shared" si="10"/>
        <v>224.86531447936866</v>
      </c>
      <c r="K25" s="443">
        <f t="shared" si="11"/>
        <v>0</v>
      </c>
      <c r="L25" s="443">
        <f t="shared" si="12"/>
        <v>0</v>
      </c>
      <c r="M25" s="443">
        <f t="shared" si="13"/>
        <v>0</v>
      </c>
      <c r="N25" s="443">
        <f t="shared" si="14"/>
        <v>0</v>
      </c>
      <c r="O25" s="443">
        <f t="shared" si="15"/>
        <v>0</v>
      </c>
      <c r="P25" s="444">
        <f t="shared" si="16"/>
        <v>0</v>
      </c>
      <c r="Q25" s="442">
        <f t="shared" ca="1" si="17"/>
        <v>7509.9625777755382</v>
      </c>
    </row>
    <row r="26" spans="1:17">
      <c r="A26" s="442" t="s">
        <v>621</v>
      </c>
      <c r="B26" s="443">
        <f t="shared" ca="1" si="2"/>
        <v>2206.317127463717</v>
      </c>
      <c r="C26" s="443">
        <f t="shared" ca="1" si="3"/>
        <v>0</v>
      </c>
      <c r="D26" s="443">
        <f t="shared" si="4"/>
        <v>1943.2247858058431</v>
      </c>
      <c r="E26" s="443">
        <f t="shared" si="5"/>
        <v>223.5418449548242</v>
      </c>
      <c r="F26" s="443">
        <f t="shared" si="6"/>
        <v>845.81661391561408</v>
      </c>
      <c r="G26" s="443">
        <f t="shared" si="7"/>
        <v>0</v>
      </c>
      <c r="H26" s="443">
        <f t="shared" si="8"/>
        <v>0</v>
      </c>
      <c r="I26" s="443">
        <f t="shared" si="9"/>
        <v>0</v>
      </c>
      <c r="J26" s="443">
        <f t="shared" si="10"/>
        <v>6.3733476985986615</v>
      </c>
      <c r="K26" s="443">
        <f t="shared" si="11"/>
        <v>0</v>
      </c>
      <c r="L26" s="443">
        <f t="shared" si="12"/>
        <v>0</v>
      </c>
      <c r="M26" s="443">
        <f t="shared" si="13"/>
        <v>0</v>
      </c>
      <c r="N26" s="443">
        <f t="shared" si="14"/>
        <v>0</v>
      </c>
      <c r="O26" s="443">
        <f t="shared" si="15"/>
        <v>0</v>
      </c>
      <c r="P26" s="444">
        <f t="shared" si="16"/>
        <v>0</v>
      </c>
      <c r="Q26" s="442">
        <f t="shared" ca="1" si="17"/>
        <v>5225.2737198385976</v>
      </c>
    </row>
    <row r="27" spans="1:17" s="448" customFormat="1">
      <c r="A27" s="446" t="s">
        <v>547</v>
      </c>
      <c r="B27" s="746">
        <f t="shared" ca="1" si="2"/>
        <v>13.887662909018545</v>
      </c>
      <c r="C27" s="447">
        <f t="shared" ca="1" si="3"/>
        <v>0</v>
      </c>
      <c r="D27" s="447">
        <f t="shared" si="4"/>
        <v>21.831151033334574</v>
      </c>
      <c r="E27" s="447">
        <f t="shared" si="5"/>
        <v>47.313508942132472</v>
      </c>
      <c r="F27" s="447">
        <f t="shared" si="6"/>
        <v>0</v>
      </c>
      <c r="G27" s="447">
        <f t="shared" si="7"/>
        <v>27313.950870359804</v>
      </c>
      <c r="H27" s="447">
        <f t="shared" si="8"/>
        <v>4426.7539958672551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31823.737189111547</v>
      </c>
    </row>
    <row r="28" spans="1:17">
      <c r="A28" s="442" t="s">
        <v>537</v>
      </c>
      <c r="B28" s="443">
        <f t="shared" ca="1" si="2"/>
        <v>0.5666958577014678</v>
      </c>
      <c r="C28" s="443">
        <f t="shared" ca="1" si="3"/>
        <v>0</v>
      </c>
      <c r="D28" s="443">
        <f t="shared" si="4"/>
        <v>0</v>
      </c>
      <c r="E28" s="443">
        <f t="shared" si="5"/>
        <v>0</v>
      </c>
      <c r="F28" s="443">
        <f t="shared" si="6"/>
        <v>0</v>
      </c>
      <c r="G28" s="443">
        <f t="shared" si="7"/>
        <v>73.008000316217036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73.574696173918497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146.24275491456399</v>
      </c>
      <c r="C32" s="443">
        <f t="shared" ca="1" si="3"/>
        <v>0</v>
      </c>
      <c r="D32" s="443">
        <f t="shared" si="4"/>
        <v>587.26423142697104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733.50698634153503</v>
      </c>
    </row>
    <row r="33" spans="1:17" s="452" customFormat="1">
      <c r="A33" s="997" t="s">
        <v>541</v>
      </c>
      <c r="B33" s="945">
        <f ca="1">SUM(B22:B32)</f>
        <v>11701.222572383042</v>
      </c>
      <c r="C33" s="945">
        <f t="shared" ref="C33:Q33" ca="1" si="18">SUM(C22:C32)</f>
        <v>0</v>
      </c>
      <c r="D33" s="945">
        <f t="shared" ca="1" si="18"/>
        <v>24142.171988661932</v>
      </c>
      <c r="E33" s="945">
        <f t="shared" si="18"/>
        <v>596.25331897673243</v>
      </c>
      <c r="F33" s="945">
        <f t="shared" ca="1" si="18"/>
        <v>13949.401617177789</v>
      </c>
      <c r="G33" s="945">
        <f t="shared" si="18"/>
        <v>27386.958870676022</v>
      </c>
      <c r="H33" s="945">
        <f t="shared" si="18"/>
        <v>4426.7539958672551</v>
      </c>
      <c r="I33" s="945">
        <f t="shared" si="18"/>
        <v>0</v>
      </c>
      <c r="J33" s="945">
        <f t="shared" si="18"/>
        <v>279.85371271399049</v>
      </c>
      <c r="K33" s="945">
        <f t="shared" si="18"/>
        <v>0</v>
      </c>
      <c r="L33" s="945">
        <f t="shared" ca="1" si="18"/>
        <v>0</v>
      </c>
      <c r="M33" s="945">
        <f t="shared" si="18"/>
        <v>0</v>
      </c>
      <c r="N33" s="945">
        <f t="shared" ca="1" si="18"/>
        <v>0</v>
      </c>
      <c r="O33" s="945">
        <f t="shared" si="18"/>
        <v>0</v>
      </c>
      <c r="P33" s="945">
        <f t="shared" si="18"/>
        <v>0</v>
      </c>
      <c r="Q33" s="945">
        <f t="shared" ca="1" si="18"/>
        <v>82482.616076456761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7155.370613089879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7155.370613089879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0.19468914803686543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0.19468914803686543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0.19468914803686543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0.19468914803686543</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7733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3037.33</v>
      </c>
      <c r="C14" s="324"/>
      <c r="D14" s="324"/>
      <c r="E14" s="324"/>
      <c r="F14" s="324"/>
    </row>
    <row r="15" spans="1:6">
      <c r="A15" s="1289" t="s">
        <v>177</v>
      </c>
      <c r="B15" s="1290">
        <v>967</v>
      </c>
      <c r="C15" s="324"/>
      <c r="D15" s="324"/>
      <c r="E15" s="324"/>
      <c r="F15" s="324"/>
    </row>
    <row r="16" spans="1:6">
      <c r="A16" s="1289" t="s">
        <v>6</v>
      </c>
      <c r="B16" s="1290">
        <v>1337</v>
      </c>
      <c r="C16" s="324"/>
      <c r="D16" s="324"/>
      <c r="E16" s="324"/>
      <c r="F16" s="324"/>
    </row>
    <row r="17" spans="1:6">
      <c r="A17" s="1289" t="s">
        <v>7</v>
      </c>
      <c r="B17" s="1290">
        <v>1070</v>
      </c>
      <c r="C17" s="324"/>
      <c r="D17" s="324"/>
      <c r="E17" s="324"/>
      <c r="F17" s="324"/>
    </row>
    <row r="18" spans="1:6">
      <c r="A18" s="1289" t="s">
        <v>8</v>
      </c>
      <c r="B18" s="1290">
        <v>1525</v>
      </c>
      <c r="C18" s="324"/>
      <c r="D18" s="324"/>
      <c r="E18" s="324"/>
      <c r="F18" s="324"/>
    </row>
    <row r="19" spans="1:6">
      <c r="A19" s="1289" t="s">
        <v>9</v>
      </c>
      <c r="B19" s="1290">
        <v>1450</v>
      </c>
      <c r="C19" s="324"/>
      <c r="D19" s="324"/>
      <c r="E19" s="324"/>
      <c r="F19" s="324"/>
    </row>
    <row r="20" spans="1:6">
      <c r="A20" s="1289" t="s">
        <v>10</v>
      </c>
      <c r="B20" s="1290">
        <v>906</v>
      </c>
      <c r="C20" s="324"/>
      <c r="D20" s="324"/>
      <c r="E20" s="324"/>
      <c r="F20" s="324"/>
    </row>
    <row r="21" spans="1:6">
      <c r="A21" s="1289" t="s">
        <v>11</v>
      </c>
      <c r="B21" s="1290">
        <v>9500</v>
      </c>
      <c r="C21" s="324"/>
      <c r="D21" s="324"/>
      <c r="E21" s="324"/>
      <c r="F21" s="324"/>
    </row>
    <row r="22" spans="1:6">
      <c r="A22" s="1289" t="s">
        <v>12</v>
      </c>
      <c r="B22" s="1290">
        <v>23267</v>
      </c>
      <c r="C22" s="324"/>
      <c r="D22" s="324"/>
      <c r="E22" s="324"/>
      <c r="F22" s="324"/>
    </row>
    <row r="23" spans="1:6">
      <c r="A23" s="1289" t="s">
        <v>13</v>
      </c>
      <c r="B23" s="1290">
        <v>442</v>
      </c>
      <c r="C23" s="324"/>
      <c r="D23" s="324"/>
      <c r="E23" s="324"/>
      <c r="F23" s="324"/>
    </row>
    <row r="24" spans="1:6">
      <c r="A24" s="1289" t="s">
        <v>14</v>
      </c>
      <c r="B24" s="1290">
        <v>15</v>
      </c>
      <c r="C24" s="324"/>
      <c r="D24" s="324"/>
      <c r="E24" s="324"/>
      <c r="F24" s="324"/>
    </row>
    <row r="25" spans="1:6">
      <c r="A25" s="1289" t="s">
        <v>15</v>
      </c>
      <c r="B25" s="1290">
        <v>2192</v>
      </c>
      <c r="C25" s="324"/>
      <c r="D25" s="324"/>
      <c r="E25" s="324"/>
      <c r="F25" s="324"/>
    </row>
    <row r="26" spans="1:6">
      <c r="A26" s="1289" t="s">
        <v>16</v>
      </c>
      <c r="B26" s="1290">
        <v>171</v>
      </c>
      <c r="C26" s="324"/>
      <c r="D26" s="324"/>
      <c r="E26" s="324"/>
      <c r="F26" s="324"/>
    </row>
    <row r="27" spans="1:6">
      <c r="A27" s="1289" t="s">
        <v>17</v>
      </c>
      <c r="B27" s="1290">
        <v>4</v>
      </c>
      <c r="C27" s="324"/>
      <c r="D27" s="324"/>
      <c r="E27" s="324"/>
      <c r="F27" s="324"/>
    </row>
    <row r="28" spans="1:6">
      <c r="A28" s="1289" t="s">
        <v>18</v>
      </c>
      <c r="B28" s="1291">
        <v>362588</v>
      </c>
      <c r="C28" s="324"/>
      <c r="D28" s="324"/>
      <c r="E28" s="324"/>
      <c r="F28" s="324"/>
    </row>
    <row r="29" spans="1:6">
      <c r="A29" s="1289" t="s">
        <v>716</v>
      </c>
      <c r="B29" s="1291">
        <v>155</v>
      </c>
      <c r="C29" s="324"/>
      <c r="D29" s="324"/>
      <c r="E29" s="324"/>
      <c r="F29" s="324"/>
    </row>
    <row r="30" spans="1:6">
      <c r="A30" s="1284" t="s">
        <v>717</v>
      </c>
      <c r="B30" s="1292">
        <v>12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3</v>
      </c>
      <c r="F36" s="1290">
        <v>11103.967256657499</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86019.850173090002</v>
      </c>
    </row>
    <row r="39" spans="1:6">
      <c r="A39" s="1289" t="s">
        <v>29</v>
      </c>
      <c r="B39" s="1289" t="s">
        <v>30</v>
      </c>
      <c r="C39" s="1290">
        <v>6087</v>
      </c>
      <c r="D39" s="1290">
        <v>87399769.550197899</v>
      </c>
      <c r="E39" s="1290">
        <v>7505</v>
      </c>
      <c r="F39" s="1290">
        <v>25163103.914493501</v>
      </c>
    </row>
    <row r="40" spans="1:6">
      <c r="A40" s="1289" t="s">
        <v>29</v>
      </c>
      <c r="B40" s="1289" t="s">
        <v>28</v>
      </c>
      <c r="C40" s="1290">
        <v>0</v>
      </c>
      <c r="D40" s="1290">
        <v>0</v>
      </c>
      <c r="E40" s="1290">
        <v>0</v>
      </c>
      <c r="F40" s="1290">
        <v>0</v>
      </c>
    </row>
    <row r="41" spans="1:6">
      <c r="A41" s="1289" t="s">
        <v>31</v>
      </c>
      <c r="B41" s="1289" t="s">
        <v>32</v>
      </c>
      <c r="C41" s="1290">
        <v>63</v>
      </c>
      <c r="D41" s="1290">
        <v>1300689.3834645101</v>
      </c>
      <c r="E41" s="1290">
        <v>150</v>
      </c>
      <c r="F41" s="1290">
        <v>2381800.5605164398</v>
      </c>
    </row>
    <row r="42" spans="1:6">
      <c r="A42" s="1289" t="s">
        <v>31</v>
      </c>
      <c r="B42" s="1289" t="s">
        <v>33</v>
      </c>
      <c r="C42" s="1290">
        <v>0</v>
      </c>
      <c r="D42" s="1290">
        <v>0</v>
      </c>
      <c r="E42" s="1290">
        <v>3</v>
      </c>
      <c r="F42" s="1290">
        <v>43833.1897341078</v>
      </c>
    </row>
    <row r="43" spans="1:6">
      <c r="A43" s="1289" t="s">
        <v>31</v>
      </c>
      <c r="B43" s="1289" t="s">
        <v>34</v>
      </c>
      <c r="C43" s="1290">
        <v>0</v>
      </c>
      <c r="D43" s="1290">
        <v>0</v>
      </c>
      <c r="E43" s="1290">
        <v>0</v>
      </c>
      <c r="F43" s="1290">
        <v>0</v>
      </c>
    </row>
    <row r="44" spans="1:6">
      <c r="A44" s="1289" t="s">
        <v>31</v>
      </c>
      <c r="B44" s="1289" t="s">
        <v>35</v>
      </c>
      <c r="C44" s="1290">
        <v>3</v>
      </c>
      <c r="D44" s="1290">
        <v>20800.436654940801</v>
      </c>
      <c r="E44" s="1290">
        <v>17</v>
      </c>
      <c r="F44" s="1290">
        <v>356762.94052583701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28</v>
      </c>
      <c r="D48" s="1290">
        <v>8299776.1533790398</v>
      </c>
      <c r="E48" s="1290">
        <v>32</v>
      </c>
      <c r="F48" s="1290">
        <v>5029023.09726803</v>
      </c>
    </row>
    <row r="49" spans="1:6">
      <c r="A49" s="1289" t="s">
        <v>31</v>
      </c>
      <c r="B49" s="1289" t="s">
        <v>39</v>
      </c>
      <c r="C49" s="1290">
        <v>0</v>
      </c>
      <c r="D49" s="1290">
        <v>0</v>
      </c>
      <c r="E49" s="1290">
        <v>0</v>
      </c>
      <c r="F49" s="1290">
        <v>0</v>
      </c>
    </row>
    <row r="50" spans="1:6">
      <c r="A50" s="1289" t="s">
        <v>31</v>
      </c>
      <c r="B50" s="1289" t="s">
        <v>40</v>
      </c>
      <c r="C50" s="1290">
        <v>9</v>
      </c>
      <c r="D50" s="1290">
        <v>1043838.99568903</v>
      </c>
      <c r="E50" s="1290">
        <v>14</v>
      </c>
      <c r="F50" s="1290">
        <v>3521092.3201596802</v>
      </c>
    </row>
    <row r="51" spans="1:6">
      <c r="A51" s="1289" t="s">
        <v>41</v>
      </c>
      <c r="B51" s="1289" t="s">
        <v>42</v>
      </c>
      <c r="C51" s="1290">
        <v>5</v>
      </c>
      <c r="D51" s="1290">
        <v>351830.51304329699</v>
      </c>
      <c r="E51" s="1290">
        <v>123</v>
      </c>
      <c r="F51" s="1290">
        <v>3980667.8794086599</v>
      </c>
    </row>
    <row r="52" spans="1:6">
      <c r="A52" s="1289" t="s">
        <v>41</v>
      </c>
      <c r="B52" s="1289" t="s">
        <v>28</v>
      </c>
      <c r="C52" s="1290">
        <v>7</v>
      </c>
      <c r="D52" s="1290">
        <v>8019997.28950286</v>
      </c>
      <c r="E52" s="1290">
        <v>8</v>
      </c>
      <c r="F52" s="1290">
        <v>403782.84470234602</v>
      </c>
    </row>
    <row r="53" spans="1:6">
      <c r="A53" s="1289" t="s">
        <v>43</v>
      </c>
      <c r="B53" s="1289" t="s">
        <v>44</v>
      </c>
      <c r="C53" s="1290">
        <v>143</v>
      </c>
      <c r="D53" s="1290">
        <v>2907248.6704305499</v>
      </c>
      <c r="E53" s="1290">
        <v>217</v>
      </c>
      <c r="F53" s="1290">
        <v>751160.27980600204</v>
      </c>
    </row>
    <row r="54" spans="1:6">
      <c r="A54" s="1289" t="s">
        <v>45</v>
      </c>
      <c r="B54" s="1289" t="s">
        <v>46</v>
      </c>
      <c r="C54" s="1290">
        <v>0</v>
      </c>
      <c r="D54" s="1290">
        <v>0</v>
      </c>
      <c r="E54" s="1290">
        <v>1</v>
      </c>
      <c r="F54" s="1290">
        <v>1283878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42</v>
      </c>
      <c r="D57" s="1290">
        <v>1243310.90221423</v>
      </c>
      <c r="E57" s="1290">
        <v>70</v>
      </c>
      <c r="F57" s="1290">
        <v>488710.971361648</v>
      </c>
    </row>
    <row r="58" spans="1:6">
      <c r="A58" s="1289" t="s">
        <v>48</v>
      </c>
      <c r="B58" s="1289" t="s">
        <v>50</v>
      </c>
      <c r="C58" s="1290">
        <v>22</v>
      </c>
      <c r="D58" s="1290">
        <v>1166992.2434783799</v>
      </c>
      <c r="E58" s="1290">
        <v>26</v>
      </c>
      <c r="F58" s="1290">
        <v>290733.95648851403</v>
      </c>
    </row>
    <row r="59" spans="1:6">
      <c r="A59" s="1289" t="s">
        <v>48</v>
      </c>
      <c r="B59" s="1289" t="s">
        <v>51</v>
      </c>
      <c r="C59" s="1290">
        <v>93</v>
      </c>
      <c r="D59" s="1290">
        <v>3391915.52155898</v>
      </c>
      <c r="E59" s="1290">
        <v>167</v>
      </c>
      <c r="F59" s="1290">
        <v>2932474.2269290099</v>
      </c>
    </row>
    <row r="60" spans="1:6">
      <c r="A60" s="1289" t="s">
        <v>48</v>
      </c>
      <c r="B60" s="1289" t="s">
        <v>52</v>
      </c>
      <c r="C60" s="1290">
        <v>50</v>
      </c>
      <c r="D60" s="1290">
        <v>1970453.7430638301</v>
      </c>
      <c r="E60" s="1290">
        <v>67</v>
      </c>
      <c r="F60" s="1290">
        <v>1354229.8519901701</v>
      </c>
    </row>
    <row r="61" spans="1:6">
      <c r="A61" s="1289" t="s">
        <v>48</v>
      </c>
      <c r="B61" s="1289" t="s">
        <v>53</v>
      </c>
      <c r="C61" s="1290">
        <v>154</v>
      </c>
      <c r="D61" s="1290">
        <v>8427765.2145733293</v>
      </c>
      <c r="E61" s="1290">
        <v>331</v>
      </c>
      <c r="F61" s="1290">
        <v>4368634.31596574</v>
      </c>
    </row>
    <row r="62" spans="1:6">
      <c r="A62" s="1289" t="s">
        <v>48</v>
      </c>
      <c r="B62" s="1289" t="s">
        <v>54</v>
      </c>
      <c r="C62" s="1290">
        <v>14</v>
      </c>
      <c r="D62" s="1290">
        <v>1564280.3422312599</v>
      </c>
      <c r="E62" s="1290">
        <v>13</v>
      </c>
      <c r="F62" s="1290">
        <v>305808.90916359401</v>
      </c>
    </row>
    <row r="63" spans="1:6">
      <c r="A63" s="1289" t="s">
        <v>48</v>
      </c>
      <c r="B63" s="1289" t="s">
        <v>28</v>
      </c>
      <c r="C63" s="1290">
        <v>99</v>
      </c>
      <c r="D63" s="1290">
        <v>4956428.0907952897</v>
      </c>
      <c r="E63" s="1290">
        <v>114</v>
      </c>
      <c r="F63" s="1290">
        <v>3808161.7630419899</v>
      </c>
    </row>
    <row r="64" spans="1:6">
      <c r="A64" s="1289" t="s">
        <v>55</v>
      </c>
      <c r="B64" s="1289" t="s">
        <v>56</v>
      </c>
      <c r="C64" s="1290">
        <v>0</v>
      </c>
      <c r="D64" s="1290">
        <v>0</v>
      </c>
      <c r="E64" s="1290">
        <v>0</v>
      </c>
      <c r="F64" s="1290">
        <v>0</v>
      </c>
    </row>
    <row r="65" spans="1:6">
      <c r="A65" s="1289" t="s">
        <v>55</v>
      </c>
      <c r="B65" s="1289" t="s">
        <v>28</v>
      </c>
      <c r="C65" s="1290">
        <v>5</v>
      </c>
      <c r="D65" s="1290">
        <v>125671.42272338099</v>
      </c>
      <c r="E65" s="1290">
        <v>2</v>
      </c>
      <c r="F65" s="1290">
        <v>19690.287278585602</v>
      </c>
    </row>
    <row r="66" spans="1:6">
      <c r="A66" s="1289" t="s">
        <v>55</v>
      </c>
      <c r="B66" s="1289" t="s">
        <v>57</v>
      </c>
      <c r="C66" s="1290">
        <v>0</v>
      </c>
      <c r="D66" s="1290">
        <v>0</v>
      </c>
      <c r="E66" s="1290">
        <v>18</v>
      </c>
      <c r="F66" s="1290">
        <v>237230.70195190801</v>
      </c>
    </row>
    <row r="67" spans="1:6">
      <c r="A67" s="1289" t="s">
        <v>55</v>
      </c>
      <c r="B67" s="1289" t="s">
        <v>58</v>
      </c>
      <c r="C67" s="1290">
        <v>0</v>
      </c>
      <c r="D67" s="1290">
        <v>0</v>
      </c>
      <c r="E67" s="1290">
        <v>0</v>
      </c>
      <c r="F67" s="1290">
        <v>0</v>
      </c>
    </row>
    <row r="68" spans="1:6">
      <c r="A68" s="1284" t="s">
        <v>55</v>
      </c>
      <c r="B68" s="1284" t="s">
        <v>59</v>
      </c>
      <c r="C68" s="1292">
        <v>0</v>
      </c>
      <c r="D68" s="1292">
        <v>0</v>
      </c>
      <c r="E68" s="1292">
        <v>8</v>
      </c>
      <c r="F68" s="1292">
        <v>263764.69442977902</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59823633</v>
      </c>
      <c r="E73" s="441"/>
      <c r="F73" s="324"/>
    </row>
    <row r="74" spans="1:6">
      <c r="A74" s="1289" t="s">
        <v>63</v>
      </c>
      <c r="B74" s="1289" t="s">
        <v>642</v>
      </c>
      <c r="C74" s="1302" t="s">
        <v>644</v>
      </c>
      <c r="D74" s="1290">
        <v>8005694</v>
      </c>
      <c r="E74" s="441"/>
      <c r="F74" s="324"/>
    </row>
    <row r="75" spans="1:6">
      <c r="A75" s="1289" t="s">
        <v>64</v>
      </c>
      <c r="B75" s="1289" t="s">
        <v>641</v>
      </c>
      <c r="C75" s="1302" t="s">
        <v>645</v>
      </c>
      <c r="D75" s="1290">
        <v>6745527</v>
      </c>
      <c r="E75" s="441"/>
      <c r="F75" s="324"/>
    </row>
    <row r="76" spans="1:6">
      <c r="A76" s="1289" t="s">
        <v>64</v>
      </c>
      <c r="B76" s="1289" t="s">
        <v>642</v>
      </c>
      <c r="C76" s="1302" t="s">
        <v>646</v>
      </c>
      <c r="D76" s="1290">
        <v>173716</v>
      </c>
      <c r="E76" s="441"/>
      <c r="F76" s="324"/>
    </row>
    <row r="77" spans="1:6">
      <c r="A77" s="1289" t="s">
        <v>65</v>
      </c>
      <c r="B77" s="1289" t="s">
        <v>641</v>
      </c>
      <c r="C77" s="1302" t="s">
        <v>647</v>
      </c>
      <c r="D77" s="1290">
        <v>60575758</v>
      </c>
      <c r="E77" s="441"/>
      <c r="F77" s="324"/>
    </row>
    <row r="78" spans="1:6">
      <c r="A78" s="1284" t="s">
        <v>65</v>
      </c>
      <c r="B78" s="1284" t="s">
        <v>642</v>
      </c>
      <c r="C78" s="1284" t="s">
        <v>648</v>
      </c>
      <c r="D78" s="1292">
        <v>8848324</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79446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3563.9767949709235</v>
      </c>
      <c r="C91" s="324"/>
      <c r="D91" s="324"/>
      <c r="E91" s="324"/>
      <c r="F91" s="324"/>
    </row>
    <row r="92" spans="1:6">
      <c r="A92" s="1284" t="s">
        <v>68</v>
      </c>
      <c r="B92" s="1285">
        <v>3591.393818118956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4275</v>
      </c>
      <c r="C97" s="324"/>
      <c r="D97" s="324"/>
      <c r="E97" s="324"/>
      <c r="F97" s="324"/>
    </row>
    <row r="98" spans="1:6">
      <c r="A98" s="1289" t="s">
        <v>71</v>
      </c>
      <c r="B98" s="1290">
        <v>0</v>
      </c>
      <c r="C98" s="324"/>
      <c r="D98" s="324"/>
      <c r="E98" s="324"/>
      <c r="F98" s="324"/>
    </row>
    <row r="99" spans="1:6">
      <c r="A99" s="1289" t="s">
        <v>72</v>
      </c>
      <c r="B99" s="1290">
        <v>150</v>
      </c>
      <c r="C99" s="324"/>
      <c r="D99" s="324"/>
      <c r="E99" s="324"/>
      <c r="F99" s="324"/>
    </row>
    <row r="100" spans="1:6">
      <c r="A100" s="1289" t="s">
        <v>73</v>
      </c>
      <c r="B100" s="1290">
        <v>542</v>
      </c>
      <c r="C100" s="324"/>
      <c r="D100" s="324"/>
      <c r="E100" s="324"/>
      <c r="F100" s="324"/>
    </row>
    <row r="101" spans="1:6">
      <c r="A101" s="1289" t="s">
        <v>74</v>
      </c>
      <c r="B101" s="1290">
        <v>119</v>
      </c>
      <c r="C101" s="324"/>
      <c r="D101" s="324"/>
      <c r="E101" s="324"/>
      <c r="F101" s="324"/>
    </row>
    <row r="102" spans="1:6">
      <c r="A102" s="1289" t="s">
        <v>75</v>
      </c>
      <c r="B102" s="1290">
        <v>92</v>
      </c>
      <c r="C102" s="324"/>
      <c r="D102" s="324"/>
      <c r="E102" s="324"/>
      <c r="F102" s="324"/>
    </row>
    <row r="103" spans="1:6">
      <c r="A103" s="1289" t="s">
        <v>76</v>
      </c>
      <c r="B103" s="1290">
        <v>391</v>
      </c>
      <c r="C103" s="324"/>
      <c r="D103" s="324"/>
      <c r="E103" s="324"/>
      <c r="F103" s="324"/>
    </row>
    <row r="104" spans="1:6">
      <c r="A104" s="1289" t="s">
        <v>77</v>
      </c>
      <c r="B104" s="1290">
        <v>1284</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7</v>
      </c>
      <c r="C123" s="1290">
        <v>13</v>
      </c>
      <c r="D123" s="324"/>
      <c r="E123" s="324"/>
      <c r="F123" s="324"/>
    </row>
    <row r="124" spans="1:6">
      <c r="A124" s="1289" t="s">
        <v>88</v>
      </c>
      <c r="B124" s="1290">
        <v>1</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152</v>
      </c>
      <c r="C129" s="324"/>
      <c r="D129" s="324"/>
      <c r="E129" s="324"/>
      <c r="F129" s="324"/>
    </row>
    <row r="130" spans="1:6">
      <c r="A130" s="1289" t="s">
        <v>283</v>
      </c>
      <c r="B130" s="1290">
        <v>2</v>
      </c>
      <c r="C130" s="324"/>
      <c r="D130" s="324"/>
      <c r="E130" s="324"/>
      <c r="F130" s="324"/>
    </row>
    <row r="131" spans="1:6">
      <c r="A131" s="1289" t="s">
        <v>284</v>
      </c>
      <c r="B131" s="1290">
        <v>1</v>
      </c>
      <c r="C131" s="324"/>
      <c r="D131" s="324"/>
      <c r="E131" s="324"/>
      <c r="F131" s="324"/>
    </row>
    <row r="132" spans="1:6">
      <c r="A132" s="1284" t="s">
        <v>285</v>
      </c>
      <c r="B132" s="1285">
        <v>6</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60102.079085411329</v>
      </c>
      <c r="C3" s="43" t="s">
        <v>163</v>
      </c>
      <c r="D3" s="43"/>
      <c r="E3" s="154"/>
      <c r="F3" s="43"/>
      <c r="G3" s="43"/>
      <c r="H3" s="43"/>
      <c r="I3" s="43"/>
      <c r="J3" s="43"/>
      <c r="K3" s="96"/>
    </row>
    <row r="4" spans="1:11">
      <c r="A4" s="350" t="s">
        <v>164</v>
      </c>
      <c r="B4" s="49">
        <f>IF(ISERROR('SEAP template'!B78+'SEAP template'!C78),0,'SEAP template'!B78+'SEAP template'!C78)</f>
        <v>7155.370613089879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0.19468914803686543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1283.8779999999999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1283.8779999999999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0.19468914803686543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249.95711400327471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25163.103914493502</v>
      </c>
      <c r="C5" s="17">
        <f>IF(ISERROR('Eigen informatie GS &amp; warmtenet'!B57),0,'Eigen informatie GS &amp; warmtenet'!B57)</f>
        <v>0</v>
      </c>
      <c r="D5" s="30">
        <f>(SUM(HH_hh_gas_kWh,HH_rest_gas_kWh)/1000)*0.902</f>
        <v>78834.592134278515</v>
      </c>
      <c r="E5" s="17">
        <f>B32*B41</f>
        <v>1126.3140293880601</v>
      </c>
      <c r="F5" s="17">
        <f>B36*B45</f>
        <v>28535.74878062509</v>
      </c>
      <c r="G5" s="18"/>
      <c r="H5" s="17"/>
      <c r="I5" s="17"/>
      <c r="J5" s="17">
        <f>B35*B44+C35*C44</f>
        <v>137.3108216723958</v>
      </c>
      <c r="K5" s="17"/>
      <c r="L5" s="17"/>
      <c r="M5" s="17"/>
      <c r="N5" s="17">
        <f>B34*B43+C34*C43</f>
        <v>10798.62936096155</v>
      </c>
      <c r="O5" s="17">
        <f>B52*B53*B54</f>
        <v>259.51333333333338</v>
      </c>
      <c r="P5" s="17">
        <f>B60*B61*B62/1000-B60*B61*B62/1000/B63</f>
        <v>266.93333333333334</v>
      </c>
    </row>
    <row r="6" spans="1:16">
      <c r="A6" s="16" t="s">
        <v>607</v>
      </c>
      <c r="B6" s="754">
        <f>kWh_PV_kleiner_dan_10kW</f>
        <v>3563.9767949709235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28727.080709464426</v>
      </c>
      <c r="C8" s="21">
        <f>C5</f>
        <v>0</v>
      </c>
      <c r="D8" s="21">
        <f>D5</f>
        <v>78834.592134278515</v>
      </c>
      <c r="E8" s="21">
        <f>E5</f>
        <v>1126.3140293880601</v>
      </c>
      <c r="F8" s="21">
        <f>F5</f>
        <v>28535.74878062509</v>
      </c>
      <c r="G8" s="21"/>
      <c r="H8" s="21"/>
      <c r="I8" s="21"/>
      <c r="J8" s="21">
        <f>J5</f>
        <v>137.3108216723958</v>
      </c>
      <c r="K8" s="21"/>
      <c r="L8" s="21">
        <f>L5</f>
        <v>0</v>
      </c>
      <c r="M8" s="21">
        <f>M5</f>
        <v>0</v>
      </c>
      <c r="N8" s="21">
        <f>N5</f>
        <v>10798.62936096155</v>
      </c>
      <c r="O8" s="21">
        <f>O5</f>
        <v>259.51333333333338</v>
      </c>
      <c r="P8" s="21">
        <f>P5</f>
        <v>266.93333333333334</v>
      </c>
    </row>
    <row r="9" spans="1:16">
      <c r="B9" s="19"/>
      <c r="C9" s="19"/>
      <c r="D9" s="254"/>
      <c r="E9" s="19"/>
      <c r="F9" s="19"/>
      <c r="G9" s="19"/>
      <c r="H9" s="19"/>
      <c r="I9" s="19"/>
      <c r="J9" s="19"/>
      <c r="K9" s="19"/>
      <c r="L9" s="19"/>
      <c r="M9" s="19"/>
      <c r="N9" s="19"/>
      <c r="O9" s="19"/>
      <c r="P9" s="19"/>
    </row>
    <row r="10" spans="1:16">
      <c r="A10" s="24" t="s">
        <v>207</v>
      </c>
      <c r="B10" s="25">
        <f ca="1">'EF ele_warmte'!B12</f>
        <v>0.19468914803686543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5592.8508689119008</v>
      </c>
      <c r="C12" s="23">
        <f ca="1">C10*C8</f>
        <v>0</v>
      </c>
      <c r="D12" s="23">
        <f>D8*D10</f>
        <v>15924.587611124261</v>
      </c>
      <c r="E12" s="23">
        <f>E10*E8</f>
        <v>255.67328467108965</v>
      </c>
      <c r="F12" s="23">
        <f>F10*F8</f>
        <v>7619.0449244268993</v>
      </c>
      <c r="G12" s="23"/>
      <c r="H12" s="23"/>
      <c r="I12" s="23"/>
      <c r="J12" s="23">
        <f>J10*J8</f>
        <v>48.60803087202811</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7733</v>
      </c>
      <c r="C26" s="36"/>
      <c r="D26" s="225"/>
    </row>
    <row r="27" spans="1:5" s="15" customFormat="1">
      <c r="A27" s="227" t="s">
        <v>762</v>
      </c>
      <c r="B27" s="37">
        <f>SUM(HH_hh_gas_aantal,HH_rest_gas_aantal)</f>
        <v>6087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5782.65</v>
      </c>
      <c r="C31" s="34" t="s">
        <v>104</v>
      </c>
      <c r="D31" s="171"/>
    </row>
    <row r="32" spans="1:5">
      <c r="A32" s="168" t="s">
        <v>72</v>
      </c>
      <c r="B32" s="33">
        <f>IF((B21*($B$26-($B$27-0.05*$B$27)-$B$60))&lt;0,0,B21*($B$26-($B$27-0.05*$B$27)-$B$60))</f>
        <v>21.300807136620605</v>
      </c>
      <c r="C32" s="34" t="s">
        <v>104</v>
      </c>
      <c r="D32" s="171"/>
    </row>
    <row r="33" spans="1:6">
      <c r="A33" s="168" t="s">
        <v>73</v>
      </c>
      <c r="B33" s="33">
        <f>IF((B22*($B$26-($B$27-0.05*$B$27)-$B$60))&lt;0,0,B22*($B$26-($B$27-0.05*$B$27)-$B$60))</f>
        <v>442.86166813388752</v>
      </c>
      <c r="C33" s="34" t="s">
        <v>104</v>
      </c>
      <c r="D33" s="171"/>
    </row>
    <row r="34" spans="1:6">
      <c r="A34" s="168" t="s">
        <v>74</v>
      </c>
      <c r="B34" s="33">
        <f>IF((B24*($B$26-($B$27-0.05*$B$27)-$B$60))&lt;0,0,B24*($B$26-($B$27-0.05*$B$27)-$B$60))</f>
        <v>88.06944234884152</v>
      </c>
      <c r="C34" s="33">
        <f>B26*C24</f>
        <v>1582.9107046325389</v>
      </c>
      <c r="D34" s="230"/>
    </row>
    <row r="35" spans="1:6">
      <c r="A35" s="168" t="s">
        <v>76</v>
      </c>
      <c r="B35" s="33">
        <f>IF((B19*($B$26-($B$27-0.05*$B$27)-$B$60))&lt;0,0,B19*($B$26-($B$27-0.05*$B$27)-$B$60))</f>
        <v>16.12241412195727</v>
      </c>
      <c r="C35" s="33">
        <f>B35/2</f>
        <v>8.061207060978635</v>
      </c>
      <c r="D35" s="230"/>
    </row>
    <row r="36" spans="1:6">
      <c r="A36" s="168" t="s">
        <v>77</v>
      </c>
      <c r="B36" s="33">
        <f>IF((B18*($B$26-($B$27-0.05*$B$27)-$B$60))&lt;0,0,B18*($B$26-($B$27-0.05*$B$27)-$B$60))</f>
        <v>1367.9956682586935</v>
      </c>
      <c r="C36" s="34" t="s">
        <v>104</v>
      </c>
      <c r="D36" s="171"/>
    </row>
    <row r="37" spans="1:6">
      <c r="A37" s="168" t="s">
        <v>78</v>
      </c>
      <c r="B37" s="33">
        <f>B60</f>
        <v>14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166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13548.753994940664</v>
      </c>
      <c r="C5" s="17">
        <f>IF(ISERROR('Eigen informatie GS &amp; warmtenet'!B58),0,'Eigen informatie GS &amp; warmtenet'!B58)</f>
        <v>0</v>
      </c>
      <c r="D5" s="30">
        <f>SUM(D6:D12)</f>
        <v>20494.4737442396</v>
      </c>
      <c r="E5" s="17">
        <f>SUM(E6:E12)</f>
        <v>178.28478397730041</v>
      </c>
      <c r="F5" s="17">
        <f>SUM(F6:F12)</f>
        <v>2275.9638165050683</v>
      </c>
      <c r="G5" s="18"/>
      <c r="H5" s="17"/>
      <c r="I5" s="17"/>
      <c r="J5" s="17">
        <f>SUM(J6:J12)</f>
        <v>1.9829559308099279E-2</v>
      </c>
      <c r="K5" s="17"/>
      <c r="L5" s="17"/>
      <c r="M5" s="17"/>
      <c r="N5" s="17">
        <f>SUM(N6:N12)</f>
        <v>797.73527881169196</v>
      </c>
      <c r="O5" s="17">
        <f>B38*B39*B40</f>
        <v>3.1266666666666669</v>
      </c>
      <c r="P5" s="17">
        <f>B46*B47*B48/1000-B46*B47*B48/1000/B49</f>
        <v>19.066666666666666</v>
      </c>
      <c r="R5" s="32"/>
    </row>
    <row r="6" spans="1:18">
      <c r="A6" s="32" t="s">
        <v>53</v>
      </c>
      <c r="B6" s="37">
        <f>B26</f>
        <v>4368.6343159657399</v>
      </c>
      <c r="C6" s="33"/>
      <c r="D6" s="37">
        <f>IF(ISERROR(TER_kantoor_gas_kWh/1000),0,TER_kantoor_gas_kWh/1000)*0.902</f>
        <v>7601.8442235451439</v>
      </c>
      <c r="E6" s="33">
        <f>$C$26*'E Balans VL '!I12/100/3.6*1000000</f>
        <v>2.7381146907462826E-2</v>
      </c>
      <c r="F6" s="33">
        <f>$C$26*('E Balans VL '!L12+'E Balans VL '!N12)/100/3.6*1000000</f>
        <v>656.48366640446488</v>
      </c>
      <c r="G6" s="34"/>
      <c r="H6" s="33"/>
      <c r="I6" s="33"/>
      <c r="J6" s="33">
        <f>$C$26*('E Balans VL '!D12+'E Balans VL '!E12)/100/3.6*1000000</f>
        <v>0</v>
      </c>
      <c r="K6" s="33"/>
      <c r="L6" s="33"/>
      <c r="M6" s="33"/>
      <c r="N6" s="33">
        <f>$C$26*'E Balans VL '!Y12/100/3.6*1000000</f>
        <v>4.1779510021002739</v>
      </c>
      <c r="O6" s="33"/>
      <c r="P6" s="33"/>
      <c r="R6" s="32"/>
    </row>
    <row r="7" spans="1:18">
      <c r="A7" s="32" t="s">
        <v>52</v>
      </c>
      <c r="B7" s="37">
        <f t="shared" ref="B7:B12" si="0">B27</f>
        <v>1354.2298519901701</v>
      </c>
      <c r="C7" s="33"/>
      <c r="D7" s="37">
        <f>IF(ISERROR(TER_horeca_gas_kWh/1000),0,TER_horeca_gas_kWh/1000)*0.902</f>
        <v>1777.3492762435746</v>
      </c>
      <c r="E7" s="33">
        <f>$C$27*'E Balans VL '!I9/100/3.6*1000000</f>
        <v>19.392345908867092</v>
      </c>
      <c r="F7" s="33">
        <f>$C$27*('E Balans VL '!L9+'E Balans VL '!N9)/100/3.6*1000000</f>
        <v>171.49016348320188</v>
      </c>
      <c r="G7" s="34"/>
      <c r="H7" s="33"/>
      <c r="I7" s="33"/>
      <c r="J7" s="33">
        <f>$C$27*('E Balans VL '!D9+'E Balans VL '!E9)/100/3.6*1000000</f>
        <v>0</v>
      </c>
      <c r="K7" s="33"/>
      <c r="L7" s="33"/>
      <c r="M7" s="33"/>
      <c r="N7" s="33">
        <f>$C$27*'E Balans VL '!Y9/100/3.6*1000000</f>
        <v>0.38931122424195586</v>
      </c>
      <c r="O7" s="33"/>
      <c r="P7" s="33"/>
      <c r="R7" s="32"/>
    </row>
    <row r="8" spans="1:18">
      <c r="A8" s="6" t="s">
        <v>51</v>
      </c>
      <c r="B8" s="37">
        <f t="shared" si="0"/>
        <v>2932.47422692901</v>
      </c>
      <c r="C8" s="33"/>
      <c r="D8" s="37">
        <f>IF(ISERROR(TER_handel_gas_kWh/1000),0,TER_handel_gas_kWh/1000)*0.902</f>
        <v>3059.5078004461998</v>
      </c>
      <c r="E8" s="33">
        <f>$C$28*'E Balans VL '!I13/100/3.6*1000000</f>
        <v>106.36047859419453</v>
      </c>
      <c r="F8" s="33">
        <f>$C$28*('E Balans VL '!L13+'E Balans VL '!N13)/100/3.6*1000000</f>
        <v>564.82422929590905</v>
      </c>
      <c r="G8" s="34"/>
      <c r="H8" s="33"/>
      <c r="I8" s="33"/>
      <c r="J8" s="33">
        <f>$C$28*('E Balans VL '!D13+'E Balans VL '!E13)/100/3.6*1000000</f>
        <v>0</v>
      </c>
      <c r="K8" s="33"/>
      <c r="L8" s="33"/>
      <c r="M8" s="33"/>
      <c r="N8" s="33">
        <f>$C$28*'E Balans VL '!Y13/100/3.6*1000000</f>
        <v>4.0621515365241398</v>
      </c>
      <c r="O8" s="33"/>
      <c r="P8" s="33"/>
      <c r="R8" s="32"/>
    </row>
    <row r="9" spans="1:18">
      <c r="A9" s="32" t="s">
        <v>50</v>
      </c>
      <c r="B9" s="37">
        <f t="shared" si="0"/>
        <v>290.73395648851402</v>
      </c>
      <c r="C9" s="33"/>
      <c r="D9" s="37">
        <f>IF(ISERROR(TER_gezond_gas_kWh/1000),0,TER_gezond_gas_kWh/1000)*0.902</f>
        <v>1052.6270036174985</v>
      </c>
      <c r="E9" s="33">
        <f>$C$29*'E Balans VL '!I10/100/3.6*1000000</f>
        <v>1.8202816155419247E-2</v>
      </c>
      <c r="F9" s="33">
        <f>$C$29*('E Balans VL '!L10+'E Balans VL '!N10)/100/3.6*1000000</f>
        <v>43.189414436964228</v>
      </c>
      <c r="G9" s="34"/>
      <c r="H9" s="33"/>
      <c r="I9" s="33"/>
      <c r="J9" s="33">
        <f>$C$29*('E Balans VL '!D10+'E Balans VL '!E10)/100/3.6*1000000</f>
        <v>0</v>
      </c>
      <c r="K9" s="33"/>
      <c r="L9" s="33"/>
      <c r="M9" s="33"/>
      <c r="N9" s="33">
        <f>$C$29*'E Balans VL '!Y10/100/3.6*1000000</f>
        <v>4.4971008923931262</v>
      </c>
      <c r="O9" s="33"/>
      <c r="P9" s="33"/>
      <c r="R9" s="32"/>
    </row>
    <row r="10" spans="1:18">
      <c r="A10" s="32" t="s">
        <v>49</v>
      </c>
      <c r="B10" s="37">
        <f t="shared" si="0"/>
        <v>488.71097136164798</v>
      </c>
      <c r="C10" s="33"/>
      <c r="D10" s="37">
        <f>IF(ISERROR(TER_ander_gas_kWh/1000),0,TER_ander_gas_kWh/1000)*0.902</f>
        <v>1121.4664337972356</v>
      </c>
      <c r="E10" s="33">
        <f>$C$30*'E Balans VL '!I14/100/3.6*1000000</f>
        <v>0.58252601428379436</v>
      </c>
      <c r="F10" s="33">
        <f>$C$30*('E Balans VL '!L14+'E Balans VL '!N14)/100/3.6*1000000</f>
        <v>127.86851649153544</v>
      </c>
      <c r="G10" s="34"/>
      <c r="H10" s="33"/>
      <c r="I10" s="33"/>
      <c r="J10" s="33">
        <f>$C$30*('E Balans VL '!D14+'E Balans VL '!E14)/100/3.6*1000000</f>
        <v>1.0607999494149711E-2</v>
      </c>
      <c r="K10" s="33"/>
      <c r="L10" s="33"/>
      <c r="M10" s="33"/>
      <c r="N10" s="33">
        <f>$C$30*'E Balans VL '!Y14/100/3.6*1000000</f>
        <v>415.00139829117143</v>
      </c>
      <c r="O10" s="33"/>
      <c r="P10" s="33"/>
      <c r="R10" s="32"/>
    </row>
    <row r="11" spans="1:18">
      <c r="A11" s="32" t="s">
        <v>54</v>
      </c>
      <c r="B11" s="37">
        <f t="shared" si="0"/>
        <v>305.80890916359402</v>
      </c>
      <c r="C11" s="33"/>
      <c r="D11" s="37">
        <f>IF(ISERROR(TER_onderwijs_gas_kWh/1000),0,TER_onderwijs_gas_kWh/1000)*0.902</f>
        <v>1410.9808686925965</v>
      </c>
      <c r="E11" s="33">
        <f>$C$31*'E Balans VL '!I11/100/3.6*1000000</f>
        <v>4.614163887193798</v>
      </c>
      <c r="F11" s="33">
        <f>$C$31*('E Balans VL '!L11+'E Balans VL '!N11)/100/3.6*1000000</f>
        <v>53.582606328125841</v>
      </c>
      <c r="G11" s="34"/>
      <c r="H11" s="33"/>
      <c r="I11" s="33"/>
      <c r="J11" s="33">
        <f>$C$31*('E Balans VL '!D11+'E Balans VL '!E11)/100/3.6*1000000</f>
        <v>0</v>
      </c>
      <c r="K11" s="33"/>
      <c r="L11" s="33"/>
      <c r="M11" s="33"/>
      <c r="N11" s="33">
        <f>$C$31*'E Balans VL '!Y11/100/3.6*1000000</f>
        <v>0.86056951886497357</v>
      </c>
      <c r="O11" s="33"/>
      <c r="P11" s="33"/>
      <c r="R11" s="32"/>
    </row>
    <row r="12" spans="1:18">
      <c r="A12" s="32" t="s">
        <v>248</v>
      </c>
      <c r="B12" s="37">
        <f t="shared" si="0"/>
        <v>3808.1617630419901</v>
      </c>
      <c r="C12" s="33"/>
      <c r="D12" s="37">
        <f>IF(ISERROR(TER_rest_gas_kWh/1000),0,TER_rest_gas_kWh/1000)*0.902</f>
        <v>4470.6981378973514</v>
      </c>
      <c r="E12" s="33">
        <f>$C$32*'E Balans VL '!I8/100/3.6*1000000</f>
        <v>47.289685609698303</v>
      </c>
      <c r="F12" s="33">
        <f>$C$32*('E Balans VL '!L8+'E Balans VL '!N8)/100/3.6*1000000</f>
        <v>658.52522006486709</v>
      </c>
      <c r="G12" s="34"/>
      <c r="H12" s="33"/>
      <c r="I12" s="33"/>
      <c r="J12" s="33">
        <f>$C$32*('E Balans VL '!D8+'E Balans VL '!E8)/100/3.6*1000000</f>
        <v>9.2215598139495682E-3</v>
      </c>
      <c r="K12" s="33"/>
      <c r="L12" s="33"/>
      <c r="M12" s="33"/>
      <c r="N12" s="33">
        <f>$C$32*'E Balans VL '!Y8/100/3.6*1000000</f>
        <v>368.74679634639608</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13548.753994940664</v>
      </c>
      <c r="C16" s="21">
        <f t="shared" ca="1" si="1"/>
        <v>0</v>
      </c>
      <c r="D16" s="21">
        <f t="shared" ca="1" si="1"/>
        <v>20494.4737442396</v>
      </c>
      <c r="E16" s="21">
        <f t="shared" si="1"/>
        <v>178.28478397730041</v>
      </c>
      <c r="F16" s="21">
        <f t="shared" ca="1" si="1"/>
        <v>2275.9638165050683</v>
      </c>
      <c r="G16" s="21">
        <f t="shared" si="1"/>
        <v>0</v>
      </c>
      <c r="H16" s="21">
        <f t="shared" si="1"/>
        <v>0</v>
      </c>
      <c r="I16" s="21">
        <f t="shared" si="1"/>
        <v>0</v>
      </c>
      <c r="J16" s="21">
        <f t="shared" si="1"/>
        <v>1.9829559308099279E-2</v>
      </c>
      <c r="K16" s="21">
        <f t="shared" si="1"/>
        <v>0</v>
      </c>
      <c r="L16" s="21">
        <f t="shared" ca="1" si="1"/>
        <v>0</v>
      </c>
      <c r="M16" s="21">
        <f t="shared" si="1"/>
        <v>0</v>
      </c>
      <c r="N16" s="21">
        <f t="shared" ca="1" si="1"/>
        <v>797.73527881169196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0.19468914803686543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2637.7953722360749</v>
      </c>
      <c r="C20" s="23">
        <f t="shared" ref="C20:P20" ca="1" si="2">C16*C18</f>
        <v>0</v>
      </c>
      <c r="D20" s="23">
        <f t="shared" ca="1" si="2"/>
        <v>4139.8836963363992</v>
      </c>
      <c r="E20" s="23">
        <f t="shared" si="2"/>
        <v>40.470645962847193</v>
      </c>
      <c r="F20" s="23">
        <f t="shared" ca="1" si="2"/>
        <v>607.68233900685323</v>
      </c>
      <c r="G20" s="23">
        <f t="shared" si="2"/>
        <v>0</v>
      </c>
      <c r="H20" s="23">
        <f t="shared" si="2"/>
        <v>0</v>
      </c>
      <c r="I20" s="23">
        <f t="shared" si="2"/>
        <v>0</v>
      </c>
      <c r="J20" s="23">
        <f t="shared" si="2"/>
        <v>7.0196639950671439E-3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4368.6343159657399</v>
      </c>
      <c r="C26" s="39">
        <f>IF(ISERROR(B26*3.6/1000000/'E Balans VL '!Z12*100),0,B26*3.6/1000000/'E Balans VL '!Z12*100)</f>
        <v>9.2346008963757331E-2</v>
      </c>
      <c r="D26" s="233" t="s">
        <v>726</v>
      </c>
      <c r="F26" s="6"/>
    </row>
    <row r="27" spans="1:18">
      <c r="A27" s="228" t="s">
        <v>52</v>
      </c>
      <c r="B27" s="33">
        <f>IF(ISERROR(TER_horeca_ele_kWh/1000),0,TER_horeca_ele_kWh/1000)</f>
        <v>1354.2298519901701</v>
      </c>
      <c r="C27" s="39">
        <f>IF(ISERROR(B27*3.6/1000000/'E Balans VL '!Z9*100),0,B27*3.6/1000000/'E Balans VL '!Z9*100)</f>
        <v>0.106753434485151</v>
      </c>
      <c r="D27" s="233" t="s">
        <v>726</v>
      </c>
      <c r="F27" s="6"/>
    </row>
    <row r="28" spans="1:18">
      <c r="A28" s="168" t="s">
        <v>51</v>
      </c>
      <c r="B28" s="33">
        <f>IF(ISERROR(TER_handel_ele_kWh/1000),0,TER_handel_ele_kWh/1000)</f>
        <v>2932.47422692901</v>
      </c>
      <c r="C28" s="39">
        <f>IF(ISERROR(B28*3.6/1000000/'E Balans VL '!Z13*100),0,B28*3.6/1000000/'E Balans VL '!Z13*100)</f>
        <v>8.5112250589056068E-2</v>
      </c>
      <c r="D28" s="233" t="s">
        <v>726</v>
      </c>
      <c r="F28" s="6"/>
    </row>
    <row r="29" spans="1:18">
      <c r="A29" s="228" t="s">
        <v>50</v>
      </c>
      <c r="B29" s="33">
        <f>IF(ISERROR(TER_gezond_ele_kWh/1000),0,TER_gezond_ele_kWh/1000)</f>
        <v>290.73395648851402</v>
      </c>
      <c r="C29" s="39">
        <f>IF(ISERROR(B29*3.6/1000000/'E Balans VL '!Z10*100),0,B29*3.6/1000000/'E Balans VL '!Z10*100)</f>
        <v>3.0619059595820629E-2</v>
      </c>
      <c r="D29" s="233" t="s">
        <v>726</v>
      </c>
      <c r="F29" s="6"/>
    </row>
    <row r="30" spans="1:18">
      <c r="A30" s="228" t="s">
        <v>49</v>
      </c>
      <c r="B30" s="33">
        <f>IF(ISERROR(TER_ander_ele_kWh/1000),0,TER_ander_ele_kWh/1000)</f>
        <v>488.71097136164798</v>
      </c>
      <c r="C30" s="39">
        <f>IF(ISERROR(B30*3.6/1000000/'E Balans VL '!Z14*100),0,B30*3.6/1000000/'E Balans VL '!Z14*100)</f>
        <v>3.6047427395130123E-2</v>
      </c>
      <c r="D30" s="233" t="s">
        <v>726</v>
      </c>
      <c r="F30" s="6"/>
    </row>
    <row r="31" spans="1:18">
      <c r="A31" s="228" t="s">
        <v>54</v>
      </c>
      <c r="B31" s="33">
        <f>IF(ISERROR(TER_onderwijs_ele_kWh/1000),0,TER_onderwijs_ele_kWh/1000)</f>
        <v>305.80890916359402</v>
      </c>
      <c r="C31" s="39">
        <f>IF(ISERROR(B31*3.6/1000000/'E Balans VL '!Z11*100),0,B31*3.6/1000000/'E Balans VL '!Z11*100)</f>
        <v>7.594667707825041E-2</v>
      </c>
      <c r="D31" s="233" t="s">
        <v>726</v>
      </c>
    </row>
    <row r="32" spans="1:18">
      <c r="A32" s="228" t="s">
        <v>248</v>
      </c>
      <c r="B32" s="33">
        <f>IF(ISERROR(TER_rest_ele_kWh/1000),0,TER_rest_ele_kWh/1000)</f>
        <v>3808.1617630419901</v>
      </c>
      <c r="C32" s="39">
        <f>IF(ISERROR(B32*3.6/1000000/'E Balans VL '!Z8*100),0,B32*3.6/1000000/'E Balans VL '!Z8*100)</f>
        <v>3.1336116488931025E-2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11332.512108204095</v>
      </c>
      <c r="C5" s="17">
        <f>IF(ISERROR('Eigen informatie GS &amp; warmtenet'!B59),0,'Eigen informatie GS &amp; warmtenet'!B59)</f>
        <v>0</v>
      </c>
      <c r="D5" s="30">
        <f>SUM(D6:D15)</f>
        <v>9619.9246822071436</v>
      </c>
      <c r="E5" s="17">
        <f>SUM(E6:E15)</f>
        <v>984.76583680539295</v>
      </c>
      <c r="F5" s="17">
        <f>SUM(F6:F15)</f>
        <v>3167.8524865753334</v>
      </c>
      <c r="G5" s="18"/>
      <c r="H5" s="17"/>
      <c r="I5" s="17"/>
      <c r="J5" s="17">
        <f>SUM(J6:J15)</f>
        <v>18.003807058188311</v>
      </c>
      <c r="K5" s="17"/>
      <c r="L5" s="17"/>
      <c r="M5" s="17"/>
      <c r="N5" s="17">
        <f>SUM(N6:N15)</f>
        <v>788.89427055800184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356.762940525837</v>
      </c>
      <c r="C8" s="33"/>
      <c r="D8" s="37">
        <f>IF( ISERROR(IND_metaal_Gas_kWH/1000),0,IND_metaal_Gas_kWH/1000)*0.902</f>
        <v>18.761993862756601</v>
      </c>
      <c r="E8" s="33">
        <f>C30*'E Balans VL '!I18/100/3.6*1000000</f>
        <v>3.2800906732102892</v>
      </c>
      <c r="F8" s="33">
        <f>C30*'E Balans VL '!L18/100/3.6*1000000+C30*'E Balans VL '!N18/100/3.6*1000000</f>
        <v>33.452485980703926</v>
      </c>
      <c r="G8" s="34"/>
      <c r="H8" s="33"/>
      <c r="I8" s="33"/>
      <c r="J8" s="40">
        <f>C30*'E Balans VL '!D18/100/3.6*1000000+C30*'E Balans VL '!E18/100/3.6*1000000</f>
        <v>0</v>
      </c>
      <c r="K8" s="33"/>
      <c r="L8" s="33"/>
      <c r="M8" s="33"/>
      <c r="N8" s="33">
        <f>C30*'E Balans VL '!Y18/100/3.6*1000000</f>
        <v>5.0898129221879307</v>
      </c>
      <c r="O8" s="33"/>
      <c r="P8" s="33"/>
      <c r="R8" s="32"/>
    </row>
    <row r="9" spans="1:18">
      <c r="A9" s="6" t="s">
        <v>32</v>
      </c>
      <c r="B9" s="37">
        <f t="shared" si="0"/>
        <v>2381.8005605164399</v>
      </c>
      <c r="C9" s="33"/>
      <c r="D9" s="37">
        <f>IF( ISERROR(IND_andere_gas_kWh/1000),0,IND_andere_gas_kWh/1000)*0.902</f>
        <v>1173.221823884988</v>
      </c>
      <c r="E9" s="33">
        <f>C31*'E Balans VL '!I19/100/3.6*1000000</f>
        <v>696.24667202677244</v>
      </c>
      <c r="F9" s="33">
        <f>C31*'E Balans VL '!L19/100/3.6*1000000+C31*'E Balans VL '!N19/100/3.6*1000000</f>
        <v>1913.9570361116691</v>
      </c>
      <c r="G9" s="34"/>
      <c r="H9" s="33"/>
      <c r="I9" s="33"/>
      <c r="J9" s="40">
        <f>C31*'E Balans VL '!D19/100/3.6*1000000+C31*'E Balans VL '!E19/100/3.6*1000000</f>
        <v>0</v>
      </c>
      <c r="K9" s="33"/>
      <c r="L9" s="33"/>
      <c r="M9" s="33"/>
      <c r="N9" s="33">
        <f>C31*'E Balans VL '!Y19/100/3.6*1000000</f>
        <v>186.82520107953334</v>
      </c>
      <c r="O9" s="33"/>
      <c r="P9" s="33"/>
      <c r="R9" s="32"/>
    </row>
    <row r="10" spans="1:18">
      <c r="A10" s="6" t="s">
        <v>40</v>
      </c>
      <c r="B10" s="37">
        <f t="shared" si="0"/>
        <v>3521.0923201596802</v>
      </c>
      <c r="C10" s="33"/>
      <c r="D10" s="37">
        <f>IF( ISERROR(IND_voed_gas_kWh/1000),0,IND_voed_gas_kWh/1000)*0.902</f>
        <v>941.5427741115052</v>
      </c>
      <c r="E10" s="33">
        <f>C32*'E Balans VL '!I20/100/3.6*1000000</f>
        <v>7.4489253984808474</v>
      </c>
      <c r="F10" s="33">
        <f>C32*'E Balans VL '!L20/100/3.6*1000000+C32*'E Balans VL '!N20/100/3.6*1000000</f>
        <v>223.87464640608621</v>
      </c>
      <c r="G10" s="34"/>
      <c r="H10" s="33"/>
      <c r="I10" s="33"/>
      <c r="J10" s="40">
        <f>C32*'E Balans VL '!D20/100/3.6*1000000+C32*'E Balans VL '!E20/100/3.6*1000000</f>
        <v>0</v>
      </c>
      <c r="K10" s="33"/>
      <c r="L10" s="33"/>
      <c r="M10" s="33"/>
      <c r="N10" s="33">
        <f>C32*'E Balans VL '!Y20/100/3.6*1000000</f>
        <v>242.99011707906143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43.833189734107798</v>
      </c>
      <c r="C14" s="33"/>
      <c r="D14" s="37">
        <f>IF( ISERROR(IND_chemie_gas_kWh/1000),0,IND_chemie_gas_kWh/1000)*0.902</f>
        <v>0</v>
      </c>
      <c r="E14" s="33">
        <f>C36*'E Balans VL '!I24/100/3.6*1000000</f>
        <v>0.10790475409218961</v>
      </c>
      <c r="F14" s="33">
        <f>C36*'E Balans VL '!L24/100/3.6*1000000+C36*'E Balans VL '!N24/100/3.6*1000000</f>
        <v>0.46936373985737151</v>
      </c>
      <c r="G14" s="34"/>
      <c r="H14" s="33"/>
      <c r="I14" s="33"/>
      <c r="J14" s="40">
        <f>C36*'E Balans VL '!D24/100/3.6*1000000+C36*'E Balans VL '!E24/100/3.6*1000000</f>
        <v>0</v>
      </c>
      <c r="K14" s="33"/>
      <c r="L14" s="33"/>
      <c r="M14" s="33"/>
      <c r="N14" s="33">
        <f>C36*'E Balans VL '!Y24/100/3.6*1000000</f>
        <v>0.97890333000917107</v>
      </c>
      <c r="O14" s="33"/>
      <c r="P14" s="33"/>
      <c r="R14" s="32"/>
    </row>
    <row r="15" spans="1:18">
      <c r="A15" s="6" t="s">
        <v>258</v>
      </c>
      <c r="B15" s="37">
        <f t="shared" si="0"/>
        <v>5029.0230972680301</v>
      </c>
      <c r="C15" s="33"/>
      <c r="D15" s="37">
        <f>IF( ISERROR(IND_rest_gas_kWh/1000),0,IND_rest_gas_kWh/1000)*0.902</f>
        <v>7486.3980903478941</v>
      </c>
      <c r="E15" s="33">
        <f>C37*'E Balans VL '!I15/100/3.6*1000000</f>
        <v>277.68224395283721</v>
      </c>
      <c r="F15" s="33">
        <f>C37*'E Balans VL '!L15/100/3.6*1000000+C37*'E Balans VL '!N15/100/3.6*1000000</f>
        <v>996.09895433701695</v>
      </c>
      <c r="G15" s="34"/>
      <c r="H15" s="33"/>
      <c r="I15" s="33"/>
      <c r="J15" s="40">
        <f>C37*'E Balans VL '!D15/100/3.6*1000000+C37*'E Balans VL '!E15/100/3.6*1000000</f>
        <v>18.003807058188311</v>
      </c>
      <c r="K15" s="33"/>
      <c r="L15" s="33"/>
      <c r="M15" s="33"/>
      <c r="N15" s="33">
        <f>C37*'E Balans VL '!Y15/100/3.6*1000000</f>
        <v>353.01023614720998</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11332.512108204095</v>
      </c>
      <c r="C18" s="21">
        <f>C5+C16</f>
        <v>0</v>
      </c>
      <c r="D18" s="21">
        <f>MAX((D5+D16),0)</f>
        <v>9619.9246822071436</v>
      </c>
      <c r="E18" s="21">
        <f>MAX((E5+E16),0)</f>
        <v>984.76583680539295</v>
      </c>
      <c r="F18" s="21">
        <f>MAX((F5+F16),0)</f>
        <v>3167.8524865753334</v>
      </c>
      <c r="G18" s="21"/>
      <c r="H18" s="21"/>
      <c r="I18" s="21"/>
      <c r="J18" s="21">
        <f>MAX((J5+J16),0)</f>
        <v>18.003807058188311</v>
      </c>
      <c r="K18" s="21"/>
      <c r="L18" s="21">
        <f>MAX((L5+L16),0)</f>
        <v>0</v>
      </c>
      <c r="M18" s="21"/>
      <c r="N18" s="21">
        <f>MAX((N5+N16),0)</f>
        <v>788.89427055800184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0.19468914803686543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2206.317127463717</v>
      </c>
      <c r="C22" s="23">
        <f ca="1">C18*C20</f>
        <v>0</v>
      </c>
      <c r="D22" s="23">
        <f>D18*D20</f>
        <v>1943.2247858058431</v>
      </c>
      <c r="E22" s="23">
        <f>E18*E20</f>
        <v>223.5418449548242</v>
      </c>
      <c r="F22" s="23">
        <f>F18*F20</f>
        <v>845.81661391561408</v>
      </c>
      <c r="G22" s="23"/>
      <c r="H22" s="23"/>
      <c r="I22" s="23"/>
      <c r="J22" s="23">
        <f>J18*J20</f>
        <v>6.3733476985986615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356.762940525837</v>
      </c>
      <c r="C30" s="39">
        <f>IF(ISERROR(B30*3.6/1000000/'E Balans VL '!Z18*100),0,B30*3.6/1000000/'E Balans VL '!Z18*100)</f>
        <v>2.0218670639611042E-2</v>
      </c>
      <c r="D30" s="233" t="s">
        <v>726</v>
      </c>
    </row>
    <row r="31" spans="1:18">
      <c r="A31" s="6" t="s">
        <v>32</v>
      </c>
      <c r="B31" s="37">
        <f>IF( ISERROR(IND_ander_ele_kWh/1000),0,IND_ander_ele_kWh/1000)</f>
        <v>2381.8005605164399</v>
      </c>
      <c r="C31" s="39">
        <f>IF(ISERROR(B31*3.6/1000000/'E Balans VL '!Z19*100),0,B31*3.6/1000000/'E Balans VL '!Z19*100)</f>
        <v>0.1080285557801053</v>
      </c>
      <c r="D31" s="233" t="s">
        <v>726</v>
      </c>
    </row>
    <row r="32" spans="1:18">
      <c r="A32" s="168" t="s">
        <v>40</v>
      </c>
      <c r="B32" s="37">
        <f>IF( ISERROR(IND_voed_ele_kWh/1000),0,IND_voed_ele_kWh/1000)</f>
        <v>3521.0923201596802</v>
      </c>
      <c r="C32" s="39">
        <f>IF(ISERROR(B32*3.6/1000000/'E Balans VL '!Z20*100),0,B32*3.6/1000000/'E Balans VL '!Z20*100)</f>
        <v>0.10892336987202095</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43.833189734107798</v>
      </c>
      <c r="C36" s="39">
        <f>IF(ISERROR(B36*3.6/1000000/'E Balans VL '!Z24*100),0,B36*3.6/1000000/'E Balans VL '!Z24*100)</f>
        <v>1.336650377788952E-3</v>
      </c>
      <c r="D36" s="233" t="s">
        <v>726</v>
      </c>
    </row>
    <row r="37" spans="1:5">
      <c r="A37" s="168" t="s">
        <v>258</v>
      </c>
      <c r="B37" s="37">
        <f>IF( ISERROR(IND_rest_ele_kWh/1000),0,IND_rest_ele_kWh/1000)</f>
        <v>5029.0230972680301</v>
      </c>
      <c r="C37" s="39">
        <f>IF(ISERROR(B37*3.6/1000000/'E Balans VL '!Z15*100),0,B37*3.6/1000000/'E Balans VL '!Z15*100)</f>
        <v>3.9861184273601573E-2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4384.4507241110059</v>
      </c>
      <c r="C5" s="17">
        <f>'Eigen informatie GS &amp; warmtenet'!B60</f>
        <v>0</v>
      </c>
      <c r="D5" s="30">
        <f>IF(ISERROR(SUM(LB_lb_gas_kWh,LB_rest_gas_kWh)/1000),0,SUM(LB_lb_gas_kWh,LB_rest_gas_kWh)/1000)*0.902</f>
        <v>7551.3886778966335</v>
      </c>
      <c r="E5" s="17">
        <f>B17*'E Balans VL '!I25/3.6*1000000/100</f>
        <v>128.87239843981916</v>
      </c>
      <c r="F5" s="17">
        <f>B17*('E Balans VL '!L25/3.6*1000000+'E Balans VL '!N25/3.6*1000000)/100</f>
        <v>18265.384793364872</v>
      </c>
      <c r="G5" s="18"/>
      <c r="H5" s="17"/>
      <c r="I5" s="17"/>
      <c r="J5" s="17">
        <f>('E Balans VL '!D25+'E Balans VL '!E25)/3.6*1000000*landbouw!B17/100</f>
        <v>635.21275276657821</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4384.4507241110059</v>
      </c>
      <c r="C8" s="21">
        <f>C5+C6</f>
        <v>0</v>
      </c>
      <c r="D8" s="21">
        <f>MAX((D5+D6),0)</f>
        <v>7551.3886778966335</v>
      </c>
      <c r="E8" s="21">
        <f>MAX((E5+E6),0)</f>
        <v>128.87239843981916</v>
      </c>
      <c r="F8" s="21">
        <f>MAX((F5+F6),0)</f>
        <v>18265.384793364872</v>
      </c>
      <c r="G8" s="21"/>
      <c r="H8" s="21"/>
      <c r="I8" s="21"/>
      <c r="J8" s="21">
        <f>MAX((J5+J6),0)</f>
        <v>635.21275276657821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0.19468914803686543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853.60497608678952</v>
      </c>
      <c r="C12" s="23">
        <f ca="1">C8*C10</f>
        <v>0</v>
      </c>
      <c r="D12" s="23">
        <f>D8*D10</f>
        <v>1525.3805129351201</v>
      </c>
      <c r="E12" s="23">
        <f>E8*E10</f>
        <v>29.254034445838951</v>
      </c>
      <c r="F12" s="23">
        <f>F8*F10</f>
        <v>4876.8577398284215</v>
      </c>
      <c r="G12" s="23"/>
      <c r="H12" s="23"/>
      <c r="I12" s="23"/>
      <c r="J12" s="23">
        <f>J8*J10</f>
        <v>224.86531447936866</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0.62216731354598975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462.90466611321671</v>
      </c>
      <c r="C26" s="243">
        <f>B26*'GWP N2O_CH4'!B5</f>
        <v>9720.9979883775504</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227.3304339090428</v>
      </c>
      <c r="C27" s="243">
        <f>B27*'GWP N2O_CH4'!B5</f>
        <v>4773.939112089899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7.9341497676094228</v>
      </c>
      <c r="C28" s="243">
        <f>B28*'GWP N2O_CH4'!B4</f>
        <v>2459.5864279589209</v>
      </c>
      <c r="D28" s="50"/>
    </row>
    <row r="29" spans="1:4">
      <c r="A29" s="41" t="s">
        <v>265</v>
      </c>
      <c r="B29" s="243">
        <f>B34*'ha_N2O bodem landbouw'!B4</f>
        <v>19.76159910863052</v>
      </c>
      <c r="C29" s="243">
        <f>B29*'GWP N2O_CH4'!B4</f>
        <v>6126.0957236754612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4.5095288150893195E-3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2.5679698625523715E-4</v>
      </c>
      <c r="C5" s="429" t="s">
        <v>204</v>
      </c>
      <c r="D5" s="414">
        <f>SUM(D6:D11)</f>
        <v>3.8907001841586371E-4</v>
      </c>
      <c r="E5" s="414">
        <f>SUM(E6:E11)</f>
        <v>7.5034639732016249E-4</v>
      </c>
      <c r="F5" s="427" t="s">
        <v>204</v>
      </c>
      <c r="G5" s="414">
        <f>SUM(G6:G11)</f>
        <v>0.36827798926327826</v>
      </c>
      <c r="H5" s="414">
        <f>SUM(H6:H11)</f>
        <v>6.4001262590851885E-2</v>
      </c>
      <c r="I5" s="429" t="s">
        <v>204</v>
      </c>
      <c r="J5" s="429" t="s">
        <v>204</v>
      </c>
      <c r="K5" s="429" t="s">
        <v>204</v>
      </c>
      <c r="L5" s="429" t="s">
        <v>204</v>
      </c>
      <c r="M5" s="414">
        <f>SUM(M6:M11)</f>
        <v>2.3400992798072475E-2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1.049334121896498E-4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1.7641151835848991E-4</v>
      </c>
      <c r="E6" s="857">
        <f>vkm_GW_PW*SUMIFS(TableVerdeelsleutelVkm[LPG],TableVerdeelsleutelVkm[Voertuigtype],"Lichte voertuigen")*SUMIFS(TableECFTransport[EnergieConsumptieFactor (PJ per km)],TableECFTransport[Index],CONCATENATE($A6,"_LPG_LPG"))</f>
        <v>3.1039757783388926E-4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9.2094062633976889E-2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2.850168049629152E-2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6.2197491438838815E-3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2.3415488278996982E-6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7.5211528530999758E-2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1.2271202160577057E-6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4.3942744596951189E-3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1.5646890539311509E-5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3.3729024188006214E-5</v>
      </c>
      <c r="E8" s="417">
        <f>vkm_NGW_PW*SUMIFS(TableVerdeelsleutelVkm[LPG],TableVerdeelsleutelVkm[Voertuigtype],"Lichte voertuigen")*SUMIFS(TableECFTransport[EnergieConsumptieFactor (PJ per km)],TableECFTransport[Index],CONCATENATE($A8,"_LPG_LPG"))</f>
        <v>5.6829591238895706E-5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1.5679812913261208E-2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5.3373398516323878E-3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1.0732362514961256E-3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5.080939843409253E-8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2.0939886148073385E-3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3.2139890419132595E-8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1.2234236406393758E-4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1.3123631947670211E-4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1.7892947586936763E-4</v>
      </c>
      <c r="E10" s="417">
        <f>vkm_SW_PW*SUMIFS(TableVerdeelsleutelVkm[LPG],TableVerdeelsleutelVkm[Voertuigtype],"Lichte voertuigen")*SUMIFS(TableECFTransport[EnergieConsumptieFactor (PJ per km)],TableECFTransport[Index],CONCATENATE($A10,"_LPG_LPG"))</f>
        <v>3.831192282473775E-4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0.1040207094039627</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3.0159587001584869E-2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6.9653763924736704E-3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2.5880058232399052E-6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7.9177887166270403E-2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1.3959812366337494E-6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4.6260141864597404E-3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71.332496182010317</v>
      </c>
      <c r="C14" s="21"/>
      <c r="D14" s="21">
        <f t="shared" ref="D14:M14" si="0">((D5)*10^9/3600)+D12</f>
        <v>108.07500511551768</v>
      </c>
      <c r="E14" s="21">
        <f t="shared" si="0"/>
        <v>208.42955481115627</v>
      </c>
      <c r="F14" s="21"/>
      <c r="G14" s="21">
        <f t="shared" si="0"/>
        <v>102299.44146202173</v>
      </c>
      <c r="H14" s="21">
        <f t="shared" si="0"/>
        <v>17778.128497458856</v>
      </c>
      <c r="I14" s="21"/>
      <c r="J14" s="21"/>
      <c r="K14" s="21"/>
      <c r="L14" s="21"/>
      <c r="M14" s="21">
        <f t="shared" si="0"/>
        <v>6500.2757772423547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0.19468914803686543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13.887662909018545</v>
      </c>
      <c r="C18" s="23"/>
      <c r="D18" s="23">
        <f t="shared" ref="D18:M18" si="1">D14*D16</f>
        <v>21.831151033334574</v>
      </c>
      <c r="E18" s="23">
        <f t="shared" si="1"/>
        <v>47.313508942132472</v>
      </c>
      <c r="F18" s="23"/>
      <c r="G18" s="23">
        <f t="shared" si="1"/>
        <v>27313.950870359804</v>
      </c>
      <c r="H18" s="23">
        <f t="shared" si="1"/>
        <v>4426.7539958672551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1.0478781731270298E-5</v>
      </c>
      <c r="C50" s="313">
        <f t="shared" ref="C50:P50" si="2">SUM(C51:C52)</f>
        <v>0</v>
      </c>
      <c r="D50" s="313">
        <f t="shared" si="2"/>
        <v>0</v>
      </c>
      <c r="E50" s="313">
        <f t="shared" si="2"/>
        <v>0</v>
      </c>
      <c r="F50" s="313">
        <f t="shared" si="2"/>
        <v>0</v>
      </c>
      <c r="G50" s="313">
        <f t="shared" si="2"/>
        <v>9.8437753235348815E-4</v>
      </c>
      <c r="H50" s="313">
        <f t="shared" si="2"/>
        <v>0</v>
      </c>
      <c r="I50" s="313">
        <f t="shared" si="2"/>
        <v>0</v>
      </c>
      <c r="J50" s="313">
        <f t="shared" si="2"/>
        <v>0</v>
      </c>
      <c r="K50" s="313">
        <f t="shared" si="2"/>
        <v>0</v>
      </c>
      <c r="L50" s="313">
        <f t="shared" si="2"/>
        <v>0</v>
      </c>
      <c r="M50" s="313">
        <f t="shared" si="2"/>
        <v>5.6687346478920893E-5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1.0478781731270298E-5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9.8437753235348815E-4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5.6687346478920893E-5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2.9107727031306383</v>
      </c>
      <c r="C54" s="21">
        <f t="shared" ref="C54:P54" si="3">(C50)*10^9/3600</f>
        <v>0</v>
      </c>
      <c r="D54" s="21">
        <f t="shared" si="3"/>
        <v>0</v>
      </c>
      <c r="E54" s="21">
        <f t="shared" si="3"/>
        <v>0</v>
      </c>
      <c r="F54" s="21">
        <f t="shared" si="3"/>
        <v>0</v>
      </c>
      <c r="G54" s="21">
        <f t="shared" si="3"/>
        <v>273.43820343152447</v>
      </c>
      <c r="H54" s="21">
        <f t="shared" si="3"/>
        <v>0</v>
      </c>
      <c r="I54" s="21">
        <f t="shared" si="3"/>
        <v>0</v>
      </c>
      <c r="J54" s="21">
        <f t="shared" si="3"/>
        <v>0</v>
      </c>
      <c r="K54" s="21">
        <f t="shared" si="3"/>
        <v>0</v>
      </c>
      <c r="L54" s="21">
        <f t="shared" si="3"/>
        <v>0</v>
      </c>
      <c r="M54" s="21">
        <f t="shared" si="3"/>
        <v>15.746485133033582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0.19468914803686543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0.5666958577014678</v>
      </c>
      <c r="C58" s="23">
        <f t="shared" ref="C58:P58" ca="1" si="4">C54*C56</f>
        <v>0</v>
      </c>
      <c r="D58" s="23">
        <f t="shared" si="4"/>
        <v>0</v>
      </c>
      <c r="E58" s="23">
        <f t="shared" si="4"/>
        <v>0</v>
      </c>
      <c r="F58" s="23">
        <f t="shared" si="4"/>
        <v>0</v>
      </c>
      <c r="G58" s="23">
        <f t="shared" si="4"/>
        <v>73.008000316217036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7155.370613089879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7155.370613089879</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2021-11-11T12:49:02Z</dcterms:modified>
</cp:coreProperties>
</file>