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2A901D45-F768-4D8C-8B56-1DCB9B747A7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E49" i="18" s="1"/>
  <c r="E17"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9" i="18" l="1"/>
  <c r="I8" i="18"/>
  <c r="I76" i="14" s="1"/>
  <c r="I8" i="61" s="1"/>
  <c r="I10" i="61" s="1"/>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8" i="22" s="1"/>
  <c r="A4" i="23"/>
  <c r="A7" i="23"/>
  <c r="D6" i="22" s="1"/>
  <c r="A8" i="23"/>
  <c r="B52" i="22" s="1"/>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<sst xmlns="http://schemas.openxmlformats.org/spreadsheetml/2006/main" count="2464" uniqueCount="896">
  <si>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</si>
  <si>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</si>
  <si>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</si>
  <si>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</si>
  <si>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</si>
  <si>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</si>
  <si>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</si>
  <si>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</si>
  <si>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</si>
  <si>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</si>
  <si>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</si>
  <si>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</si>
  <si>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</si>
  <si>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</si>
  <si>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</si>
  <si>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</si>
  <si>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</si>
  <si>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</si>
  <si>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</si>
  <si>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</si>
  <si>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</si>
  <si>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</si>
  <si>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</si>
  <si>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</si>
  <si>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</si>
  <si>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</si>
  <si>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</si>
  <si>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</si>
  <si>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</si>
  <si>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</si>
  <si>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</si>
  <si>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</si>
  <si>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</si>
  <si>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</si>
  <si>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</si>
  <si>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</si>
  <si>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</si>
  <si>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</si>
  <si>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</si>
  <si>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</si>
  <si>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</si>
  <si>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</si>
  <si>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</si>
  <si>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</si>
  <si>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</si>
  <si>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</si>
  <si>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</si>
  <si>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</si>
  <si>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</si>
  <si>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</si>
  <si>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</si>
  <si>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</si>
  <si>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</si>
  <si>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</si>
  <si>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</si>
  <si>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</si>
  <si>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</si>
  <si>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</si>
  <si>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</si>
  <si>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</si>
  <si>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</si>
  <si>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</si>
  <si>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</si>
  <si>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</si>
  <si>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</si>
  <si>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</si>
  <si>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</si>
  <si>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</si>
  <si>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</si>
  <si>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</si>
  <si>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</si>
  <si>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</si>
  <si>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</si>
  <si>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</si>
  <si>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</si>
  <si>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</si>
  <si>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</si>
  <si>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</si>
  <si>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</si>
  <si>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</si>
  <si>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</si>
  <si>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</si>
  <si>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</si>
  <si>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</si>
  <si>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</si>
  <si>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</si>
  <si>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</si>
  <si>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</si>
  <si>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</si>
  <si>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</si>
  <si>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</si>
  <si>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</si>
  <si>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</si>
  <si>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</si>
  <si>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</si>
  <si>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</si>
  <si>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</si>
  <si>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</si>
  <si>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</si>
  <si>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</si>
  <si>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</si>
  <si>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</si>
  <si>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</si>
  <si>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</si>
  <si>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</si>
  <si>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</si>
  <si>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</si>
  <si>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</si>
  <si>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</si>
  <si>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</si>
  <si>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</si>
  <si>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</si>
  <si>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</si>
  <si>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</si>
  <si>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</si>
  <si>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</si>
  <si>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</si>
  <si>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</si>
  <si>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</si>
  <si>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</si>
  <si>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</si>
  <si>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</si>
  <si>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</si>
  <si>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</si>
  <si>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</si>
  <si>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</si>
  <si>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</si>
  <si>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</si>
  <si>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</si>
  <si>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</si>
  <si>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</si>
  <si>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</si>
  <si>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</si>
  <si>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</si>
  <si>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</si>
  <si>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</si>
  <si>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</si>
  <si>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</si>
  <si>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</si>
  <si>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</si>
  <si>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</si>
  <si>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</si>
  <si>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</si>
  <si>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</si>
  <si>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</si>
  <si>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</si>
  <si>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</si>
  <si>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</si>
  <si>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</si>
  <si>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</si>
  <si>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</si>
  <si>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</si>
  <si>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</si>
  <si>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</si>
  <si>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</si>
  <si>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</si>
  <si>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</si>
  <si>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</si>
  <si>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</si>
  <si>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</si>
  <si>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</si>
  <si>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</si>
  <si>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</si>
  <si>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</si>
  <si>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</si>
  <si>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</si>
  <si>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</si>
  <si>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</si>
  <si>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</si>
  <si>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</si>
  <si>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</si>
  <si>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</si>
  <si>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</si>
  <si>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</si>
  <si>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</si>
  <si>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</si>
  <si>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</si>
  <si>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</si>
  <si>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</si>
  <si>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</si>
  <si>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</si>
  <si>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</si>
  <si>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</si>
  <si>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</si>
  <si>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</si>
  <si>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</si>
  <si>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</si>
  <si>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</si>
  <si>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</si>
  <si>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</si>
  <si>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</si>
  <si>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</si>
  <si>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</si>
  <si>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</si>
  <si>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</si>
  <si>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</si>
  <si>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</si>
  <si>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</si>
  <si>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</si>
  <si>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</si>
  <si>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</si>
  <si>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</si>
  <si>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</si>
  <si>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</si>
  <si>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</si>
  <si>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</si>
  <si>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</si>
  <si>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</si>
  <si>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</si>
  <si>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</si>
  <si>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</si>
  <si>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</si>
  <si>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</si>
  <si>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</si>
  <si>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</si>
  <si>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</si>
  <si>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</si>
  <si>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</si>
  <si>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</si>
  <si>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</si>
  <si>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</si>
  <si>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</si>
  <si>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</si>
  <si>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</si>
  <si>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</si>
  <si>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</si>
  <si>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</si>
  <si>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</si>
  <si>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</si>
  <si>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</si>
  <si>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</si>
  <si>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</si>
  <si>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</si>
  <si>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</si>
  <si>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</si>
  <si>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</si>
  <si>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</si>
  <si>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</si>
  <si>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</si>
  <si>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</si>
  <si>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</si>
  <si>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</si>
  <si>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</si>
  <si>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</si>
  <si>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</si>
  <si>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</si>
  <si>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</si>
  <si>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</si>
  <si>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</si>
  <si>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</si>
  <si>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</si>
  <si>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</si>
  <si>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</si>
  <si>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</si>
  <si>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</si>
  <si>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</si>
  <si>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</si>
  <si>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</si>
  <si>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</si>
  <si>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</si>
  <si>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</si>
  <si>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</si>
  <si>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</si>
  <si>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</si>
  <si>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</si>
  <si>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</si>
  <si>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</si>
  <si>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</si>
  <si>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</si>
  <si>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</si>
  <si>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</si>
  <si>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</si>
  <si>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</si>
  <si>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</si>
  <si>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</si>
  <si>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</si>
  <si>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</si>
  <si>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</si>
  <si>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</si>
  <si>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</si>
  <si>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</si>
  <si>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</si>
  <si>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</si>
  <si>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</si>
  <si>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</si>
  <si>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</si>
  <si>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</si>
  <si>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</si>
  <si>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</si>
  <si>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</si>
  <si>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</si>
  <si>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</si>
  <si>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</si>
  <si>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</si>
  <si>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</si>
  <si>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</si>
  <si>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</si>
  <si>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</si>
  <si>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</si>
  <si>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</si>
  <si>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</si>
  <si>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</si>
  <si>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</si>
  <si>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</si>
  <si>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</si>
  <si>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</si>
  <si>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</si>
  <si>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</si>
  <si>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</si>
  <si>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</si>
  <si>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</si>
  <si>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</si>
  <si>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</si>
  <si>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</si>
  <si>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</si>
  <si>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</si>
  <si>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</si>
  <si>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</si>
  <si>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</si>
  <si>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</si>
  <si>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</si>
  <si>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</si>
  <si>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</si>
  <si>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</si>
  <si>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</si>
  <si>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</si>
  <si>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</si>
  <si>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</si>
  <si>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</si>
  <si>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</si>
  <si>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</si>
  <si>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</si>
  <si>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</si>
  <si>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</si>
  <si>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</si>
  <si>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</si>
  <si>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</si>
  <si>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</si>
  <si>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</si>
  <si>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</si>
  <si>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</si>
  <si>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</si>
  <si>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</si>
  <si>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</si>
  <si>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</si>
  <si>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</si>
  <si>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</si>
  <si>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</si>
  <si>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</si>
  <si>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</si>
  <si>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</si>
  <si>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</si>
  <si>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</si>
  <si>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</si>
  <si>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</si>
  <si>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</si>
  <si>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</si>
  <si>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</si>
  <si>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</si>
  <si>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</si>
  <si>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</si>
  <si>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</si>
  <si>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</si>
  <si>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</si>
  <si>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</si>
  <si>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</si>
  <si>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</si>
  <si>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</si>
  <si>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</si>
  <si>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</si>
  <si>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</si>
  <si>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</si>
  <si>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</si>
  <si>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</si>
  <si>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</si>
  <si>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</si>
  <si>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</si>
  <si>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</si>
  <si>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</si>
  <si>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</si>
  <si>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</si>
  <si>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</si>
  <si>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</si>
  <si>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</si>
  <si>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</si>
  <si>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</si>
  <si>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</si>
  <si>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</si>
  <si>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</si>
  <si>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</si>
  <si>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</si>
  <si>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</si>
  <si>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</si>
  <si>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</si>
  <si>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</si>
  <si>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</si>
  <si>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</si>
  <si>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</si>
  <si>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</si>
  <si>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</si>
  <si>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</si>
  <si>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</si>
  <si>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</si>
  <si>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</si>
  <si>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</si>
  <si>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</si>
  <si>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</si>
  <si>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</si>
  <si>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</si>
  <si>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</si>
  <si>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</si>
  <si>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</si>
  <si>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</si>
  <si>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</si>
  <si>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</si>
  <si>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</si>
  <si>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</si>
  <si>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</si>
  <si>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</si>
  <si>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</si>
  <si>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</si>
  <si>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</si>
  <si>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</si>
  <si>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</si>
  <si>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</si>
  <si>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</si>
  <si>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</si>
  <si>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</si>
  <si>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</si>
  <si>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</si>
  <si>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</si>
  <si>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</si>
  <si>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</si>
  <si>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</si>
  <si>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</si>
  <si>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</si>
  <si>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</si>
  <si>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</si>
  <si>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</si>
  <si>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</si>
  <si>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</si>
  <si>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</si>
  <si>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</si>
  <si>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</si>
  <si>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</si>
  <si>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</si>
  <si>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</si>
  <si>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</si>
  <si>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</si>
  <si>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</si>
  <si>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</si>
  <si>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</si>
  <si>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</si>
  <si>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</si>
  <si>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</si>
  <si>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</si>
  <si>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</si>
  <si>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</si>
  <si>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</si>
  <si>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</si>
  <si>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</si>
  <si>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</si>
  <si>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</si>
  <si>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</si>
  <si>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</si>
  <si>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</si>
  <si>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</si>
  <si>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</si>
  <si>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</si>
  <si>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</si>
  <si>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</si>
  <si>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</si>
  <si>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</si>
  <si>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</si>
  <si>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</si>
  <si>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</si>
  <si>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</si>
  <si>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</si>
  <si>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</si>
  <si>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</si>
  <si>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</si>
  <si>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</si>
  <si>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</si>
  <si>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</si>
  <si>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</si>
  <si>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</si>
  <si>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</si>
  <si>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</si>
  <si>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</si>
  <si>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</si>
  <si>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</si>
  <si>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</si>
  <si>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</si>
  <si>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</si>
  <si>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</si>
  <si>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</si>
  <si>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</si>
  <si>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</si>
  <si>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</si>
  <si>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</si>
  <si>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</si>
  <si>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</si>
  <si>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</si>
  <si>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</si>
  <si>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</si>
  <si>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</si>
  <si>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</si>
  <si>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</si>
  <si>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</si>
  <si>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</si>
  <si>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</si>
  <si>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</si>
  <si>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</si>
  <si>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</si>
  <si>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</si>
  <si>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</si>
  <si>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</si>
  <si>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</si>
  <si>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</si>
  <si>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</si>
  <si>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</si>
  <si>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</si>
  <si>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</si>
  <si>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</si>
  <si>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</si>
  <si>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</si>
  <si>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</si>
  <si>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</si>
  <si>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</si>
  <si>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</si>
  <si>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</si>
  <si>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</si>
  <si>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</si>
  <si>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</si>
  <si>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</si>
  <si>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</si>
  <si>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</si>
  <si>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</si>
  <si>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</si>
  <si>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</si>
  <si>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</si>
  <si>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</si>
  <si>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</si>
  <si>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</si>
  <si>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</si>
  <si>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</si>
  <si>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</si>
  <si>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</si>
  <si>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</si>
  <si>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</si>
  <si>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</si>
  <si>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</si>
  <si>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</si>
  <si>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</si>
  <si>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</si>
  <si>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</si>
  <si>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</si>
  <si>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</si>
  <si>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</si>
  <si>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</si>
  <si>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</si>
  <si>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</si>
  <si>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</si>
  <si>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</si>
  <si>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</si>
  <si>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</si>
  <si>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</si>
  <si>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</si>
  <si>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</si>
  <si>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</si>
  <si>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</si>
  <si>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</si>
  <si>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</si>
  <si>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</si>
  <si>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</si>
  <si>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</si>
  <si>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</si>
  <si>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</si>
  <si>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</si>
  <si>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</si>
  <si>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</si>
  <si>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</si>
  <si>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</si>
  <si>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</si>
  <si>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</si>
  <si>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</si>
  <si>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</si>
  <si>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</si>
  <si>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</si>
  <si>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</si>
  <si>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</si>
  <si>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</si>
  <si>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</si>
  <si>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</si>
  <si>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</si>
  <si>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</si>
  <si>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</si>
  <si>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</si>
  <si>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</si>
  <si>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</si>
  <si>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</si>
  <si>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</si>
  <si>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</si>
  <si>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</si>
  <si>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</si>
  <si>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</si>
  <si>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</si>
  <si>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</si>
  <si>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</si>
  <si>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</si>
  <si>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</si>
  <si>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</si>
  <si>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</si>
  <si>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</si>
  <si>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</si>
  <si>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</si>
  <si>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</si>
  <si>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</si>
  <si>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</si>
  <si>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</si>
  <si>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</si>
  <si>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</si>
  <si>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</si>
  <si>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</si>
  <si>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</si>
  <si>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</si>
  <si>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</si>
  <si>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</si>
  <si>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</si>
  <si>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</si>
  <si>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</si>
  <si>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</si>
  <si>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</si>
  <si>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</si>
  <si>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</si>
  <si>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</si>
  <si>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</si>
  <si>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</si>
  <si>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</si>
  <si>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</si>
  <si>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</si>
  <si>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</si>
  <si>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</si>
  <si>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</si>
  <si>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</si>
  <si>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</si>
  <si>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</si>
  <si>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</si>
  <si>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</si>
  <si>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</si>
  <si>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</si>
  <si>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</si>
  <si>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</si>
  <si>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</si>
  <si>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</si>
  <si>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</si>
  <si>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</si>
  <si>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</si>
  <si>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</si>
  <si>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</si>
  <si>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</si>
  <si>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</si>
  <si>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</si>
  <si>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</si>
  <si>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</si>
  <si>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</si>
  <si>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</si>
  <si>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</si>
  <si>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</si>
  <si>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</si>
  <si>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</si>
  <si>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</si>
  <si>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</si>
  <si>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</si>
  <si>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</si>
  <si>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</si>
  <si>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</si>
  <si>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</si>
  <si>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</si>
  <si>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</si>
  <si>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</si>
  <si>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</si>
  <si>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</si>
  <si>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</si>
  <si>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</si>
  <si>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</si>
  <si>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</si>
  <si>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</si>
  <si>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</si>
  <si>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</si>
  <si>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</si>
  <si>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</si>
  <si>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</si>
  <si>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</si>
  <si>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</si>
  <si>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</si>
  <si>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</si>
  <si>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</si>
  <si>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</si>
  <si>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</si>
  <si>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</si>
  <si>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</si>
  <si>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</si>
  <si>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</si>
  <si>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</si>
  <si>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</si>
  <si>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</si>
  <si>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</si>
  <si>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</si>
  <si>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</si>
  <si>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</si>
  <si>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</si>
  <si>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</si>
  <si>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</si>
  <si>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</si>
  <si>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</si>
  <si>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</si>
  <si>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</si>
  <si>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</si>
  <si>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</si>
  <si>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</si>
  <si>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</si>
  <si>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</si>
  <si>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</si>
  <si>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</si>
  <si>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</si>
  <si>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</si>
  <si>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</si>
  <si>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</si>
  <si>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</si>
  <si>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</si>
  <si>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</si>
  <si>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</si>
  <si>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</si>
  <si>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</si>
  <si>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</si>
  <si>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</si>
  <si>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</si>
  <si>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</si>
  <si>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</si>
  <si>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</si>
  <si>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</si>
  <si>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</si>
  <si>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</si>
  <si>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</si>
  <si>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</si>
  <si>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</si>
  <si>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</si>
  <si>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</si>
  <si>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</si>
  <si>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</si>
  <si>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</si>
  <si>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</si>
  <si>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</si>
  <si>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</si>
  <si>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</si>
  <si>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</si>
  <si>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</si>
  <si>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</si>
  <si>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</si>
  <si>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</si>
  <si>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</si>
  <si>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</si>
  <si>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</si>
  <si>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</si>
  <si>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</si>
  <si>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</si>
  <si>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</si>
  <si>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</si>
  <si>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</si>
  <si>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</si>
  <si>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</si>
  <si>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</si>
  <si>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</si>
  <si>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</si>
  <si>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</si>
  <si>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</si>
  <si>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</si>
  <si>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</si>
  <si>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</si>
  <si>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</si>
  <si>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</si>
  <si>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</si>
  <si>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</si>
  <si>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</si>
  <si>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</si>
  <si>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</si>
  <si>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</si>
  <si>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</si>
  <si>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</si>
  <si>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</si>
  <si>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</si>
  <si>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</si>
  <si>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</si>
  <si>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</si>
  <si>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</si>
  <si>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</si>
  <si>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</si>
  <si>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</si>
  <si>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</si>
  <si>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</si>
  <si>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</si>
  <si>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</si>
  <si>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</si>
  <si>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</si>
  <si>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</si>
  <si>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</si>
  <si>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</si>
  <si>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</si>
  <si>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</si>
  <si>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</si>
  <si>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</si>
  <si>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</si>
  <si>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</si>
  <si>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</si>
  <si>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</si>
  <si>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</si>
  <si>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</si>
  <si>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</si>
  <si>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</si>
  <si>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</si>
  <si>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</si>
  <si>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</si>
  <si>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</si>
  <si>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</si>
  <si>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</si>
  <si>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</si>
  <si>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</si>
  <si>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</si>
  <si>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</si>
  <si>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</si>
  <si>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</si>
  <si>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</si>
  <si>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</si>
  <si>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</si>
  <si>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</si>
  <si>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</si>
  <si>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</si>
  <si>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</si>
  <si>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</si>
  <si>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</si>
  <si>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</si>
  <si>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</si>
  <si>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</si>
  <si>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</si>
  <si>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</si>
  <si>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</si>
  <si>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</si>
  <si>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</si>
  <si>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</si>
  <si>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</si>
  <si>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</si>
  <si>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</si>
  <si>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</si>
  <si>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</si>
  <si>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</si>
  <si>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</si>
  <si>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</si>
  <si>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</si>
  <si>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</si>
  <si>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</si>
  <si>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</si>
  <si>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</si>
  <si>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</si>
  <si>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</si>
  <si>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</si>
  <si>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</si>
  <si>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</si>
  <si>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</si>
  <si>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</si>
  <si>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</si>
  <si>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</si>
  <si>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</si>
  <si>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</si>
  <si>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</si>
  <si>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</si>
  <si>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</si>
  <si>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</si>
  <si>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</si>
  <si>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</si>
  <si>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</si>
  <si>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</si>
  <si>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</si>
  <si>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</si>
  <si>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</si>
  <si>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</si>
  <si>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</si>
  <si>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</si>
  <si>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</si>
  <si>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</si>
  <si>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</si>
  <si>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</si>
  <si>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31022</t>
  </si>
  <si>
    <t>OOSTKAMP</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</si>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</sst>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5F70EEB-E668-4202-9F15-4EA988105CB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198980.02697121113</c:v>
                </c:pt>
                <c:pt idx="1">
                  <c:v>63549.758127864159</c:v>
                </c:pt>
                <c:pt idx="2">
                  <c:v>1283.1199999999999</c:v>
                </c:pt>
                <c:pt idx="3">
                  <c:v>21844.262789794611</c:v>
                </c:pt>
                <c:pt idx="4">
                  <c:v>70613.137736201112</c:v>
                </c:pt>
                <c:pt idx="5">
                  <c:v>411660.24122459447</c:v>
                </c:pt>
                <c:pt idx="6">
                  <c:v>1662.068250392359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198980.02697121113</c:v>
                </c:pt>
                <c:pt idx="1">
                  <c:v>63549.758127864159</c:v>
                </c:pt>
                <c:pt idx="2">
                  <c:v>1283.1199999999999</c:v>
                </c:pt>
                <c:pt idx="3">
                  <c:v>21844.262789794611</c:v>
                </c:pt>
                <c:pt idx="4">
                  <c:v>70613.137736201112</c:v>
                </c:pt>
                <c:pt idx="5">
                  <c:v>411660.24122459447</c:v>
                </c:pt>
                <c:pt idx="6">
                  <c:v>1662.068250392359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40990.516264959144</c:v>
                </c:pt>
                <c:pt idx="2">
                  <c:v>12706.777911156885</c:v>
                </c:pt>
                <c:pt idx="3">
                  <c:v>258.39251330240972</c:v>
                </c:pt>
                <c:pt idx="4">
                  <c:v>5583.5012343875223</c:v>
                </c:pt>
                <c:pt idx="5">
                  <c:v>14027.841692710361</c:v>
                </c:pt>
                <c:pt idx="6">
                  <c:v>103171.39026573767</c:v>
                </c:pt>
                <c:pt idx="7">
                  <c:v>418.76216576000303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40990.516264959144</c:v>
                </c:pt>
                <c:pt idx="2">
                  <c:v>12706.777911156885</c:v>
                </c:pt>
                <c:pt idx="3">
                  <c:v>258.39251330240972</c:v>
                </c:pt>
                <c:pt idx="4">
                  <c:v>5583.5012343875223</c:v>
                </c:pt>
                <c:pt idx="5">
                  <c:v>14027.841692710361</c:v>
                </c:pt>
                <c:pt idx="6">
                  <c:v>103171.39026573767</c:v>
                </c:pt>
                <c:pt idx="7">
                  <c:v>418.76216576000303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31022</v>
      </c>
      <c r="B6" s="382"/>
      <c r="C6" s="383"/>
    </row>
    <row r="7" spans="1:7" s="380" customFormat="1" ht="15.75" customHeight="1">
      <c r="A7" s="384" t="str">
        <f>txtMunicipality</f>
        <v>OOSTKAMP</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29436.247668923646</v>
      </c>
      <c r="D10" s="971">
        <f ca="1">tertiair!C16</f>
        <v>0</v>
      </c>
      <c r="E10" s="971">
        <f ca="1">tertiair!D16</f>
        <v>27841.953678224567</v>
      </c>
      <c r="F10" s="971">
        <f>tertiair!E16</f>
        <v>450.11423157301118</v>
      </c>
      <c r="G10" s="971">
        <f ca="1">tertiair!F16</f>
        <v>4910.408821826748</v>
      </c>
      <c r="H10" s="971">
        <f>tertiair!G16</f>
        <v>0</v>
      </c>
      <c r="I10" s="971">
        <f>tertiair!H16</f>
        <v>0</v>
      </c>
      <c r="J10" s="971">
        <f>tertiair!I16</f>
        <v>0</v>
      </c>
      <c r="K10" s="971">
        <f>tertiair!J16</f>
        <v>5.4897519510733808E-2</v>
      </c>
      <c r="L10" s="971">
        <f>tertiair!K16</f>
        <v>0</v>
      </c>
      <c r="M10" s="971">
        <f ca="1">tertiair!L16</f>
        <v>0</v>
      </c>
      <c r="N10" s="971">
        <f>tertiair!M16</f>
        <v>0</v>
      </c>
      <c r="O10" s="971">
        <f ca="1">tertiair!N16</f>
        <v>2189.4088297966746</v>
      </c>
      <c r="P10" s="971">
        <f>tertiair!O16</f>
        <v>4.6900000000000004</v>
      </c>
      <c r="Q10" s="972">
        <f>tertiair!P16</f>
        <v>0</v>
      </c>
      <c r="R10" s="666">
        <f ca="1">SUM(C10:Q10)</f>
        <v>64832.878127864162</v>
      </c>
      <c r="S10" s="67"/>
    </row>
    <row r="11" spans="1:19" s="439" customFormat="1">
      <c r="A11" s="775" t="s">
        <v>213</v>
      </c>
      <c r="B11" s="780"/>
      <c r="C11" s="971">
        <f>huishoudens!B8</f>
        <v>43001.914922363365</v>
      </c>
      <c r="D11" s="971">
        <f>huishoudens!C8</f>
        <v>0</v>
      </c>
      <c r="E11" s="971">
        <f>huishoudens!D8</f>
        <v>76818.310040184326</v>
      </c>
      <c r="F11" s="971">
        <f>huishoudens!E8</f>
        <v>2390.0763533222498</v>
      </c>
      <c r="G11" s="971">
        <f>huishoudens!F8</f>
        <v>60553.821230453417</v>
      </c>
      <c r="H11" s="971">
        <f>huishoudens!G8</f>
        <v>0</v>
      </c>
      <c r="I11" s="971">
        <f>huishoudens!H8</f>
        <v>0</v>
      </c>
      <c r="J11" s="971">
        <f>huishoudens!I8</f>
        <v>0</v>
      </c>
      <c r="K11" s="971">
        <f>huishoudens!J8</f>
        <v>291.37819415491737</v>
      </c>
      <c r="L11" s="971">
        <f>huishoudens!K8</f>
        <v>0</v>
      </c>
      <c r="M11" s="971">
        <f>huishoudens!L8</f>
        <v>0</v>
      </c>
      <c r="N11" s="971">
        <f>huishoudens!M8</f>
        <v>0</v>
      </c>
      <c r="O11" s="971">
        <f>huishoudens!N8</f>
        <v>14133.336230732879</v>
      </c>
      <c r="P11" s="971">
        <f>huishoudens!O8</f>
        <v>551.85666666666668</v>
      </c>
      <c r="Q11" s="972">
        <f>huishoudens!P8</f>
        <v>1239.3333333333333</v>
      </c>
      <c r="R11" s="666">
        <f>SUM(C11:Q11)</f>
        <v>198980.02697121113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28477.543712992927</v>
      </c>
      <c r="D13" s="971">
        <f>industrie!C18</f>
        <v>0</v>
      </c>
      <c r="E13" s="971">
        <f>industrie!D18</f>
        <v>30595.966765797319</v>
      </c>
      <c r="F13" s="971">
        <f>industrie!E18</f>
        <v>1859.9411125288852</v>
      </c>
      <c r="G13" s="971">
        <f>industrie!F18</f>
        <v>6255.1895568820346</v>
      </c>
      <c r="H13" s="971">
        <f>industrie!G18</f>
        <v>0</v>
      </c>
      <c r="I13" s="971">
        <f>industrie!H18</f>
        <v>0</v>
      </c>
      <c r="J13" s="971">
        <f>industrie!I18</f>
        <v>0</v>
      </c>
      <c r="K13" s="971">
        <f>industrie!J18</f>
        <v>57.500182714961674</v>
      </c>
      <c r="L13" s="971">
        <f>industrie!K18</f>
        <v>0</v>
      </c>
      <c r="M13" s="971">
        <f>industrie!L18</f>
        <v>0</v>
      </c>
      <c r="N13" s="971">
        <f>industrie!M18</f>
        <v>0</v>
      </c>
      <c r="O13" s="971">
        <f>industrie!N18</f>
        <v>3366.9964052849773</v>
      </c>
      <c r="P13" s="971">
        <f>industrie!O18</f>
        <v>0</v>
      </c>
      <c r="Q13" s="972">
        <f>industrie!P18</f>
        <v>0</v>
      </c>
      <c r="R13" s="666">
        <f>SUM(C13:Q13)</f>
        <v>70613.137736201112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100915.70630427994</v>
      </c>
      <c r="D16" s="698">
        <f t="shared" ref="D16:R16" ca="1" si="0">SUM(D9:D15)</f>
        <v>0</v>
      </c>
      <c r="E16" s="698">
        <f t="shared" ca="1" si="0"/>
        <v>135256.23048420623</v>
      </c>
      <c r="F16" s="698">
        <f t="shared" si="0"/>
        <v>4700.1316974241463</v>
      </c>
      <c r="G16" s="698">
        <f t="shared" ca="1" si="0"/>
        <v>71719.4196091622</v>
      </c>
      <c r="H16" s="698">
        <f t="shared" si="0"/>
        <v>0</v>
      </c>
      <c r="I16" s="698">
        <f t="shared" si="0"/>
        <v>0</v>
      </c>
      <c r="J16" s="698">
        <f t="shared" si="0"/>
        <v>0</v>
      </c>
      <c r="K16" s="698">
        <f t="shared" si="0"/>
        <v>348.93327438938979</v>
      </c>
      <c r="L16" s="698">
        <f t="shared" si="0"/>
        <v>0</v>
      </c>
      <c r="M16" s="698">
        <f t="shared" ca="1" si="0"/>
        <v>0</v>
      </c>
      <c r="N16" s="698">
        <f t="shared" si="0"/>
        <v>0</v>
      </c>
      <c r="O16" s="698">
        <f t="shared" ca="1" si="0"/>
        <v>19689.741465814528</v>
      </c>
      <c r="P16" s="698">
        <f t="shared" si="0"/>
        <v>556.54666666666674</v>
      </c>
      <c r="Q16" s="698">
        <f t="shared" si="0"/>
        <v>1239.3333333333333</v>
      </c>
      <c r="R16" s="698">
        <f t="shared" ca="1" si="0"/>
        <v>334426.0428352764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16.56274586734683</v>
      </c>
      <c r="D19" s="971">
        <f>transport!C54</f>
        <v>0</v>
      </c>
      <c r="E19" s="971">
        <f>transport!D54</f>
        <v>0</v>
      </c>
      <c r="F19" s="971">
        <f>transport!E54</f>
        <v>0</v>
      </c>
      <c r="G19" s="971">
        <f>transport!F54</f>
        <v>0</v>
      </c>
      <c r="H19" s="971">
        <f>transport!G54</f>
        <v>1555.9055741416178</v>
      </c>
      <c r="I19" s="971">
        <f>transport!H54</f>
        <v>0</v>
      </c>
      <c r="J19" s="971">
        <f>transport!I54</f>
        <v>0</v>
      </c>
      <c r="K19" s="971">
        <f>transport!J54</f>
        <v>0</v>
      </c>
      <c r="L19" s="971">
        <f>transport!K54</f>
        <v>0</v>
      </c>
      <c r="M19" s="971">
        <f>transport!L54</f>
        <v>0</v>
      </c>
      <c r="N19" s="971">
        <f>transport!M54</f>
        <v>89.599930383394508</v>
      </c>
      <c r="O19" s="971">
        <f>transport!N54</f>
        <v>0</v>
      </c>
      <c r="P19" s="971">
        <f>transport!O54</f>
        <v>0</v>
      </c>
      <c r="Q19" s="972">
        <f>transport!P54</f>
        <v>0</v>
      </c>
      <c r="R19" s="666">
        <f>SUM(C19:Q19)</f>
        <v>1662.068250392359</v>
      </c>
      <c r="S19" s="67"/>
    </row>
    <row r="20" spans="1:19" s="439" customFormat="1">
      <c r="A20" s="775" t="s">
        <v>295</v>
      </c>
      <c r="B20" s="780"/>
      <c r="C20" s="971">
        <f>transport!B14</f>
        <v>240.20690190517831</v>
      </c>
      <c r="D20" s="971">
        <f>transport!C14</f>
        <v>0</v>
      </c>
      <c r="E20" s="971">
        <f>transport!D14</f>
        <v>353.87923317507511</v>
      </c>
      <c r="F20" s="971">
        <f>transport!E14</f>
        <v>708.42227840391206</v>
      </c>
      <c r="G20" s="971">
        <f>transport!F14</f>
        <v>0</v>
      </c>
      <c r="H20" s="971">
        <f>transport!G14</f>
        <v>330672.5781303168</v>
      </c>
      <c r="I20" s="971">
        <f>transport!H14</f>
        <v>58639.132478506654</v>
      </c>
      <c r="J20" s="971">
        <f>transport!I14</f>
        <v>0</v>
      </c>
      <c r="K20" s="971">
        <f>transport!J14</f>
        <v>0</v>
      </c>
      <c r="L20" s="971">
        <f>transport!K14</f>
        <v>0</v>
      </c>
      <c r="M20" s="971">
        <f>transport!L14</f>
        <v>0</v>
      </c>
      <c r="N20" s="971">
        <f>transport!M14</f>
        <v>21046.022202286866</v>
      </c>
      <c r="O20" s="971">
        <f>transport!N14</f>
        <v>0</v>
      </c>
      <c r="P20" s="971">
        <f>transport!O14</f>
        <v>0</v>
      </c>
      <c r="Q20" s="972">
        <f>transport!P14</f>
        <v>0</v>
      </c>
      <c r="R20" s="666">
        <f>SUM(C20:Q20)</f>
        <v>411660.24122459447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256.76964777252516</v>
      </c>
      <c r="D22" s="778">
        <f t="shared" ref="D22:R22" si="1">SUM(D18:D21)</f>
        <v>0</v>
      </c>
      <c r="E22" s="778">
        <f t="shared" si="1"/>
        <v>353.87923317507511</v>
      </c>
      <c r="F22" s="778">
        <f t="shared" si="1"/>
        <v>708.42227840391206</v>
      </c>
      <c r="G22" s="778">
        <f t="shared" si="1"/>
        <v>0</v>
      </c>
      <c r="H22" s="778">
        <f t="shared" si="1"/>
        <v>332228.4837044584</v>
      </c>
      <c r="I22" s="778">
        <f t="shared" si="1"/>
        <v>58639.132478506654</v>
      </c>
      <c r="J22" s="778">
        <f t="shared" si="1"/>
        <v>0</v>
      </c>
      <c r="K22" s="778">
        <f t="shared" si="1"/>
        <v>0</v>
      </c>
      <c r="L22" s="778">
        <f t="shared" si="1"/>
        <v>0</v>
      </c>
      <c r="M22" s="778">
        <f t="shared" si="1"/>
        <v>0</v>
      </c>
      <c r="N22" s="778">
        <f t="shared" si="1"/>
        <v>21135.622132670262</v>
      </c>
      <c r="O22" s="778">
        <f t="shared" si="1"/>
        <v>0</v>
      </c>
      <c r="P22" s="778">
        <f t="shared" si="1"/>
        <v>0</v>
      </c>
      <c r="Q22" s="778">
        <f t="shared" si="1"/>
        <v>0</v>
      </c>
      <c r="R22" s="778">
        <f t="shared" si="1"/>
        <v>413322.3094749868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3997.526932675572</v>
      </c>
      <c r="D24" s="971">
        <f>+landbouw!C8</f>
        <v>0</v>
      </c>
      <c r="E24" s="971">
        <f>+landbouw!D8</f>
        <v>496.59933953093559</v>
      </c>
      <c r="F24" s="971">
        <f>+landbouw!E8</f>
        <v>117.49952640786739</v>
      </c>
      <c r="G24" s="971">
        <f>+landbouw!F8</f>
        <v>16653.481186509114</v>
      </c>
      <c r="H24" s="971">
        <f>+landbouw!G8</f>
        <v>0</v>
      </c>
      <c r="I24" s="971">
        <f>+landbouw!H8</f>
        <v>0</v>
      </c>
      <c r="J24" s="971">
        <f>+landbouw!I8</f>
        <v>0</v>
      </c>
      <c r="K24" s="971">
        <f>+landbouw!J8</f>
        <v>579.15580467112022</v>
      </c>
      <c r="L24" s="971">
        <f>+landbouw!K8</f>
        <v>0</v>
      </c>
      <c r="M24" s="971">
        <f>+landbouw!L8</f>
        <v>0</v>
      </c>
      <c r="N24" s="971">
        <f>+landbouw!M8</f>
        <v>0</v>
      </c>
      <c r="O24" s="971">
        <f>+landbouw!N8</f>
        <v>0</v>
      </c>
      <c r="P24" s="971">
        <f>+landbouw!O8</f>
        <v>0</v>
      </c>
      <c r="Q24" s="972">
        <f>+landbouw!P8</f>
        <v>0</v>
      </c>
      <c r="R24" s="666">
        <f>SUM(C24:Q24)</f>
        <v>21844.262789794611</v>
      </c>
      <c r="S24" s="67"/>
    </row>
    <row r="25" spans="1:19" s="439" customFormat="1" ht="15" thickBot="1">
      <c r="A25" s="797" t="s">
        <v>802</v>
      </c>
      <c r="B25" s="974"/>
      <c r="C25" s="975">
        <f>IF(Onbekend_ele_kWh="---",0,Onbekend_ele_kWh)/1000+IF(REST_rest_ele_kWh="---",0,REST_rest_ele_kWh)/1000</f>
        <v>2355.0023911735202</v>
      </c>
      <c r="D25" s="975"/>
      <c r="E25" s="975">
        <f>IF(onbekend_gas_kWh="---",0,onbekend_gas_kWh)/1000+IF(REST_rest_gas_kWh="---",0,REST_rest_gas_kWh)/1000</f>
        <v>1932.3240039565601</v>
      </c>
      <c r="F25" s="975"/>
      <c r="G25" s="975"/>
      <c r="H25" s="975"/>
      <c r="I25" s="975"/>
      <c r="J25" s="975"/>
      <c r="K25" s="975"/>
      <c r="L25" s="975"/>
      <c r="M25" s="975"/>
      <c r="N25" s="975"/>
      <c r="O25" s="975"/>
      <c r="P25" s="975"/>
      <c r="Q25" s="976"/>
      <c r="R25" s="666">
        <f>SUM(C25:Q25)</f>
        <v>4287.3263951300805</v>
      </c>
      <c r="S25" s="67"/>
    </row>
    <row r="26" spans="1:19" s="439" customFormat="1" ht="15.75" thickBot="1">
      <c r="A26" s="671" t="s">
        <v>803</v>
      </c>
      <c r="B26" s="783"/>
      <c r="C26" s="778">
        <f>SUM(C24:C25)</f>
        <v>6352.5293238490922</v>
      </c>
      <c r="D26" s="778">
        <f t="shared" ref="D26:R26" si="2">SUM(D24:D25)</f>
        <v>0</v>
      </c>
      <c r="E26" s="778">
        <f t="shared" si="2"/>
        <v>2428.9233434874959</v>
      </c>
      <c r="F26" s="778">
        <f t="shared" si="2"/>
        <v>117.49952640786739</v>
      </c>
      <c r="G26" s="778">
        <f t="shared" si="2"/>
        <v>16653.481186509114</v>
      </c>
      <c r="H26" s="778">
        <f t="shared" si="2"/>
        <v>0</v>
      </c>
      <c r="I26" s="778">
        <f t="shared" si="2"/>
        <v>0</v>
      </c>
      <c r="J26" s="778">
        <f t="shared" si="2"/>
        <v>0</v>
      </c>
      <c r="K26" s="778">
        <f t="shared" si="2"/>
        <v>579.15580467112022</v>
      </c>
      <c r="L26" s="778">
        <f t="shared" si="2"/>
        <v>0</v>
      </c>
      <c r="M26" s="778">
        <f t="shared" si="2"/>
        <v>0</v>
      </c>
      <c r="N26" s="778">
        <f t="shared" si="2"/>
        <v>0</v>
      </c>
      <c r="O26" s="778">
        <f t="shared" si="2"/>
        <v>0</v>
      </c>
      <c r="P26" s="778">
        <f t="shared" si="2"/>
        <v>0</v>
      </c>
      <c r="Q26" s="778">
        <f t="shared" si="2"/>
        <v>0</v>
      </c>
      <c r="R26" s="778">
        <f t="shared" si="2"/>
        <v>26131.589184924691</v>
      </c>
      <c r="S26" s="67"/>
    </row>
    <row r="27" spans="1:19" s="439" customFormat="1" ht="17.25" thickTop="1" thickBot="1">
      <c r="A27" s="672" t="s">
        <v>109</v>
      </c>
      <c r="B27" s="771"/>
      <c r="C27" s="673">
        <f ca="1">C22+C16+C26</f>
        <v>107525.00527590155</v>
      </c>
      <c r="D27" s="673">
        <f t="shared" ref="D27:R27" ca="1" si="3">D22+D16+D26</f>
        <v>0</v>
      </c>
      <c r="E27" s="673">
        <f t="shared" ca="1" si="3"/>
        <v>138039.03306086879</v>
      </c>
      <c r="F27" s="673">
        <f t="shared" si="3"/>
        <v>5526.0535022359254</v>
      </c>
      <c r="G27" s="673">
        <f t="shared" ca="1" si="3"/>
        <v>88372.900795671318</v>
      </c>
      <c r="H27" s="673">
        <f t="shared" si="3"/>
        <v>332228.4837044584</v>
      </c>
      <c r="I27" s="673">
        <f t="shared" si="3"/>
        <v>58639.132478506654</v>
      </c>
      <c r="J27" s="673">
        <f t="shared" si="3"/>
        <v>0</v>
      </c>
      <c r="K27" s="673">
        <f t="shared" si="3"/>
        <v>928.08907906051002</v>
      </c>
      <c r="L27" s="673">
        <f t="shared" si="3"/>
        <v>0</v>
      </c>
      <c r="M27" s="673">
        <f t="shared" ca="1" si="3"/>
        <v>0</v>
      </c>
      <c r="N27" s="673">
        <f t="shared" si="3"/>
        <v>21135.622132670262</v>
      </c>
      <c r="O27" s="673">
        <f t="shared" ca="1" si="3"/>
        <v>19689.741465814528</v>
      </c>
      <c r="P27" s="673">
        <f t="shared" si="3"/>
        <v>556.54666666666674</v>
      </c>
      <c r="Q27" s="673">
        <f t="shared" si="3"/>
        <v>1239.3333333333333</v>
      </c>
      <c r="R27" s="673">
        <f t="shared" ca="1" si="3"/>
        <v>773879.94149518793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5927.8212617412091</v>
      </c>
      <c r="D40" s="971">
        <f ca="1">tertiair!C20</f>
        <v>0</v>
      </c>
      <c r="E40" s="971">
        <f ca="1">tertiair!D20</f>
        <v>5624.0746430013633</v>
      </c>
      <c r="F40" s="971">
        <f>tertiair!E20</f>
        <v>102.17593056707354</v>
      </c>
      <c r="G40" s="971">
        <f ca="1">tertiair!F20</f>
        <v>1311.0791554277419</v>
      </c>
      <c r="H40" s="971">
        <f>tertiair!G20</f>
        <v>0</v>
      </c>
      <c r="I40" s="971">
        <f>tertiair!H20</f>
        <v>0</v>
      </c>
      <c r="J40" s="971">
        <f>tertiair!I20</f>
        <v>0</v>
      </c>
      <c r="K40" s="971">
        <f>tertiair!J20</f>
        <v>1.9433721906799768E-2</v>
      </c>
      <c r="L40" s="971">
        <f>tertiair!K20</f>
        <v>0</v>
      </c>
      <c r="M40" s="971">
        <f ca="1">tertiair!L20</f>
        <v>0</v>
      </c>
      <c r="N40" s="971">
        <f>tertiair!M20</f>
        <v>0</v>
      </c>
      <c r="O40" s="971">
        <f ca="1">tertiair!N20</f>
        <v>0</v>
      </c>
      <c r="P40" s="971">
        <f>tertiair!O20</f>
        <v>0</v>
      </c>
      <c r="Q40" s="740">
        <f>tertiair!P20</f>
        <v>0</v>
      </c>
      <c r="R40" s="816">
        <f t="shared" ca="1" si="4"/>
        <v>12965.170424459295</v>
      </c>
    </row>
    <row r="41" spans="1:18">
      <c r="A41" s="788" t="s">
        <v>213</v>
      </c>
      <c r="B41" s="795"/>
      <c r="C41" s="971">
        <f ca="1">huishoudens!B12</f>
        <v>8659.6521553758557</v>
      </c>
      <c r="D41" s="971">
        <f ca="1">huishoudens!C12</f>
        <v>0</v>
      </c>
      <c r="E41" s="971">
        <f>huishoudens!D12</f>
        <v>15517.298628117234</v>
      </c>
      <c r="F41" s="971">
        <f>huishoudens!E12</f>
        <v>542.54733220415073</v>
      </c>
      <c r="G41" s="971">
        <f>huishoudens!F12</f>
        <v>16167.870268531064</v>
      </c>
      <c r="H41" s="971">
        <f>huishoudens!G12</f>
        <v>0</v>
      </c>
      <c r="I41" s="971">
        <f>huishoudens!H12</f>
        <v>0</v>
      </c>
      <c r="J41" s="971">
        <f>huishoudens!I12</f>
        <v>0</v>
      </c>
      <c r="K41" s="971">
        <f>huishoudens!J12</f>
        <v>103.14788073084074</v>
      </c>
      <c r="L41" s="971">
        <f>huishoudens!K12</f>
        <v>0</v>
      </c>
      <c r="M41" s="971">
        <f>huishoudens!L12</f>
        <v>0</v>
      </c>
      <c r="N41" s="971">
        <f>huishoudens!M12</f>
        <v>0</v>
      </c>
      <c r="O41" s="971">
        <f>huishoudens!N12</f>
        <v>0</v>
      </c>
      <c r="P41" s="971">
        <f>huishoudens!O12</f>
        <v>0</v>
      </c>
      <c r="Q41" s="740">
        <f>huishoudens!P12</f>
        <v>0</v>
      </c>
      <c r="R41" s="816">
        <f t="shared" ca="1" si="4"/>
        <v>40990.516264959144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5734.7590971066456</v>
      </c>
      <c r="D43" s="971">
        <f ca="1">industrie!C22</f>
        <v>0</v>
      </c>
      <c r="E43" s="971">
        <f>industrie!D22</f>
        <v>6180.3852866910584</v>
      </c>
      <c r="F43" s="971">
        <f>industrie!E22</f>
        <v>422.20663254405696</v>
      </c>
      <c r="G43" s="971">
        <f>industrie!F22</f>
        <v>1670.1356116875033</v>
      </c>
      <c r="H43" s="971">
        <f>industrie!G22</f>
        <v>0</v>
      </c>
      <c r="I43" s="971">
        <f>industrie!H22</f>
        <v>0</v>
      </c>
      <c r="J43" s="971">
        <f>industrie!I22</f>
        <v>0</v>
      </c>
      <c r="K43" s="971">
        <f>industrie!J22</f>
        <v>20.355064681096433</v>
      </c>
      <c r="L43" s="971">
        <f>industrie!K22</f>
        <v>0</v>
      </c>
      <c r="M43" s="971">
        <f>industrie!L22</f>
        <v>0</v>
      </c>
      <c r="N43" s="971">
        <f>industrie!M22</f>
        <v>0</v>
      </c>
      <c r="O43" s="971">
        <f>industrie!N22</f>
        <v>0</v>
      </c>
      <c r="P43" s="971">
        <f>industrie!O22</f>
        <v>0</v>
      </c>
      <c r="Q43" s="740">
        <f>industrie!P22</f>
        <v>0</v>
      </c>
      <c r="R43" s="815">
        <f t="shared" ca="1" si="4"/>
        <v>14027.841692710361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20322.23251422371</v>
      </c>
      <c r="D46" s="698">
        <f t="shared" ref="D46:Q46" ca="1" si="5">SUM(D39:D45)</f>
        <v>0</v>
      </c>
      <c r="E46" s="698">
        <f t="shared" ca="1" si="5"/>
        <v>27321.758557809655</v>
      </c>
      <c r="F46" s="698">
        <f t="shared" si="5"/>
        <v>1066.9298953152813</v>
      </c>
      <c r="G46" s="698">
        <f t="shared" ca="1" si="5"/>
        <v>19149.085035646309</v>
      </c>
      <c r="H46" s="698">
        <f t="shared" si="5"/>
        <v>0</v>
      </c>
      <c r="I46" s="698">
        <f t="shared" si="5"/>
        <v>0</v>
      </c>
      <c r="J46" s="698">
        <f t="shared" si="5"/>
        <v>0</v>
      </c>
      <c r="K46" s="698">
        <f t="shared" si="5"/>
        <v>123.52237913384397</v>
      </c>
      <c r="L46" s="698">
        <f t="shared" si="5"/>
        <v>0</v>
      </c>
      <c r="M46" s="698">
        <f t="shared" ca="1" si="5"/>
        <v>0</v>
      </c>
      <c r="N46" s="698">
        <f t="shared" si="5"/>
        <v>0</v>
      </c>
      <c r="O46" s="698">
        <f t="shared" ca="1" si="5"/>
        <v>0</v>
      </c>
      <c r="P46" s="698">
        <f t="shared" si="5"/>
        <v>0</v>
      </c>
      <c r="Q46" s="698">
        <f t="shared" si="5"/>
        <v>0</v>
      </c>
      <c r="R46" s="698">
        <f ca="1">SUM(R39:R45)</f>
        <v>67983.528382128803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3.3353774641910716</v>
      </c>
      <c r="D49" s="971">
        <f ca="1">transport!C58</f>
        <v>0</v>
      </c>
      <c r="E49" s="971">
        <f>transport!D58</f>
        <v>0</v>
      </c>
      <c r="F49" s="971">
        <f>transport!E58</f>
        <v>0</v>
      </c>
      <c r="G49" s="971">
        <f>transport!F58</f>
        <v>0</v>
      </c>
      <c r="H49" s="971">
        <f>transport!G58</f>
        <v>415.42678829581195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418.76216576000303</v>
      </c>
    </row>
    <row r="50" spans="1:18">
      <c r="A50" s="791" t="s">
        <v>295</v>
      </c>
      <c r="B50" s="801"/>
      <c r="C50" s="669">
        <f ca="1">transport!B18</f>
        <v>48.372455495872885</v>
      </c>
      <c r="D50" s="669">
        <f>transport!C18</f>
        <v>0</v>
      </c>
      <c r="E50" s="669">
        <f>transport!D18</f>
        <v>71.483605101365171</v>
      </c>
      <c r="F50" s="669">
        <f>transport!E18</f>
        <v>160.81185719768806</v>
      </c>
      <c r="G50" s="669">
        <f>transport!F18</f>
        <v>0</v>
      </c>
      <c r="H50" s="669">
        <f>transport!G18</f>
        <v>88289.578360794592</v>
      </c>
      <c r="I50" s="669">
        <f>transport!H18</f>
        <v>14601.143987148156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103171.39026573767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51.707832960063953</v>
      </c>
      <c r="D52" s="698">
        <f t="shared" ref="D52:Q52" ca="1" si="6">SUM(D48:D51)</f>
        <v>0</v>
      </c>
      <c r="E52" s="698">
        <f t="shared" si="6"/>
        <v>71.483605101365171</v>
      </c>
      <c r="F52" s="698">
        <f t="shared" si="6"/>
        <v>160.81185719768806</v>
      </c>
      <c r="G52" s="698">
        <f t="shared" si="6"/>
        <v>0</v>
      </c>
      <c r="H52" s="698">
        <f t="shared" si="6"/>
        <v>88705.005149090401</v>
      </c>
      <c r="I52" s="698">
        <f t="shared" si="6"/>
        <v>14601.143987148156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103590.15243149769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805.01514365617709</v>
      </c>
      <c r="D54" s="669">
        <f ca="1">+landbouw!C12</f>
        <v>0</v>
      </c>
      <c r="E54" s="669">
        <f>+landbouw!D12</f>
        <v>100.31306658524899</v>
      </c>
      <c r="F54" s="669">
        <f>+landbouw!E12</f>
        <v>26.6723924945859</v>
      </c>
      <c r="G54" s="669">
        <f>+landbouw!F12</f>
        <v>4446.4794767979338</v>
      </c>
      <c r="H54" s="669">
        <f>+landbouw!G12</f>
        <v>0</v>
      </c>
      <c r="I54" s="669">
        <f>+landbouw!H12</f>
        <v>0</v>
      </c>
      <c r="J54" s="669">
        <f>+landbouw!I12</f>
        <v>0</v>
      </c>
      <c r="K54" s="669">
        <f>+landbouw!J12</f>
        <v>205.02115485357655</v>
      </c>
      <c r="L54" s="669">
        <f>+landbouw!K12</f>
        <v>0</v>
      </c>
      <c r="M54" s="669">
        <f>+landbouw!L12</f>
        <v>0</v>
      </c>
      <c r="N54" s="669">
        <f>+landbouw!M12</f>
        <v>0</v>
      </c>
      <c r="O54" s="669">
        <f>+landbouw!N12</f>
        <v>0</v>
      </c>
      <c r="P54" s="669">
        <f>+landbouw!O12</f>
        <v>0</v>
      </c>
      <c r="Q54" s="670">
        <f>+landbouw!P12</f>
        <v>0</v>
      </c>
      <c r="R54" s="697">
        <f ca="1">SUM(C54:Q54)</f>
        <v>5583.5012343875223</v>
      </c>
    </row>
    <row r="55" spans="1:18" ht="15" thickBot="1">
      <c r="A55" s="791" t="s">
        <v>802</v>
      </c>
      <c r="B55" s="801"/>
      <c r="C55" s="669">
        <f ca="1">C25*'EF ele_warmte'!B12</f>
        <v>474.24635785313183</v>
      </c>
      <c r="D55" s="669"/>
      <c r="E55" s="669">
        <f>E25*EF_CO2_aardgas</f>
        <v>390.32944879922519</v>
      </c>
      <c r="F55" s="669"/>
      <c r="G55" s="669"/>
      <c r="H55" s="669"/>
      <c r="I55" s="669"/>
      <c r="J55" s="669"/>
      <c r="K55" s="669"/>
      <c r="L55" s="669"/>
      <c r="M55" s="669"/>
      <c r="N55" s="669"/>
      <c r="O55" s="669"/>
      <c r="P55" s="669"/>
      <c r="Q55" s="670"/>
      <c r="R55" s="697">
        <f ca="1">SUM(C55:Q55)</f>
        <v>864.57580665235696</v>
      </c>
    </row>
    <row r="56" spans="1:18" ht="15.75" thickBot="1">
      <c r="A56" s="789" t="s">
        <v>803</v>
      </c>
      <c r="B56" s="802"/>
      <c r="C56" s="698">
        <f ca="1">SUM(C54:C55)</f>
        <v>1279.2615015093088</v>
      </c>
      <c r="D56" s="698">
        <f t="shared" ref="D56:Q56" ca="1" si="7">SUM(D54:D55)</f>
        <v>0</v>
      </c>
      <c r="E56" s="698">
        <f t="shared" si="7"/>
        <v>490.64251538447417</v>
      </c>
      <c r="F56" s="698">
        <f t="shared" si="7"/>
        <v>26.6723924945859</v>
      </c>
      <c r="G56" s="698">
        <f t="shared" si="7"/>
        <v>4446.4794767979338</v>
      </c>
      <c r="H56" s="698">
        <f t="shared" si="7"/>
        <v>0</v>
      </c>
      <c r="I56" s="698">
        <f t="shared" si="7"/>
        <v>0</v>
      </c>
      <c r="J56" s="698">
        <f t="shared" si="7"/>
        <v>0</v>
      </c>
      <c r="K56" s="698">
        <f t="shared" si="7"/>
        <v>205.02115485357655</v>
      </c>
      <c r="L56" s="698">
        <f t="shared" si="7"/>
        <v>0</v>
      </c>
      <c r="M56" s="698">
        <f t="shared" si="7"/>
        <v>0</v>
      </c>
      <c r="N56" s="698">
        <f t="shared" si="7"/>
        <v>0</v>
      </c>
      <c r="O56" s="698">
        <f t="shared" si="7"/>
        <v>0</v>
      </c>
      <c r="P56" s="698">
        <f t="shared" si="7"/>
        <v>0</v>
      </c>
      <c r="Q56" s="699">
        <f t="shared" si="7"/>
        <v>0</v>
      </c>
      <c r="R56" s="700">
        <f ca="1">SUM(R54:R55)</f>
        <v>6448.0770410398791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21653.201848693083</v>
      </c>
      <c r="D61" s="706">
        <f t="shared" ref="D61:Q61" ca="1" si="8">D46+D52+D56</f>
        <v>0</v>
      </c>
      <c r="E61" s="706">
        <f t="shared" ca="1" si="8"/>
        <v>27883.884678295497</v>
      </c>
      <c r="F61" s="706">
        <f t="shared" si="8"/>
        <v>1254.4141450075554</v>
      </c>
      <c r="G61" s="706">
        <f t="shared" ca="1" si="8"/>
        <v>23595.564512444242</v>
      </c>
      <c r="H61" s="706">
        <f t="shared" si="8"/>
        <v>88705.005149090401</v>
      </c>
      <c r="I61" s="706">
        <f t="shared" si="8"/>
        <v>14601.143987148156</v>
      </c>
      <c r="J61" s="706">
        <f t="shared" si="8"/>
        <v>0</v>
      </c>
      <c r="K61" s="706">
        <f t="shared" si="8"/>
        <v>328.54353398742052</v>
      </c>
      <c r="L61" s="706">
        <f t="shared" si="8"/>
        <v>0</v>
      </c>
      <c r="M61" s="706">
        <f t="shared" ca="1" si="8"/>
        <v>0</v>
      </c>
      <c r="N61" s="706">
        <f t="shared" si="8"/>
        <v>0</v>
      </c>
      <c r="O61" s="706">
        <f t="shared" ca="1" si="8"/>
        <v>0</v>
      </c>
      <c r="P61" s="706">
        <f t="shared" si="8"/>
        <v>0</v>
      </c>
      <c r="Q61" s="706">
        <f t="shared" si="8"/>
        <v>0</v>
      </c>
      <c r="R61" s="706">
        <f ca="1">R46+R52+R56</f>
        <v>178021.75785466639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0.20137829143214175</v>
      </c>
      <c r="D63" s="747">
        <f t="shared" ca="1" si="9"/>
        <v>0</v>
      </c>
      <c r="E63" s="982">
        <f t="shared" ca="1" si="9"/>
        <v>0.20200000000000001</v>
      </c>
      <c r="F63" s="747">
        <f t="shared" si="9"/>
        <v>0.22700000000000006</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9546.7163677880617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9546.7163677880617</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43001.914922363365</v>
      </c>
      <c r="C4" s="443">
        <f>huishoudens!C8</f>
        <v>0</v>
      </c>
      <c r="D4" s="443">
        <f>huishoudens!D8</f>
        <v>76818.310040184326</v>
      </c>
      <c r="E4" s="443">
        <f>huishoudens!E8</f>
        <v>2390.0763533222498</v>
      </c>
      <c r="F4" s="443">
        <f>huishoudens!F8</f>
        <v>60553.821230453417</v>
      </c>
      <c r="G4" s="443">
        <f>huishoudens!G8</f>
        <v>0</v>
      </c>
      <c r="H4" s="443">
        <f>huishoudens!H8</f>
        <v>0</v>
      </c>
      <c r="I4" s="443">
        <f>huishoudens!I8</f>
        <v>0</v>
      </c>
      <c r="J4" s="443">
        <f>huishoudens!J8</f>
        <v>291.37819415491737</v>
      </c>
      <c r="K4" s="443">
        <f>huishoudens!K8</f>
        <v>0</v>
      </c>
      <c r="L4" s="443">
        <f>huishoudens!L8</f>
        <v>0</v>
      </c>
      <c r="M4" s="443">
        <f>huishoudens!M8</f>
        <v>0</v>
      </c>
      <c r="N4" s="443">
        <f>huishoudens!N8</f>
        <v>14133.336230732879</v>
      </c>
      <c r="O4" s="443">
        <f>huishoudens!O8</f>
        <v>551.85666666666668</v>
      </c>
      <c r="P4" s="444">
        <f>huishoudens!P8</f>
        <v>1239.3333333333333</v>
      </c>
      <c r="Q4" s="445">
        <f>SUM(B4:P4)</f>
        <v>198980.02697121113</v>
      </c>
    </row>
    <row r="5" spans="1:17">
      <c r="A5" s="442" t="s">
        <v>149</v>
      </c>
      <c r="B5" s="443">
        <f ca="1">tertiair!B16</f>
        <v>28153.127668923647</v>
      </c>
      <c r="C5" s="443">
        <f ca="1">tertiair!C16</f>
        <v>0</v>
      </c>
      <c r="D5" s="443">
        <f ca="1">tertiair!D16</f>
        <v>27841.953678224567</v>
      </c>
      <c r="E5" s="443">
        <f>tertiair!E16</f>
        <v>450.11423157301118</v>
      </c>
      <c r="F5" s="443">
        <f ca="1">tertiair!F16</f>
        <v>4910.408821826748</v>
      </c>
      <c r="G5" s="443">
        <f>tertiair!G16</f>
        <v>0</v>
      </c>
      <c r="H5" s="443">
        <f>tertiair!H16</f>
        <v>0</v>
      </c>
      <c r="I5" s="443">
        <f>tertiair!I16</f>
        <v>0</v>
      </c>
      <c r="J5" s="443">
        <f>tertiair!J16</f>
        <v>5.4897519510733808E-2</v>
      </c>
      <c r="K5" s="443">
        <f>tertiair!K16</f>
        <v>0</v>
      </c>
      <c r="L5" s="443">
        <f ca="1">tertiair!L16</f>
        <v>0</v>
      </c>
      <c r="M5" s="443">
        <f>tertiair!M16</f>
        <v>0</v>
      </c>
      <c r="N5" s="443">
        <f ca="1">tertiair!N16</f>
        <v>2189.4088297966746</v>
      </c>
      <c r="O5" s="443">
        <f>tertiair!O16</f>
        <v>4.6900000000000004</v>
      </c>
      <c r="P5" s="444">
        <f>tertiair!P16</f>
        <v>0</v>
      </c>
      <c r="Q5" s="442">
        <f t="shared" ref="Q5:Q14" ca="1" si="0">SUM(B5:P5)</f>
        <v>63549.758127864159</v>
      </c>
    </row>
    <row r="6" spans="1:17">
      <c r="A6" s="442" t="s">
        <v>187</v>
      </c>
      <c r="B6" s="443">
        <f>'openbare verlichting'!B8</f>
        <v>1283.1199999999999</v>
      </c>
      <c r="C6" s="443"/>
      <c r="D6" s="443"/>
      <c r="E6" s="443"/>
      <c r="F6" s="443"/>
      <c r="G6" s="443"/>
      <c r="H6" s="443"/>
      <c r="I6" s="443"/>
      <c r="J6" s="443"/>
      <c r="K6" s="443"/>
      <c r="L6" s="443"/>
      <c r="M6" s="443"/>
      <c r="N6" s="443"/>
      <c r="O6" s="443"/>
      <c r="P6" s="444"/>
      <c r="Q6" s="442">
        <f t="shared" si="0"/>
        <v>1283.1199999999999</v>
      </c>
    </row>
    <row r="7" spans="1:17">
      <c r="A7" s="442" t="s">
        <v>105</v>
      </c>
      <c r="B7" s="443">
        <f>landbouw!B8</f>
        <v>3997.526932675572</v>
      </c>
      <c r="C7" s="443">
        <f>landbouw!C8</f>
        <v>0</v>
      </c>
      <c r="D7" s="443">
        <f>landbouw!D8</f>
        <v>496.59933953093559</v>
      </c>
      <c r="E7" s="443">
        <f>landbouw!E8</f>
        <v>117.49952640786739</v>
      </c>
      <c r="F7" s="443">
        <f>landbouw!F8</f>
        <v>16653.481186509114</v>
      </c>
      <c r="G7" s="443">
        <f>landbouw!G8</f>
        <v>0</v>
      </c>
      <c r="H7" s="443">
        <f>landbouw!H8</f>
        <v>0</v>
      </c>
      <c r="I7" s="443">
        <f>landbouw!I8</f>
        <v>0</v>
      </c>
      <c r="J7" s="443">
        <f>landbouw!J8</f>
        <v>579.15580467112022</v>
      </c>
      <c r="K7" s="443">
        <f>landbouw!K8</f>
        <v>0</v>
      </c>
      <c r="L7" s="443">
        <f>landbouw!L8</f>
        <v>0</v>
      </c>
      <c r="M7" s="443">
        <f>landbouw!M8</f>
        <v>0</v>
      </c>
      <c r="N7" s="443">
        <f>landbouw!N8</f>
        <v>0</v>
      </c>
      <c r="O7" s="443">
        <f>landbouw!O8</f>
        <v>0</v>
      </c>
      <c r="P7" s="444">
        <f>landbouw!P8</f>
        <v>0</v>
      </c>
      <c r="Q7" s="442">
        <f t="shared" si="0"/>
        <v>21844.262789794611</v>
      </c>
    </row>
    <row r="8" spans="1:17">
      <c r="A8" s="442" t="s">
        <v>621</v>
      </c>
      <c r="B8" s="443">
        <f>industrie!B18</f>
        <v>28477.543712992927</v>
      </c>
      <c r="C8" s="443">
        <f>industrie!C18</f>
        <v>0</v>
      </c>
      <c r="D8" s="443">
        <f>industrie!D18</f>
        <v>30595.966765797319</v>
      </c>
      <c r="E8" s="443">
        <f>industrie!E18</f>
        <v>1859.9411125288852</v>
      </c>
      <c r="F8" s="443">
        <f>industrie!F18</f>
        <v>6255.1895568820346</v>
      </c>
      <c r="G8" s="443">
        <f>industrie!G18</f>
        <v>0</v>
      </c>
      <c r="H8" s="443">
        <f>industrie!H18</f>
        <v>0</v>
      </c>
      <c r="I8" s="443">
        <f>industrie!I18</f>
        <v>0</v>
      </c>
      <c r="J8" s="443">
        <f>industrie!J18</f>
        <v>57.500182714961674</v>
      </c>
      <c r="K8" s="443">
        <f>industrie!K18</f>
        <v>0</v>
      </c>
      <c r="L8" s="443">
        <f>industrie!L18</f>
        <v>0</v>
      </c>
      <c r="M8" s="443">
        <f>industrie!M18</f>
        <v>0</v>
      </c>
      <c r="N8" s="443">
        <f>industrie!N18</f>
        <v>3366.9964052849773</v>
      </c>
      <c r="O8" s="443">
        <f>industrie!O18</f>
        <v>0</v>
      </c>
      <c r="P8" s="444">
        <f>industrie!P18</f>
        <v>0</v>
      </c>
      <c r="Q8" s="442">
        <f t="shared" si="0"/>
        <v>70613.137736201112</v>
      </c>
    </row>
    <row r="9" spans="1:17" s="448" customFormat="1">
      <c r="A9" s="446" t="s">
        <v>547</v>
      </c>
      <c r="B9" s="447">
        <f>transport!B14</f>
        <v>240.20690190517831</v>
      </c>
      <c r="C9" s="447">
        <f>transport!C14</f>
        <v>0</v>
      </c>
      <c r="D9" s="447">
        <f>transport!D14</f>
        <v>353.87923317507511</v>
      </c>
      <c r="E9" s="447">
        <f>transport!E14</f>
        <v>708.42227840391206</v>
      </c>
      <c r="F9" s="447">
        <f>transport!F14</f>
        <v>0</v>
      </c>
      <c r="G9" s="447">
        <f>transport!G14</f>
        <v>330672.5781303168</v>
      </c>
      <c r="H9" s="447">
        <f>transport!H14</f>
        <v>58639.132478506654</v>
      </c>
      <c r="I9" s="447">
        <f>transport!I14</f>
        <v>0</v>
      </c>
      <c r="J9" s="447">
        <f>transport!J14</f>
        <v>0</v>
      </c>
      <c r="K9" s="447">
        <f>transport!K14</f>
        <v>0</v>
      </c>
      <c r="L9" s="447">
        <f>transport!L14</f>
        <v>0</v>
      </c>
      <c r="M9" s="447">
        <f>transport!M14</f>
        <v>21046.022202286866</v>
      </c>
      <c r="N9" s="447">
        <f>transport!N14</f>
        <v>0</v>
      </c>
      <c r="O9" s="447">
        <f>transport!O14</f>
        <v>0</v>
      </c>
      <c r="P9" s="447">
        <f>transport!P14</f>
        <v>0</v>
      </c>
      <c r="Q9" s="446">
        <f>SUM(B9:P9)</f>
        <v>411660.24122459447</v>
      </c>
    </row>
    <row r="10" spans="1:17">
      <c r="A10" s="442" t="s">
        <v>537</v>
      </c>
      <c r="B10" s="443">
        <f>transport!B54</f>
        <v>16.56274586734683</v>
      </c>
      <c r="C10" s="443">
        <f>transport!C54</f>
        <v>0</v>
      </c>
      <c r="D10" s="443">
        <f>transport!D54</f>
        <v>0</v>
      </c>
      <c r="E10" s="443">
        <f>transport!E54</f>
        <v>0</v>
      </c>
      <c r="F10" s="443">
        <f>transport!F54</f>
        <v>0</v>
      </c>
      <c r="G10" s="443">
        <f>transport!G54</f>
        <v>1555.9055741416178</v>
      </c>
      <c r="H10" s="443">
        <f>transport!H54</f>
        <v>0</v>
      </c>
      <c r="I10" s="443">
        <f>transport!I54</f>
        <v>0</v>
      </c>
      <c r="J10" s="443">
        <f>transport!J54</f>
        <v>0</v>
      </c>
      <c r="K10" s="443">
        <f>transport!K54</f>
        <v>0</v>
      </c>
      <c r="L10" s="443">
        <f>transport!L54</f>
        <v>0</v>
      </c>
      <c r="M10" s="443">
        <f>transport!M54</f>
        <v>89.599930383394508</v>
      </c>
      <c r="N10" s="443">
        <f>transport!N54</f>
        <v>0</v>
      </c>
      <c r="O10" s="443">
        <f>transport!O54</f>
        <v>0</v>
      </c>
      <c r="P10" s="444">
        <f>transport!P54</f>
        <v>0</v>
      </c>
      <c r="Q10" s="442">
        <f t="shared" si="0"/>
        <v>1662.068250392359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2355.0023911735202</v>
      </c>
      <c r="C14" s="450"/>
      <c r="D14" s="450">
        <f>'SEAP template'!E25</f>
        <v>1932.3240039565601</v>
      </c>
      <c r="E14" s="450"/>
      <c r="F14" s="450"/>
      <c r="G14" s="450"/>
      <c r="H14" s="450"/>
      <c r="I14" s="450"/>
      <c r="J14" s="450"/>
      <c r="K14" s="450"/>
      <c r="L14" s="450"/>
      <c r="M14" s="450"/>
      <c r="N14" s="450"/>
      <c r="O14" s="450"/>
      <c r="P14" s="451"/>
      <c r="Q14" s="442">
        <f t="shared" si="0"/>
        <v>4287.3263951300805</v>
      </c>
    </row>
    <row r="15" spans="1:17" s="452" customFormat="1">
      <c r="A15" s="997" t="s">
        <v>541</v>
      </c>
      <c r="B15" s="945">
        <f ca="1">SUM(B4:B14)</f>
        <v>107525.00527590155</v>
      </c>
      <c r="C15" s="945">
        <f t="shared" ref="C15:Q15" ca="1" si="1">SUM(C4:C14)</f>
        <v>0</v>
      </c>
      <c r="D15" s="945">
        <f t="shared" ca="1" si="1"/>
        <v>138039.03306086879</v>
      </c>
      <c r="E15" s="945">
        <f t="shared" si="1"/>
        <v>5526.0535022359254</v>
      </c>
      <c r="F15" s="945">
        <f t="shared" ca="1" si="1"/>
        <v>88372.900795671318</v>
      </c>
      <c r="G15" s="945">
        <f t="shared" si="1"/>
        <v>332228.4837044584</v>
      </c>
      <c r="H15" s="945">
        <f t="shared" si="1"/>
        <v>58639.132478506654</v>
      </c>
      <c r="I15" s="945">
        <f t="shared" si="1"/>
        <v>0</v>
      </c>
      <c r="J15" s="945">
        <f t="shared" si="1"/>
        <v>928.08907906051002</v>
      </c>
      <c r="K15" s="945">
        <f t="shared" si="1"/>
        <v>0</v>
      </c>
      <c r="L15" s="945">
        <f t="shared" ca="1" si="1"/>
        <v>0</v>
      </c>
      <c r="M15" s="945">
        <f t="shared" si="1"/>
        <v>21135.622132670262</v>
      </c>
      <c r="N15" s="945">
        <f t="shared" ca="1" si="1"/>
        <v>19689.741465814528</v>
      </c>
      <c r="O15" s="945">
        <f t="shared" si="1"/>
        <v>556.54666666666674</v>
      </c>
      <c r="P15" s="945">
        <f t="shared" si="1"/>
        <v>1239.3333333333333</v>
      </c>
      <c r="Q15" s="945">
        <f t="shared" ca="1" si="1"/>
        <v>773879.94149518793</v>
      </c>
    </row>
    <row r="17" spans="1:17">
      <c r="A17" s="453" t="s">
        <v>542</v>
      </c>
      <c r="B17" s="752">
        <f ca="1">huishoudens!B10</f>
        <v>0.20137829143214175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8659.6521553758557</v>
      </c>
      <c r="C22" s="443">
        <f t="shared" ref="C22:C32" ca="1" si="3">C4*$C$17</f>
        <v>0</v>
      </c>
      <c r="D22" s="443">
        <f t="shared" ref="D22:D32" si="4">D4*$D$17</f>
        <v>15517.298628117234</v>
      </c>
      <c r="E22" s="443">
        <f t="shared" ref="E22:E32" si="5">E4*$E$17</f>
        <v>542.54733220415073</v>
      </c>
      <c r="F22" s="443">
        <f t="shared" ref="F22:F32" si="6">F4*$F$17</f>
        <v>16167.870268531064</v>
      </c>
      <c r="G22" s="443">
        <f t="shared" ref="G22:G32" si="7">G4*$G$17</f>
        <v>0</v>
      </c>
      <c r="H22" s="443">
        <f t="shared" ref="H22:H32" si="8">H4*$H$17</f>
        <v>0</v>
      </c>
      <c r="I22" s="443">
        <f t="shared" ref="I22:I32" si="9">I4*$I$17</f>
        <v>0</v>
      </c>
      <c r="J22" s="443">
        <f t="shared" ref="J22:J32" si="10">J4*$J$17</f>
        <v>103.14788073084074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40990.516264959144</v>
      </c>
    </row>
    <row r="23" spans="1:17">
      <c r="A23" s="442" t="s">
        <v>149</v>
      </c>
      <c r="B23" s="443">
        <f t="shared" ca="1" si="2"/>
        <v>5669.4287484387996</v>
      </c>
      <c r="C23" s="443">
        <f t="shared" ca="1" si="3"/>
        <v>0</v>
      </c>
      <c r="D23" s="443">
        <f t="shared" ca="1" si="4"/>
        <v>5624.0746430013633</v>
      </c>
      <c r="E23" s="443">
        <f t="shared" si="5"/>
        <v>102.17593056707354</v>
      </c>
      <c r="F23" s="443">
        <f t="shared" ca="1" si="6"/>
        <v>1311.0791554277419</v>
      </c>
      <c r="G23" s="443">
        <f t="shared" si="7"/>
        <v>0</v>
      </c>
      <c r="H23" s="443">
        <f t="shared" si="8"/>
        <v>0</v>
      </c>
      <c r="I23" s="443">
        <f t="shared" si="9"/>
        <v>0</v>
      </c>
      <c r="J23" s="443">
        <f t="shared" si="10"/>
        <v>1.9433721906799768E-2</v>
      </c>
      <c r="K23" s="443">
        <f t="shared" si="11"/>
        <v>0</v>
      </c>
      <c r="L23" s="443">
        <f t="shared" ca="1" si="12"/>
        <v>0</v>
      </c>
      <c r="M23" s="443">
        <f t="shared" si="13"/>
        <v>0</v>
      </c>
      <c r="N23" s="443">
        <f t="shared" ca="1" si="14"/>
        <v>0</v>
      </c>
      <c r="O23" s="443">
        <f t="shared" si="15"/>
        <v>0</v>
      </c>
      <c r="P23" s="444">
        <f t="shared" si="16"/>
        <v>0</v>
      </c>
      <c r="Q23" s="442">
        <f t="shared" ref="Q23:Q32" ca="1" si="17">SUM(B23:P23)</f>
        <v>12706.777911156885</v>
      </c>
    </row>
    <row r="24" spans="1:17">
      <c r="A24" s="442" t="s">
        <v>187</v>
      </c>
      <c r="B24" s="443">
        <f t="shared" ca="1" si="2"/>
        <v>258.39251330240972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258.39251330240972</v>
      </c>
    </row>
    <row r="25" spans="1:17">
      <c r="A25" s="442" t="s">
        <v>105</v>
      </c>
      <c r="B25" s="443">
        <f t="shared" ca="1" si="2"/>
        <v>805.01514365617709</v>
      </c>
      <c r="C25" s="443">
        <f t="shared" ca="1" si="3"/>
        <v>0</v>
      </c>
      <c r="D25" s="443">
        <f t="shared" si="4"/>
        <v>100.31306658524899</v>
      </c>
      <c r="E25" s="443">
        <f t="shared" si="5"/>
        <v>26.6723924945859</v>
      </c>
      <c r="F25" s="443">
        <f t="shared" si="6"/>
        <v>4446.4794767979338</v>
      </c>
      <c r="G25" s="443">
        <f t="shared" si="7"/>
        <v>0</v>
      </c>
      <c r="H25" s="443">
        <f t="shared" si="8"/>
        <v>0</v>
      </c>
      <c r="I25" s="443">
        <f t="shared" si="9"/>
        <v>0</v>
      </c>
      <c r="J25" s="443">
        <f t="shared" si="10"/>
        <v>205.02115485357655</v>
      </c>
      <c r="K25" s="443">
        <f t="shared" si="11"/>
        <v>0</v>
      </c>
      <c r="L25" s="443">
        <f t="shared" si="12"/>
        <v>0</v>
      </c>
      <c r="M25" s="443">
        <f t="shared" si="13"/>
        <v>0</v>
      </c>
      <c r="N25" s="443">
        <f t="shared" si="14"/>
        <v>0</v>
      </c>
      <c r="O25" s="443">
        <f t="shared" si="15"/>
        <v>0</v>
      </c>
      <c r="P25" s="444">
        <f t="shared" si="16"/>
        <v>0</v>
      </c>
      <c r="Q25" s="442">
        <f t="shared" ca="1" si="17"/>
        <v>5583.5012343875223</v>
      </c>
    </row>
    <row r="26" spans="1:17">
      <c r="A26" s="442" t="s">
        <v>621</v>
      </c>
      <c r="B26" s="443">
        <f t="shared" ca="1" si="2"/>
        <v>5734.7590971066456</v>
      </c>
      <c r="C26" s="443">
        <f t="shared" ca="1" si="3"/>
        <v>0</v>
      </c>
      <c r="D26" s="443">
        <f t="shared" si="4"/>
        <v>6180.3852866910584</v>
      </c>
      <c r="E26" s="443">
        <f t="shared" si="5"/>
        <v>422.20663254405696</v>
      </c>
      <c r="F26" s="443">
        <f t="shared" si="6"/>
        <v>1670.1356116875033</v>
      </c>
      <c r="G26" s="443">
        <f t="shared" si="7"/>
        <v>0</v>
      </c>
      <c r="H26" s="443">
        <f t="shared" si="8"/>
        <v>0</v>
      </c>
      <c r="I26" s="443">
        <f t="shared" si="9"/>
        <v>0</v>
      </c>
      <c r="J26" s="443">
        <f t="shared" si="10"/>
        <v>20.355064681096433</v>
      </c>
      <c r="K26" s="443">
        <f t="shared" si="11"/>
        <v>0</v>
      </c>
      <c r="L26" s="443">
        <f t="shared" si="12"/>
        <v>0</v>
      </c>
      <c r="M26" s="443">
        <f t="shared" si="13"/>
        <v>0</v>
      </c>
      <c r="N26" s="443">
        <f t="shared" si="14"/>
        <v>0</v>
      </c>
      <c r="O26" s="443">
        <f t="shared" si="15"/>
        <v>0</v>
      </c>
      <c r="P26" s="444">
        <f t="shared" si="16"/>
        <v>0</v>
      </c>
      <c r="Q26" s="442">
        <f t="shared" ca="1" si="17"/>
        <v>14027.841692710361</v>
      </c>
    </row>
    <row r="27" spans="1:17" s="448" customFormat="1">
      <c r="A27" s="446" t="s">
        <v>547</v>
      </c>
      <c r="B27" s="746">
        <f t="shared" ca="1" si="2"/>
        <v>48.372455495872885</v>
      </c>
      <c r="C27" s="447">
        <f t="shared" ca="1" si="3"/>
        <v>0</v>
      </c>
      <c r="D27" s="447">
        <f t="shared" si="4"/>
        <v>71.483605101365171</v>
      </c>
      <c r="E27" s="447">
        <f t="shared" si="5"/>
        <v>160.81185719768806</v>
      </c>
      <c r="F27" s="447">
        <f t="shared" si="6"/>
        <v>0</v>
      </c>
      <c r="G27" s="447">
        <f t="shared" si="7"/>
        <v>88289.578360794592</v>
      </c>
      <c r="H27" s="447">
        <f t="shared" si="8"/>
        <v>14601.143987148156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103171.39026573767</v>
      </c>
    </row>
    <row r="28" spans="1:17">
      <c r="A28" s="442" t="s">
        <v>537</v>
      </c>
      <c r="B28" s="443">
        <f t="shared" ca="1" si="2"/>
        <v>3.3353774641910716</v>
      </c>
      <c r="C28" s="443">
        <f t="shared" ca="1" si="3"/>
        <v>0</v>
      </c>
      <c r="D28" s="443">
        <f t="shared" si="4"/>
        <v>0</v>
      </c>
      <c r="E28" s="443">
        <f t="shared" si="5"/>
        <v>0</v>
      </c>
      <c r="F28" s="443">
        <f t="shared" si="6"/>
        <v>0</v>
      </c>
      <c r="G28" s="443">
        <f t="shared" si="7"/>
        <v>415.42678829581195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418.76216576000303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474.24635785313183</v>
      </c>
      <c r="C32" s="443">
        <f t="shared" ca="1" si="3"/>
        <v>0</v>
      </c>
      <c r="D32" s="443">
        <f t="shared" si="4"/>
        <v>390.32944879922519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864.57580665235696</v>
      </c>
    </row>
    <row r="33" spans="1:17" s="452" customFormat="1">
      <c r="A33" s="997" t="s">
        <v>541</v>
      </c>
      <c r="B33" s="945">
        <f ca="1">SUM(B22:B32)</f>
        <v>21653.201848693083</v>
      </c>
      <c r="C33" s="945">
        <f t="shared" ref="C33:Q33" ca="1" si="18">SUM(C22:C32)</f>
        <v>0</v>
      </c>
      <c r="D33" s="945">
        <f t="shared" ca="1" si="18"/>
        <v>27883.884678295497</v>
      </c>
      <c r="E33" s="945">
        <f t="shared" si="18"/>
        <v>1254.4141450075554</v>
      </c>
      <c r="F33" s="945">
        <f t="shared" ca="1" si="18"/>
        <v>23595.564512444242</v>
      </c>
      <c r="G33" s="945">
        <f t="shared" si="18"/>
        <v>88705.005149090401</v>
      </c>
      <c r="H33" s="945">
        <f t="shared" si="18"/>
        <v>14601.143987148156</v>
      </c>
      <c r="I33" s="945">
        <f t="shared" si="18"/>
        <v>0</v>
      </c>
      <c r="J33" s="945">
        <f t="shared" si="18"/>
        <v>328.54353398742052</v>
      </c>
      <c r="K33" s="945">
        <f t="shared" si="18"/>
        <v>0</v>
      </c>
      <c r="L33" s="945">
        <f t="shared" ca="1" si="18"/>
        <v>0</v>
      </c>
      <c r="M33" s="945">
        <f t="shared" si="18"/>
        <v>0</v>
      </c>
      <c r="N33" s="945">
        <f t="shared" ca="1" si="18"/>
        <v>0</v>
      </c>
      <c r="O33" s="945">
        <f t="shared" si="18"/>
        <v>0</v>
      </c>
      <c r="P33" s="945">
        <f t="shared" si="18"/>
        <v>0</v>
      </c>
      <c r="Q33" s="945">
        <f t="shared" ca="1" si="18"/>
        <v>178021.75785466636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9546.7163677880617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9546.7163677880617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0.20137829143214175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0.20137829143214175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0.20137829143214175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0.20137829143214175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9532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4646.92</v>
      </c>
      <c r="C14" s="324"/>
      <c r="D14" s="324"/>
      <c r="E14" s="324"/>
      <c r="F14" s="324"/>
    </row>
    <row r="15" spans="1:6">
      <c r="A15" s="1289" t="s">
        <v>177</v>
      </c>
      <c r="B15" s="1290">
        <v>489</v>
      </c>
      <c r="C15" s="324"/>
      <c r="D15" s="324"/>
      <c r="E15" s="324"/>
      <c r="F15" s="324"/>
    </row>
    <row r="16" spans="1:6">
      <c r="A16" s="1289" t="s">
        <v>6</v>
      </c>
      <c r="B16" s="1290">
        <v>2447</v>
      </c>
      <c r="C16" s="324"/>
      <c r="D16" s="324"/>
      <c r="E16" s="324"/>
      <c r="F16" s="324"/>
    </row>
    <row r="17" spans="1:6">
      <c r="A17" s="1289" t="s">
        <v>7</v>
      </c>
      <c r="B17" s="1290">
        <v>1657</v>
      </c>
      <c r="C17" s="324"/>
      <c r="D17" s="324"/>
      <c r="E17" s="324"/>
      <c r="F17" s="324"/>
    </row>
    <row r="18" spans="1:6">
      <c r="A18" s="1289" t="s">
        <v>8</v>
      </c>
      <c r="B18" s="1290">
        <v>2504</v>
      </c>
      <c r="C18" s="324"/>
      <c r="D18" s="324"/>
      <c r="E18" s="324"/>
      <c r="F18" s="324"/>
    </row>
    <row r="19" spans="1:6">
      <c r="A19" s="1289" t="s">
        <v>9</v>
      </c>
      <c r="B19" s="1290">
        <v>2534</v>
      </c>
      <c r="C19" s="324"/>
      <c r="D19" s="324"/>
      <c r="E19" s="324"/>
      <c r="F19" s="324"/>
    </row>
    <row r="20" spans="1:6">
      <c r="A20" s="1289" t="s">
        <v>10</v>
      </c>
      <c r="B20" s="1290">
        <v>1804</v>
      </c>
      <c r="C20" s="324"/>
      <c r="D20" s="324"/>
      <c r="E20" s="324"/>
      <c r="F20" s="324"/>
    </row>
    <row r="21" spans="1:6">
      <c r="A21" s="1289" t="s">
        <v>11</v>
      </c>
      <c r="B21" s="1290">
        <v>6495</v>
      </c>
      <c r="C21" s="324"/>
      <c r="D21" s="324"/>
      <c r="E21" s="324"/>
      <c r="F21" s="324"/>
    </row>
    <row r="22" spans="1:6">
      <c r="A22" s="1289" t="s">
        <v>12</v>
      </c>
      <c r="B22" s="1290">
        <v>53357</v>
      </c>
      <c r="C22" s="324"/>
      <c r="D22" s="324"/>
      <c r="E22" s="324"/>
      <c r="F22" s="324"/>
    </row>
    <row r="23" spans="1:6">
      <c r="A23" s="1289" t="s">
        <v>13</v>
      </c>
      <c r="B23" s="1290">
        <v>71</v>
      </c>
      <c r="C23" s="324"/>
      <c r="D23" s="324"/>
      <c r="E23" s="324"/>
      <c r="F23" s="324"/>
    </row>
    <row r="24" spans="1:6">
      <c r="A24" s="1289" t="s">
        <v>14</v>
      </c>
      <c r="B24" s="1290">
        <v>9</v>
      </c>
      <c r="C24" s="324"/>
      <c r="D24" s="324"/>
      <c r="E24" s="324"/>
      <c r="F24" s="324"/>
    </row>
    <row r="25" spans="1:6">
      <c r="A25" s="1289" t="s">
        <v>15</v>
      </c>
      <c r="B25" s="1290">
        <v>899</v>
      </c>
      <c r="C25" s="324"/>
      <c r="D25" s="324"/>
      <c r="E25" s="324"/>
      <c r="F25" s="324"/>
    </row>
    <row r="26" spans="1:6">
      <c r="A26" s="1289" t="s">
        <v>16</v>
      </c>
      <c r="B26" s="1290">
        <v>568</v>
      </c>
      <c r="C26" s="324"/>
      <c r="D26" s="324"/>
      <c r="E26" s="324"/>
      <c r="F26" s="324"/>
    </row>
    <row r="27" spans="1:6">
      <c r="A27" s="1289" t="s">
        <v>17</v>
      </c>
      <c r="B27" s="1290">
        <v>20</v>
      </c>
      <c r="C27" s="324"/>
      <c r="D27" s="324"/>
      <c r="E27" s="324"/>
      <c r="F27" s="324"/>
    </row>
    <row r="28" spans="1:6">
      <c r="A28" s="1289" t="s">
        <v>18</v>
      </c>
      <c r="B28" s="1291">
        <v>301612</v>
      </c>
      <c r="C28" s="324"/>
      <c r="D28" s="324"/>
      <c r="E28" s="324"/>
      <c r="F28" s="324"/>
    </row>
    <row r="29" spans="1:6">
      <c r="A29" s="1289" t="s">
        <v>716</v>
      </c>
      <c r="B29" s="1291">
        <v>149</v>
      </c>
      <c r="C29" s="324"/>
      <c r="D29" s="324"/>
      <c r="E29" s="324"/>
      <c r="F29" s="324"/>
    </row>
    <row r="30" spans="1:6">
      <c r="A30" s="1284" t="s">
        <v>717</v>
      </c>
      <c r="B30" s="1292">
        <v>29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149749.346237869</v>
      </c>
      <c r="E38" s="1290">
        <v>6</v>
      </c>
      <c r="F38" s="1290">
        <v>41565.198419940702</v>
      </c>
    </row>
    <row r="39" spans="1:6">
      <c r="A39" s="1289" t="s">
        <v>29</v>
      </c>
      <c r="B39" s="1289" t="s">
        <v>30</v>
      </c>
      <c r="C39" s="1290">
        <v>5640</v>
      </c>
      <c r="D39" s="1290">
        <v>85164423.547876194</v>
      </c>
      <c r="E39" s="1290">
        <v>8941</v>
      </c>
      <c r="F39" s="1290">
        <v>37221928.759156004</v>
      </c>
    </row>
    <row r="40" spans="1:6">
      <c r="A40" s="1289" t="s">
        <v>29</v>
      </c>
      <c r="B40" s="1289" t="s">
        <v>28</v>
      </c>
      <c r="C40" s="1290">
        <v>0</v>
      </c>
      <c r="D40" s="1290">
        <v>0</v>
      </c>
      <c r="E40" s="1290">
        <v>0</v>
      </c>
      <c r="F40" s="1290">
        <v>0</v>
      </c>
    </row>
    <row r="41" spans="1:6">
      <c r="A41" s="1289" t="s">
        <v>31</v>
      </c>
      <c r="B41" s="1289" t="s">
        <v>32</v>
      </c>
      <c r="C41" s="1290">
        <v>127</v>
      </c>
      <c r="D41" s="1290">
        <v>2519960.8700112002</v>
      </c>
      <c r="E41" s="1290">
        <v>285</v>
      </c>
      <c r="F41" s="1290">
        <v>3259708.38687552</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6</v>
      </c>
      <c r="D44" s="1290">
        <v>3496999.9746028902</v>
      </c>
      <c r="E44" s="1290">
        <v>28</v>
      </c>
      <c r="F44" s="1290">
        <v>1908918.22352116</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6</v>
      </c>
      <c r="D47" s="1290">
        <v>1757314.3564236099</v>
      </c>
      <c r="E47" s="1290">
        <v>8</v>
      </c>
      <c r="F47" s="1290">
        <v>4298545.85695705</v>
      </c>
    </row>
    <row r="48" spans="1:6">
      <c r="A48" s="1289" t="s">
        <v>31</v>
      </c>
      <c r="B48" s="1289" t="s">
        <v>28</v>
      </c>
      <c r="C48" s="1290">
        <v>49</v>
      </c>
      <c r="D48" s="1290">
        <v>23410134.8552287</v>
      </c>
      <c r="E48" s="1290">
        <v>61</v>
      </c>
      <c r="F48" s="1290">
        <v>15875886.6287503</v>
      </c>
    </row>
    <row r="49" spans="1:6">
      <c r="A49" s="1289" t="s">
        <v>31</v>
      </c>
      <c r="B49" s="1289" t="s">
        <v>39</v>
      </c>
      <c r="C49" s="1290">
        <v>0</v>
      </c>
      <c r="D49" s="1290">
        <v>0</v>
      </c>
      <c r="E49" s="1290">
        <v>12</v>
      </c>
      <c r="F49" s="1290">
        <v>213606.096571195</v>
      </c>
    </row>
    <row r="50" spans="1:6">
      <c r="A50" s="1289" t="s">
        <v>31</v>
      </c>
      <c r="B50" s="1289" t="s">
        <v>40</v>
      </c>
      <c r="C50" s="1290">
        <v>22</v>
      </c>
      <c r="D50" s="1290">
        <v>2735730.4823115598</v>
      </c>
      <c r="E50" s="1290">
        <v>46</v>
      </c>
      <c r="F50" s="1290">
        <v>2920878.5203177002</v>
      </c>
    </row>
    <row r="51" spans="1:6">
      <c r="A51" s="1289" t="s">
        <v>41</v>
      </c>
      <c r="B51" s="1289" t="s">
        <v>42</v>
      </c>
      <c r="C51" s="1290">
        <v>17</v>
      </c>
      <c r="D51" s="1290">
        <v>473767.4071596</v>
      </c>
      <c r="E51" s="1290">
        <v>187</v>
      </c>
      <c r="F51" s="1290">
        <v>3856943.10272406</v>
      </c>
    </row>
    <row r="52" spans="1:6">
      <c r="A52" s="1289" t="s">
        <v>41</v>
      </c>
      <c r="B52" s="1289" t="s">
        <v>28</v>
      </c>
      <c r="C52" s="1290">
        <v>4</v>
      </c>
      <c r="D52" s="1290">
        <v>76786.184338111299</v>
      </c>
      <c r="E52" s="1290">
        <v>4</v>
      </c>
      <c r="F52" s="1290">
        <v>140583.82995151199</v>
      </c>
    </row>
    <row r="53" spans="1:6">
      <c r="A53" s="1289" t="s">
        <v>43</v>
      </c>
      <c r="B53" s="1289" t="s">
        <v>44</v>
      </c>
      <c r="C53" s="1290">
        <v>137</v>
      </c>
      <c r="D53" s="1290">
        <v>1932324.00395656</v>
      </c>
      <c r="E53" s="1290">
        <v>353</v>
      </c>
      <c r="F53" s="1290">
        <v>2355002.3911735201</v>
      </c>
    </row>
    <row r="54" spans="1:6">
      <c r="A54" s="1289" t="s">
        <v>45</v>
      </c>
      <c r="B54" s="1289" t="s">
        <v>46</v>
      </c>
      <c r="C54" s="1290">
        <v>0</v>
      </c>
      <c r="D54" s="1290">
        <v>0</v>
      </c>
      <c r="E54" s="1290">
        <v>1</v>
      </c>
      <c r="F54" s="1290">
        <v>1283120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49</v>
      </c>
      <c r="D57" s="1290">
        <v>2572470.7980720699</v>
      </c>
      <c r="E57" s="1290">
        <v>196</v>
      </c>
      <c r="F57" s="1290">
        <v>2272409.9538410902</v>
      </c>
    </row>
    <row r="58" spans="1:6">
      <c r="A58" s="1289" t="s">
        <v>48</v>
      </c>
      <c r="B58" s="1289" t="s">
        <v>50</v>
      </c>
      <c r="C58" s="1290">
        <v>30</v>
      </c>
      <c r="D58" s="1290">
        <v>868724.19182376401</v>
      </c>
      <c r="E58" s="1290">
        <v>63</v>
      </c>
      <c r="F58" s="1290">
        <v>754216.91688035894</v>
      </c>
    </row>
    <row r="59" spans="1:6">
      <c r="A59" s="1289" t="s">
        <v>48</v>
      </c>
      <c r="B59" s="1289" t="s">
        <v>51</v>
      </c>
      <c r="C59" s="1290">
        <v>136</v>
      </c>
      <c r="D59" s="1290">
        <v>5434231.0151919201</v>
      </c>
      <c r="E59" s="1290">
        <v>348</v>
      </c>
      <c r="F59" s="1290">
        <v>10182473.020452701</v>
      </c>
    </row>
    <row r="60" spans="1:6">
      <c r="A60" s="1289" t="s">
        <v>48</v>
      </c>
      <c r="B60" s="1289" t="s">
        <v>52</v>
      </c>
      <c r="C60" s="1290">
        <v>58</v>
      </c>
      <c r="D60" s="1290">
        <v>3328004.43403506</v>
      </c>
      <c r="E60" s="1290">
        <v>95</v>
      </c>
      <c r="F60" s="1290">
        <v>2893970.3337120102</v>
      </c>
    </row>
    <row r="61" spans="1:6">
      <c r="A61" s="1289" t="s">
        <v>48</v>
      </c>
      <c r="B61" s="1289" t="s">
        <v>53</v>
      </c>
      <c r="C61" s="1290">
        <v>244</v>
      </c>
      <c r="D61" s="1290">
        <v>8831663.1905642897</v>
      </c>
      <c r="E61" s="1290">
        <v>450</v>
      </c>
      <c r="F61" s="1290">
        <v>9220895.0169069394</v>
      </c>
    </row>
    <row r="62" spans="1:6">
      <c r="A62" s="1289" t="s">
        <v>48</v>
      </c>
      <c r="B62" s="1289" t="s">
        <v>54</v>
      </c>
      <c r="C62" s="1290">
        <v>18</v>
      </c>
      <c r="D62" s="1290">
        <v>1465004.03964924</v>
      </c>
      <c r="E62" s="1290">
        <v>26</v>
      </c>
      <c r="F62" s="1290">
        <v>527965.26020820695</v>
      </c>
    </row>
    <row r="63" spans="1:6">
      <c r="A63" s="1289" t="s">
        <v>48</v>
      </c>
      <c r="B63" s="1289" t="s">
        <v>28</v>
      </c>
      <c r="C63" s="1290">
        <v>110</v>
      </c>
      <c r="D63" s="1290">
        <v>8366813.2821321301</v>
      </c>
      <c r="E63" s="1290">
        <v>95</v>
      </c>
      <c r="F63" s="1290">
        <v>2301197.1669223402</v>
      </c>
    </row>
    <row r="64" spans="1:6">
      <c r="A64" s="1289" t="s">
        <v>55</v>
      </c>
      <c r="B64" s="1289" t="s">
        <v>56</v>
      </c>
      <c r="C64" s="1290">
        <v>0</v>
      </c>
      <c r="D64" s="1290">
        <v>0</v>
      </c>
      <c r="E64" s="1290">
        <v>0</v>
      </c>
      <c r="F64" s="1290">
        <v>0</v>
      </c>
    </row>
    <row r="65" spans="1:6">
      <c r="A65" s="1289" t="s">
        <v>55</v>
      </c>
      <c r="B65" s="1289" t="s">
        <v>28</v>
      </c>
      <c r="C65" s="1290">
        <v>1</v>
      </c>
      <c r="D65" s="1290">
        <v>7858.2612212650001</v>
      </c>
      <c r="E65" s="1290">
        <v>2</v>
      </c>
      <c r="F65" s="1290">
        <v>8230.7719506316007</v>
      </c>
    </row>
    <row r="66" spans="1:6">
      <c r="A66" s="1289" t="s">
        <v>55</v>
      </c>
      <c r="B66" s="1289" t="s">
        <v>57</v>
      </c>
      <c r="C66" s="1290">
        <v>0</v>
      </c>
      <c r="D66" s="1290">
        <v>0</v>
      </c>
      <c r="E66" s="1290">
        <v>20</v>
      </c>
      <c r="F66" s="1290">
        <v>1111117.8508148501</v>
      </c>
    </row>
    <row r="67" spans="1:6">
      <c r="A67" s="1289" t="s">
        <v>55</v>
      </c>
      <c r="B67" s="1289" t="s">
        <v>58</v>
      </c>
      <c r="C67" s="1290">
        <v>0</v>
      </c>
      <c r="D67" s="1290">
        <v>0</v>
      </c>
      <c r="E67" s="1290">
        <v>0</v>
      </c>
      <c r="F67" s="1290">
        <v>0</v>
      </c>
    </row>
    <row r="68" spans="1:6">
      <c r="A68" s="1284" t="s">
        <v>55</v>
      </c>
      <c r="B68" s="1284" t="s">
        <v>59</v>
      </c>
      <c r="C68" s="1292">
        <v>10</v>
      </c>
      <c r="D68" s="1292">
        <v>861631.41513231595</v>
      </c>
      <c r="E68" s="1292">
        <v>24</v>
      </c>
      <c r="F68" s="1292">
        <v>5809948.1984834196</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76671447</v>
      </c>
      <c r="E73" s="441"/>
      <c r="F73" s="324"/>
    </row>
    <row r="74" spans="1:6">
      <c r="A74" s="1289" t="s">
        <v>63</v>
      </c>
      <c r="B74" s="1289" t="s">
        <v>642</v>
      </c>
      <c r="C74" s="1302" t="s">
        <v>644</v>
      </c>
      <c r="D74" s="1290">
        <v>7108691</v>
      </c>
      <c r="E74" s="441"/>
      <c r="F74" s="324"/>
    </row>
    <row r="75" spans="1:6">
      <c r="A75" s="1289" t="s">
        <v>64</v>
      </c>
      <c r="B75" s="1289" t="s">
        <v>641</v>
      </c>
      <c r="C75" s="1302" t="s">
        <v>645</v>
      </c>
      <c r="D75" s="1290">
        <v>39959789</v>
      </c>
      <c r="E75" s="441"/>
      <c r="F75" s="324"/>
    </row>
    <row r="76" spans="1:6">
      <c r="A76" s="1289" t="s">
        <v>64</v>
      </c>
      <c r="B76" s="1289" t="s">
        <v>642</v>
      </c>
      <c r="C76" s="1302" t="s">
        <v>646</v>
      </c>
      <c r="D76" s="1290">
        <v>2401447</v>
      </c>
      <c r="E76" s="441"/>
      <c r="F76" s="324"/>
    </row>
    <row r="77" spans="1:6">
      <c r="A77" s="1289" t="s">
        <v>65</v>
      </c>
      <c r="B77" s="1289" t="s">
        <v>641</v>
      </c>
      <c r="C77" s="1302" t="s">
        <v>647</v>
      </c>
      <c r="D77" s="1290">
        <v>287108437</v>
      </c>
      <c r="E77" s="441"/>
      <c r="F77" s="324"/>
    </row>
    <row r="78" spans="1:6">
      <c r="A78" s="1284" t="s">
        <v>65</v>
      </c>
      <c r="B78" s="1284" t="s">
        <v>642</v>
      </c>
      <c r="C78" s="1284" t="s">
        <v>648</v>
      </c>
      <c r="D78" s="1292">
        <v>43667425</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452060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5779.9861632073562</v>
      </c>
      <c r="C91" s="324"/>
      <c r="D91" s="324"/>
      <c r="E91" s="324"/>
      <c r="F91" s="324"/>
    </row>
    <row r="92" spans="1:6">
      <c r="A92" s="1284" t="s">
        <v>68</v>
      </c>
      <c r="B92" s="1285">
        <v>3766.730204580705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2716</v>
      </c>
      <c r="C97" s="324"/>
      <c r="D97" s="324"/>
      <c r="E97" s="324"/>
      <c r="F97" s="324"/>
    </row>
    <row r="98" spans="1:6">
      <c r="A98" s="1289" t="s">
        <v>71</v>
      </c>
      <c r="B98" s="1290">
        <v>1</v>
      </c>
      <c r="C98" s="324"/>
      <c r="D98" s="324"/>
      <c r="E98" s="324"/>
      <c r="F98" s="324"/>
    </row>
    <row r="99" spans="1:6">
      <c r="A99" s="1289" t="s">
        <v>72</v>
      </c>
      <c r="B99" s="1290">
        <v>234</v>
      </c>
      <c r="C99" s="324"/>
      <c r="D99" s="324"/>
      <c r="E99" s="324"/>
      <c r="F99" s="324"/>
    </row>
    <row r="100" spans="1:6">
      <c r="A100" s="1289" t="s">
        <v>73</v>
      </c>
      <c r="B100" s="1290">
        <v>1001</v>
      </c>
      <c r="C100" s="324"/>
      <c r="D100" s="324"/>
      <c r="E100" s="324"/>
      <c r="F100" s="324"/>
    </row>
    <row r="101" spans="1:6">
      <c r="A101" s="1289" t="s">
        <v>74</v>
      </c>
      <c r="B101" s="1290">
        <v>222</v>
      </c>
      <c r="C101" s="324"/>
      <c r="D101" s="324"/>
      <c r="E101" s="324"/>
      <c r="F101" s="324"/>
    </row>
    <row r="102" spans="1:6">
      <c r="A102" s="1289" t="s">
        <v>75</v>
      </c>
      <c r="B102" s="1290">
        <v>140</v>
      </c>
      <c r="C102" s="324"/>
      <c r="D102" s="324"/>
      <c r="E102" s="324"/>
      <c r="F102" s="324"/>
    </row>
    <row r="103" spans="1:6">
      <c r="A103" s="1289" t="s">
        <v>76</v>
      </c>
      <c r="B103" s="1290">
        <v>292</v>
      </c>
      <c r="C103" s="324"/>
      <c r="D103" s="324"/>
      <c r="E103" s="324"/>
      <c r="F103" s="324"/>
    </row>
    <row r="104" spans="1:6">
      <c r="A104" s="1289" t="s">
        <v>77</v>
      </c>
      <c r="B104" s="1290">
        <v>3420</v>
      </c>
      <c r="C104" s="324"/>
      <c r="D104" s="324"/>
      <c r="E104" s="324"/>
      <c r="F104" s="324"/>
    </row>
    <row r="105" spans="1:6">
      <c r="A105" s="1284" t="s">
        <v>78</v>
      </c>
      <c r="B105" s="1292">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29</v>
      </c>
      <c r="C123" s="1290">
        <v>46</v>
      </c>
      <c r="D123" s="324"/>
      <c r="E123" s="324"/>
      <c r="F123" s="324"/>
    </row>
    <row r="124" spans="1:6">
      <c r="A124" s="1289" t="s">
        <v>88</v>
      </c>
      <c r="B124" s="1290">
        <v>1</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304</v>
      </c>
      <c r="C129" s="324"/>
      <c r="D129" s="324"/>
      <c r="E129" s="324"/>
      <c r="F129" s="324"/>
    </row>
    <row r="130" spans="1:6">
      <c r="A130" s="1289" t="s">
        <v>283</v>
      </c>
      <c r="B130" s="1290">
        <v>3</v>
      </c>
      <c r="C130" s="324"/>
      <c r="D130" s="324"/>
      <c r="E130" s="324"/>
      <c r="F130" s="324"/>
    </row>
    <row r="131" spans="1:6">
      <c r="A131" s="1289" t="s">
        <v>284</v>
      </c>
      <c r="B131" s="1290">
        <v>0</v>
      </c>
      <c r="C131" s="324"/>
      <c r="D131" s="324"/>
      <c r="E131" s="324"/>
      <c r="F131" s="324"/>
    </row>
    <row r="132" spans="1:6">
      <c r="A132" s="1284" t="s">
        <v>285</v>
      </c>
      <c r="B132" s="1285">
        <v>35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107525.00527590155</v>
      </c>
      <c r="C3" s="43" t="s">
        <v>163</v>
      </c>
      <c r="D3" s="43"/>
      <c r="E3" s="154"/>
      <c r="F3" s="43"/>
      <c r="G3" s="43"/>
      <c r="H3" s="43"/>
      <c r="I3" s="43"/>
      <c r="J3" s="43"/>
      <c r="K3" s="96"/>
    </row>
    <row r="4" spans="1:11">
      <c r="A4" s="350" t="s">
        <v>164</v>
      </c>
      <c r="B4" s="49">
        <f>IF(ISERROR('SEAP template'!B78+'SEAP template'!C78),0,'SEAP template'!B78+'SEAP template'!C78)</f>
        <v>9546.7163677880617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0.20137829143214175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1283.1199999999999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1283.1199999999999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0.20137829143214175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258.39251330240972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37221.928759156006</v>
      </c>
      <c r="C5" s="17">
        <f>IF(ISERROR('Eigen informatie GS &amp; warmtenet'!B57),0,'Eigen informatie GS &amp; warmtenet'!B57)</f>
        <v>0</v>
      </c>
      <c r="D5" s="30">
        <f>(SUM(HH_hh_gas_kWh,HH_rest_gas_kWh)/1000)*0.902</f>
        <v>76818.310040184326</v>
      </c>
      <c r="E5" s="17">
        <f>B32*B41</f>
        <v>2390.0763533222498</v>
      </c>
      <c r="F5" s="17">
        <f>B36*B45</f>
        <v>60553.821230453417</v>
      </c>
      <c r="G5" s="18"/>
      <c r="H5" s="17"/>
      <c r="I5" s="17"/>
      <c r="J5" s="17">
        <f>B35*B44+C35*C44</f>
        <v>291.37819415491737</v>
      </c>
      <c r="K5" s="17"/>
      <c r="L5" s="17"/>
      <c r="M5" s="17"/>
      <c r="N5" s="17">
        <f>B34*B43+C34*C43</f>
        <v>14133.336230732879</v>
      </c>
      <c r="O5" s="17">
        <f>B52*B53*B54</f>
        <v>551.85666666666668</v>
      </c>
      <c r="P5" s="17">
        <f>B60*B61*B62/1000-B60*B61*B62/1000/B63</f>
        <v>1239.3333333333333</v>
      </c>
    </row>
    <row r="6" spans="1:16">
      <c r="A6" s="16" t="s">
        <v>607</v>
      </c>
      <c r="B6" s="754">
        <f>kWh_PV_kleiner_dan_10kW</f>
        <v>5779.9861632073562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43001.914922363365</v>
      </c>
      <c r="C8" s="21">
        <f>C5</f>
        <v>0</v>
      </c>
      <c r="D8" s="21">
        <f>D5</f>
        <v>76818.310040184326</v>
      </c>
      <c r="E8" s="21">
        <f>E5</f>
        <v>2390.0763533222498</v>
      </c>
      <c r="F8" s="21">
        <f>F5</f>
        <v>60553.821230453417</v>
      </c>
      <c r="G8" s="21"/>
      <c r="H8" s="21"/>
      <c r="I8" s="21"/>
      <c r="J8" s="21">
        <f>J5</f>
        <v>291.37819415491737</v>
      </c>
      <c r="K8" s="21"/>
      <c r="L8" s="21">
        <f>L5</f>
        <v>0</v>
      </c>
      <c r="M8" s="21">
        <f>M5</f>
        <v>0</v>
      </c>
      <c r="N8" s="21">
        <f>N5</f>
        <v>14133.336230732879</v>
      </c>
      <c r="O8" s="21">
        <f>O5</f>
        <v>551.85666666666668</v>
      </c>
      <c r="P8" s="21">
        <f>P5</f>
        <v>1239.3333333333333</v>
      </c>
    </row>
    <row r="9" spans="1:16">
      <c r="B9" s="19"/>
      <c r="C9" s="19"/>
      <c r="D9" s="254"/>
      <c r="E9" s="19"/>
      <c r="F9" s="19"/>
      <c r="G9" s="19"/>
      <c r="H9" s="19"/>
      <c r="I9" s="19"/>
      <c r="J9" s="19"/>
      <c r="K9" s="19"/>
      <c r="L9" s="19"/>
      <c r="M9" s="19"/>
      <c r="N9" s="19"/>
      <c r="O9" s="19"/>
      <c r="P9" s="19"/>
    </row>
    <row r="10" spans="1:16">
      <c r="A10" s="24" t="s">
        <v>207</v>
      </c>
      <c r="B10" s="25">
        <f ca="1">'EF ele_warmte'!B12</f>
        <v>0.20137829143214175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8659.6521553758557</v>
      </c>
      <c r="C12" s="23">
        <f ca="1">C10*C8</f>
        <v>0</v>
      </c>
      <c r="D12" s="23">
        <f>D8*D10</f>
        <v>15517.298628117234</v>
      </c>
      <c r="E12" s="23">
        <f>E10*E8</f>
        <v>542.54733220415073</v>
      </c>
      <c r="F12" s="23">
        <f>F10*F8</f>
        <v>16167.870268531064</v>
      </c>
      <c r="G12" s="23"/>
      <c r="H12" s="23"/>
      <c r="I12" s="23"/>
      <c r="J12" s="23">
        <f>J10*J8</f>
        <v>103.14788073084074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9532</v>
      </c>
      <c r="C26" s="36"/>
      <c r="D26" s="225"/>
    </row>
    <row r="27" spans="1:5" s="15" customFormat="1">
      <c r="A27" s="227" t="s">
        <v>762</v>
      </c>
      <c r="B27" s="37">
        <f>SUM(HH_hh_gas_aantal,HH_rest_gas_aantal)</f>
        <v>5640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5358</v>
      </c>
      <c r="C31" s="34" t="s">
        <v>104</v>
      </c>
      <c r="D31" s="171"/>
    </row>
    <row r="32" spans="1:5">
      <c r="A32" s="168" t="s">
        <v>72</v>
      </c>
      <c r="B32" s="33">
        <f>IF((B21*($B$26-($B$27-0.05*$B$27)-$B$60))&lt;0,0,B21*($B$26-($B$27-0.05*$B$27)-$B$60))</f>
        <v>45.201031076186666</v>
      </c>
      <c r="C32" s="34" t="s">
        <v>104</v>
      </c>
      <c r="D32" s="171"/>
    </row>
    <row r="33" spans="1:6">
      <c r="A33" s="168" t="s">
        <v>73</v>
      </c>
      <c r="B33" s="33">
        <f>IF((B22*($B$26-($B$27-0.05*$B$27)-$B$60))&lt;0,0,B22*($B$26-($B$27-0.05*$B$27)-$B$60))</f>
        <v>939.76739451139701</v>
      </c>
      <c r="C33" s="34" t="s">
        <v>104</v>
      </c>
      <c r="D33" s="171"/>
    </row>
    <row r="34" spans="1:6">
      <c r="A34" s="168" t="s">
        <v>74</v>
      </c>
      <c r="B34" s="33">
        <f>IF((B24*($B$26-($B$27-0.05*$B$27)-$B$60))&lt;0,0,B24*($B$26-($B$27-0.05*$B$27)-$B$60))</f>
        <v>186.88632665137487</v>
      </c>
      <c r="C34" s="33">
        <f>B26*C24</f>
        <v>1951.1580029170257</v>
      </c>
      <c r="D34" s="230"/>
    </row>
    <row r="35" spans="1:6">
      <c r="A35" s="168" t="s">
        <v>76</v>
      </c>
      <c r="B35" s="33">
        <f>IF((B19*($B$26-($B$27-0.05*$B$27)-$B$60))&lt;0,0,B19*($B$26-($B$27-0.05*$B$27)-$B$60))</f>
        <v>34.212306466869322</v>
      </c>
      <c r="C35" s="33">
        <f>B35/2</f>
        <v>17.106153233434661</v>
      </c>
      <c r="D35" s="230"/>
    </row>
    <row r="36" spans="1:6">
      <c r="A36" s="168" t="s">
        <v>77</v>
      </c>
      <c r="B36" s="33">
        <f>IF((B18*($B$26-($B$27-0.05*$B$27)-$B$60))&lt;0,0,B18*($B$26-($B$27-0.05*$B$27)-$B$60))</f>
        <v>2902.9329412941725</v>
      </c>
      <c r="C36" s="34" t="s">
        <v>104</v>
      </c>
      <c r="D36" s="171"/>
    </row>
    <row r="37" spans="1:6">
      <c r="A37" s="168" t="s">
        <v>78</v>
      </c>
      <c r="B37" s="33">
        <f>B60</f>
        <v>65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353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28153.127668923647</v>
      </c>
      <c r="C5" s="17">
        <f>IF(ISERROR('Eigen informatie GS &amp; warmtenet'!B58),0,'Eigen informatie GS &amp; warmtenet'!B58)</f>
        <v>0</v>
      </c>
      <c r="D5" s="30">
        <f>SUM(D6:D12)</f>
        <v>27841.953678224567</v>
      </c>
      <c r="E5" s="17">
        <f>SUM(E6:E12)</f>
        <v>450.11423157301118</v>
      </c>
      <c r="F5" s="17">
        <f>SUM(F6:F12)</f>
        <v>4910.408821826748</v>
      </c>
      <c r="G5" s="18"/>
      <c r="H5" s="17"/>
      <c r="I5" s="17"/>
      <c r="J5" s="17">
        <f>SUM(J6:J12)</f>
        <v>5.4897519510733808E-2</v>
      </c>
      <c r="K5" s="17"/>
      <c r="L5" s="17"/>
      <c r="M5" s="17"/>
      <c r="N5" s="17">
        <f>SUM(N6:N12)</f>
        <v>2189.4088297966746</v>
      </c>
      <c r="O5" s="17">
        <f>B38*B39*B40</f>
        <v>4.6900000000000004</v>
      </c>
      <c r="P5" s="17">
        <f>B46*B47*B48/1000-B46*B47*B48/1000/B49</f>
        <v>0</v>
      </c>
      <c r="R5" s="32"/>
    </row>
    <row r="6" spans="1:18">
      <c r="A6" s="32" t="s">
        <v>53</v>
      </c>
      <c r="B6" s="37">
        <f>B26</f>
        <v>9220.8950169069394</v>
      </c>
      <c r="C6" s="33"/>
      <c r="D6" s="37">
        <f>IF(ISERROR(TER_kantoor_gas_kWh/1000),0,TER_kantoor_gas_kWh/1000)*0.902</f>
        <v>7966.1601978889894</v>
      </c>
      <c r="E6" s="33">
        <f>$C$26*'E Balans VL '!I12/100/3.6*1000000</f>
        <v>5.7793503144336157E-2</v>
      </c>
      <c r="F6" s="33">
        <f>$C$26*('E Balans VL '!L12+'E Balans VL '!N12)/100/3.6*1000000</f>
        <v>1385.6428646606821</v>
      </c>
      <c r="G6" s="34"/>
      <c r="H6" s="33"/>
      <c r="I6" s="33"/>
      <c r="J6" s="33">
        <f>$C$26*('E Balans VL '!D12+'E Balans VL '!E12)/100/3.6*1000000</f>
        <v>0</v>
      </c>
      <c r="K6" s="33"/>
      <c r="L6" s="33"/>
      <c r="M6" s="33"/>
      <c r="N6" s="33">
        <f>$C$26*'E Balans VL '!Y12/100/3.6*1000000</f>
        <v>8.8184189359487437</v>
      </c>
      <c r="O6" s="33"/>
      <c r="P6" s="33"/>
      <c r="R6" s="32"/>
    </row>
    <row r="7" spans="1:18">
      <c r="A7" s="32" t="s">
        <v>52</v>
      </c>
      <c r="B7" s="37">
        <f t="shared" ref="B7:B12" si="0">B27</f>
        <v>2893.97033371201</v>
      </c>
      <c r="C7" s="33"/>
      <c r="D7" s="37">
        <f>IF(ISERROR(TER_horeca_gas_kWh/1000),0,TER_horeca_gas_kWh/1000)*0.902</f>
        <v>3001.8599994996243</v>
      </c>
      <c r="E7" s="33">
        <f>$C$27*'E Balans VL '!I9/100/3.6*1000000</f>
        <v>41.441173135319566</v>
      </c>
      <c r="F7" s="33">
        <f>$C$27*('E Balans VL '!L9+'E Balans VL '!N9)/100/3.6*1000000</f>
        <v>366.4720910667175</v>
      </c>
      <c r="G7" s="34"/>
      <c r="H7" s="33"/>
      <c r="I7" s="33"/>
      <c r="J7" s="33">
        <f>$C$27*('E Balans VL '!D9+'E Balans VL '!E9)/100/3.6*1000000</f>
        <v>0</v>
      </c>
      <c r="K7" s="33"/>
      <c r="L7" s="33"/>
      <c r="M7" s="33"/>
      <c r="N7" s="33">
        <f>$C$27*'E Balans VL '!Y9/100/3.6*1000000</f>
        <v>0.83195266437347903</v>
      </c>
      <c r="O7" s="33"/>
      <c r="P7" s="33"/>
      <c r="R7" s="32"/>
    </row>
    <row r="8" spans="1:18">
      <c r="A8" s="6" t="s">
        <v>51</v>
      </c>
      <c r="B8" s="37">
        <f t="shared" si="0"/>
        <v>10182.4730204527</v>
      </c>
      <c r="C8" s="33"/>
      <c r="D8" s="37">
        <f>IF(ISERROR(TER_handel_gas_kWh/1000),0,TER_handel_gas_kWh/1000)*0.902</f>
        <v>4901.6763757031122</v>
      </c>
      <c r="E8" s="33">
        <f>$C$28*'E Balans VL '!I13/100/3.6*1000000</f>
        <v>369.31704080550156</v>
      </c>
      <c r="F8" s="33">
        <f>$C$28*('E Balans VL '!L13+'E Balans VL '!N13)/100/3.6*1000000</f>
        <v>1961.2474078336763</v>
      </c>
      <c r="G8" s="34"/>
      <c r="H8" s="33"/>
      <c r="I8" s="33"/>
      <c r="J8" s="33">
        <f>$C$28*('E Balans VL '!D13+'E Balans VL '!E13)/100/3.6*1000000</f>
        <v>0</v>
      </c>
      <c r="K8" s="33"/>
      <c r="L8" s="33"/>
      <c r="M8" s="33"/>
      <c r="N8" s="33">
        <f>$C$28*'E Balans VL '!Y13/100/3.6*1000000</f>
        <v>14.105068015879567</v>
      </c>
      <c r="O8" s="33"/>
      <c r="P8" s="33"/>
      <c r="R8" s="32"/>
    </row>
    <row r="9" spans="1:18">
      <c r="A9" s="32" t="s">
        <v>50</v>
      </c>
      <c r="B9" s="37">
        <f t="shared" si="0"/>
        <v>754.21691688035889</v>
      </c>
      <c r="C9" s="33"/>
      <c r="D9" s="37">
        <f>IF(ISERROR(TER_gezond_gas_kWh/1000),0,TER_gezond_gas_kWh/1000)*0.902</f>
        <v>783.58922102503516</v>
      </c>
      <c r="E9" s="33">
        <f>$C$29*'E Balans VL '!I10/100/3.6*1000000</f>
        <v>4.7221425543468198E-2</v>
      </c>
      <c r="F9" s="33">
        <f>$C$29*('E Balans VL '!L10+'E Balans VL '!N10)/100/3.6*1000000</f>
        <v>112.04121937439433</v>
      </c>
      <c r="G9" s="34"/>
      <c r="H9" s="33"/>
      <c r="I9" s="33"/>
      <c r="J9" s="33">
        <f>$C$29*('E Balans VL '!D10+'E Balans VL '!E10)/100/3.6*1000000</f>
        <v>0</v>
      </c>
      <c r="K9" s="33"/>
      <c r="L9" s="33"/>
      <c r="M9" s="33"/>
      <c r="N9" s="33">
        <f>$C$29*'E Balans VL '!Y10/100/3.6*1000000</f>
        <v>11.666300046016989</v>
      </c>
      <c r="O9" s="33"/>
      <c r="P9" s="33"/>
      <c r="R9" s="32"/>
    </row>
    <row r="10" spans="1:18">
      <c r="A10" s="32" t="s">
        <v>49</v>
      </c>
      <c r="B10" s="37">
        <f t="shared" si="0"/>
        <v>2272.4099538410901</v>
      </c>
      <c r="C10" s="33"/>
      <c r="D10" s="37">
        <f>IF(ISERROR(TER_ander_gas_kWh/1000),0,TER_ander_gas_kWh/1000)*0.902</f>
        <v>2320.368659861007</v>
      </c>
      <c r="E10" s="33">
        <f>$C$30*'E Balans VL '!I14/100/3.6*1000000</f>
        <v>2.7086314627675918</v>
      </c>
      <c r="F10" s="33">
        <f>$C$30*('E Balans VL '!L14+'E Balans VL '!N14)/100/3.6*1000000</f>
        <v>594.56346733668067</v>
      </c>
      <c r="G10" s="34"/>
      <c r="H10" s="33"/>
      <c r="I10" s="33"/>
      <c r="J10" s="33">
        <f>$C$30*('E Balans VL '!D14+'E Balans VL '!E14)/100/3.6*1000000</f>
        <v>4.9325112496827327E-2</v>
      </c>
      <c r="K10" s="33"/>
      <c r="L10" s="33"/>
      <c r="M10" s="33"/>
      <c r="N10" s="33">
        <f>$C$30*'E Balans VL '!Y14/100/3.6*1000000</f>
        <v>1929.6749277129807</v>
      </c>
      <c r="O10" s="33"/>
      <c r="P10" s="33"/>
      <c r="R10" s="32"/>
    </row>
    <row r="11" spans="1:18">
      <c r="A11" s="32" t="s">
        <v>54</v>
      </c>
      <c r="B11" s="37">
        <f t="shared" si="0"/>
        <v>527.96526020820693</v>
      </c>
      <c r="C11" s="33"/>
      <c r="D11" s="37">
        <f>IF(ISERROR(TER_onderwijs_gas_kWh/1000),0,TER_onderwijs_gas_kWh/1000)*0.902</f>
        <v>1321.4336437636146</v>
      </c>
      <c r="E11" s="33">
        <f>$C$31*'E Balans VL '!I11/100/3.6*1000000</f>
        <v>7.9661454076289555</v>
      </c>
      <c r="F11" s="33">
        <f>$C$31*('E Balans VL '!L11+'E Balans VL '!N11)/100/3.6*1000000</f>
        <v>92.507948084433096</v>
      </c>
      <c r="G11" s="34"/>
      <c r="H11" s="33"/>
      <c r="I11" s="33"/>
      <c r="J11" s="33">
        <f>$C$31*('E Balans VL '!D11+'E Balans VL '!E11)/100/3.6*1000000</f>
        <v>0</v>
      </c>
      <c r="K11" s="33"/>
      <c r="L11" s="33"/>
      <c r="M11" s="33"/>
      <c r="N11" s="33">
        <f>$C$31*'E Balans VL '!Y11/100/3.6*1000000</f>
        <v>1.4857343796734843</v>
      </c>
      <c r="O11" s="33"/>
      <c r="P11" s="33"/>
      <c r="R11" s="32"/>
    </row>
    <row r="12" spans="1:18">
      <c r="A12" s="32" t="s">
        <v>248</v>
      </c>
      <c r="B12" s="37">
        <f t="shared" si="0"/>
        <v>2301.1971669223403</v>
      </c>
      <c r="C12" s="33"/>
      <c r="D12" s="37">
        <f>IF(ISERROR(TER_rest_gas_kWh/1000),0,TER_rest_gas_kWh/1000)*0.902</f>
        <v>7546.8655804831824</v>
      </c>
      <c r="E12" s="33">
        <f>$C$32*'E Balans VL '!I8/100/3.6*1000000</f>
        <v>28.576225833105706</v>
      </c>
      <c r="F12" s="33">
        <f>$C$32*('E Balans VL '!L8+'E Balans VL '!N8)/100/3.6*1000000</f>
        <v>397.93382347016478</v>
      </c>
      <c r="G12" s="34"/>
      <c r="H12" s="33"/>
      <c r="I12" s="33"/>
      <c r="J12" s="33">
        <f>$C$32*('E Balans VL '!D8+'E Balans VL '!E8)/100/3.6*1000000</f>
        <v>5.5724070139064798E-3</v>
      </c>
      <c r="K12" s="33"/>
      <c r="L12" s="33"/>
      <c r="M12" s="33"/>
      <c r="N12" s="33">
        <f>$C$32*'E Balans VL '!Y8/100/3.6*1000000</f>
        <v>222.82642804180151</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28153.127668923647</v>
      </c>
      <c r="C16" s="21">
        <f t="shared" ca="1" si="1"/>
        <v>0</v>
      </c>
      <c r="D16" s="21">
        <f t="shared" ca="1" si="1"/>
        <v>27841.953678224567</v>
      </c>
      <c r="E16" s="21">
        <f t="shared" si="1"/>
        <v>450.11423157301118</v>
      </c>
      <c r="F16" s="21">
        <f t="shared" ca="1" si="1"/>
        <v>4910.408821826748</v>
      </c>
      <c r="G16" s="21">
        <f t="shared" si="1"/>
        <v>0</v>
      </c>
      <c r="H16" s="21">
        <f t="shared" si="1"/>
        <v>0</v>
      </c>
      <c r="I16" s="21">
        <f t="shared" si="1"/>
        <v>0</v>
      </c>
      <c r="J16" s="21">
        <f t="shared" si="1"/>
        <v>5.4897519510733808E-2</v>
      </c>
      <c r="K16" s="21">
        <f t="shared" si="1"/>
        <v>0</v>
      </c>
      <c r="L16" s="21">
        <f t="shared" ca="1" si="1"/>
        <v>0</v>
      </c>
      <c r="M16" s="21">
        <f t="shared" si="1"/>
        <v>0</v>
      </c>
      <c r="N16" s="21">
        <f t="shared" ca="1" si="1"/>
        <v>2189.4088297966746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0.20137829143214175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5669.4287484387996</v>
      </c>
      <c r="C20" s="23">
        <f t="shared" ref="C20:P20" ca="1" si="2">C16*C18</f>
        <v>0</v>
      </c>
      <c r="D20" s="23">
        <f t="shared" ca="1" si="2"/>
        <v>5624.0746430013633</v>
      </c>
      <c r="E20" s="23">
        <f t="shared" si="2"/>
        <v>102.17593056707354</v>
      </c>
      <c r="F20" s="23">
        <f t="shared" ca="1" si="2"/>
        <v>1311.0791554277419</v>
      </c>
      <c r="G20" s="23">
        <f t="shared" si="2"/>
        <v>0</v>
      </c>
      <c r="H20" s="23">
        <f t="shared" si="2"/>
        <v>0</v>
      </c>
      <c r="I20" s="23">
        <f t="shared" si="2"/>
        <v>0</v>
      </c>
      <c r="J20" s="23">
        <f t="shared" si="2"/>
        <v>1.9433721906799768E-2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9220.8950169069394</v>
      </c>
      <c r="C26" s="39">
        <f>IF(ISERROR(B26*3.6/1000000/'E Balans VL '!Z12*100),0,B26*3.6/1000000/'E Balans VL '!Z12*100)</f>
        <v>0.19491511357981819</v>
      </c>
      <c r="D26" s="233" t="s">
        <v>726</v>
      </c>
      <c r="F26" s="6"/>
    </row>
    <row r="27" spans="1:18">
      <c r="A27" s="228" t="s">
        <v>52</v>
      </c>
      <c r="B27" s="33">
        <f>IF(ISERROR(TER_horeca_ele_kWh/1000),0,TER_horeca_ele_kWh/1000)</f>
        <v>2893.97033371201</v>
      </c>
      <c r="C27" s="39">
        <f>IF(ISERROR(B27*3.6/1000000/'E Balans VL '!Z9*100),0,B27*3.6/1000000/'E Balans VL '!Z9*100)</f>
        <v>0.22813060276870792</v>
      </c>
      <c r="D27" s="233" t="s">
        <v>726</v>
      </c>
      <c r="F27" s="6"/>
    </row>
    <row r="28" spans="1:18">
      <c r="A28" s="168" t="s">
        <v>51</v>
      </c>
      <c r="B28" s="33">
        <f>IF(ISERROR(TER_handel_ele_kWh/1000),0,TER_handel_ele_kWh/1000)</f>
        <v>10182.4730204527</v>
      </c>
      <c r="C28" s="39">
        <f>IF(ISERROR(B28*3.6/1000000/'E Balans VL '!Z13*100),0,B28*3.6/1000000/'E Balans VL '!Z13*100)</f>
        <v>0.29553650885473004</v>
      </c>
      <c r="D28" s="233" t="s">
        <v>726</v>
      </c>
      <c r="F28" s="6"/>
    </row>
    <row r="29" spans="1:18">
      <c r="A29" s="228" t="s">
        <v>50</v>
      </c>
      <c r="B29" s="33">
        <f>IF(ISERROR(TER_gezond_ele_kWh/1000),0,TER_gezond_ele_kWh/1000)</f>
        <v>754.21691688035889</v>
      </c>
      <c r="C29" s="39">
        <f>IF(ISERROR(B29*3.6/1000000/'E Balans VL '!Z10*100),0,B29*3.6/1000000/'E Balans VL '!Z10*100)</f>
        <v>7.9431425916181714E-2</v>
      </c>
      <c r="D29" s="233" t="s">
        <v>726</v>
      </c>
      <c r="F29" s="6"/>
    </row>
    <row r="30" spans="1:18">
      <c r="A30" s="228" t="s">
        <v>49</v>
      </c>
      <c r="B30" s="33">
        <f>IF(ISERROR(TER_ander_ele_kWh/1000),0,TER_ander_ele_kWh/1000)</f>
        <v>2272.4099538410901</v>
      </c>
      <c r="C30" s="39">
        <f>IF(ISERROR(B30*3.6/1000000/'E Balans VL '!Z14*100),0,B30*3.6/1000000/'E Balans VL '!Z14*100)</f>
        <v>0.16761345176030559</v>
      </c>
      <c r="D30" s="233" t="s">
        <v>726</v>
      </c>
      <c r="F30" s="6"/>
    </row>
    <row r="31" spans="1:18">
      <c r="A31" s="228" t="s">
        <v>54</v>
      </c>
      <c r="B31" s="33">
        <f>IF(ISERROR(TER_onderwijs_ele_kWh/1000),0,TER_onderwijs_ele_kWh/1000)</f>
        <v>527.96526020820693</v>
      </c>
      <c r="C31" s="39">
        <f>IF(ISERROR(B31*3.6/1000000/'E Balans VL '!Z11*100),0,B31*3.6/1000000/'E Balans VL '!Z11*100)</f>
        <v>0.131118505458966</v>
      </c>
      <c r="D31" s="233" t="s">
        <v>726</v>
      </c>
    </row>
    <row r="32" spans="1:18">
      <c r="A32" s="228" t="s">
        <v>248</v>
      </c>
      <c r="B32" s="33">
        <f>IF(ISERROR(TER_rest_ele_kWh/1000),0,TER_rest_ele_kWh/1000)</f>
        <v>2301.1971669223403</v>
      </c>
      <c r="C32" s="39">
        <f>IF(ISERROR(B32*3.6/1000000/'E Balans VL '!Z8*100),0,B32*3.6/1000000/'E Balans VL '!Z8*100)</f>
        <v>1.8935798155032678E-2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28477.543712992927</v>
      </c>
      <c r="C5" s="17">
        <f>IF(ISERROR('Eigen informatie GS &amp; warmtenet'!B59),0,'Eigen informatie GS &amp; warmtenet'!B59)</f>
        <v>0</v>
      </c>
      <c r="D5" s="30">
        <f>SUM(D6:D15)</f>
        <v>30595.966765797319</v>
      </c>
      <c r="E5" s="17">
        <f>SUM(E6:E15)</f>
        <v>1859.9411125288852</v>
      </c>
      <c r="F5" s="17">
        <f>SUM(F6:F15)</f>
        <v>6255.1895568820346</v>
      </c>
      <c r="G5" s="18"/>
      <c r="H5" s="17"/>
      <c r="I5" s="17"/>
      <c r="J5" s="17">
        <f>SUM(J6:J15)</f>
        <v>57.500182714961674</v>
      </c>
      <c r="K5" s="17"/>
      <c r="L5" s="17"/>
      <c r="M5" s="17"/>
      <c r="N5" s="17">
        <f>SUM(N6:N15)</f>
        <v>3366.9964052849773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1908.9182235211599</v>
      </c>
      <c r="C8" s="33"/>
      <c r="D8" s="37">
        <f>IF( ISERROR(IND_metaal_Gas_kWH/1000),0,IND_metaal_Gas_kWH/1000)*0.902</f>
        <v>3154.2939770918069</v>
      </c>
      <c r="E8" s="33">
        <f>C30*'E Balans VL '!I18/100/3.6*1000000</f>
        <v>17.550659414523619</v>
      </c>
      <c r="F8" s="33">
        <f>C30*'E Balans VL '!L18/100/3.6*1000000+C30*'E Balans VL '!N18/100/3.6*1000000</f>
        <v>178.99297504536409</v>
      </c>
      <c r="G8" s="34"/>
      <c r="H8" s="33"/>
      <c r="I8" s="33"/>
      <c r="J8" s="40">
        <f>C30*'E Balans VL '!D18/100/3.6*1000000+C30*'E Balans VL '!E18/100/3.6*1000000</f>
        <v>0</v>
      </c>
      <c r="K8" s="33"/>
      <c r="L8" s="33"/>
      <c r="M8" s="33"/>
      <c r="N8" s="33">
        <f>C30*'E Balans VL '!Y18/100/3.6*1000000</f>
        <v>27.233873078738085</v>
      </c>
      <c r="O8" s="33"/>
      <c r="P8" s="33"/>
      <c r="R8" s="32"/>
    </row>
    <row r="9" spans="1:18">
      <c r="A9" s="6" t="s">
        <v>32</v>
      </c>
      <c r="B9" s="37">
        <f t="shared" si="0"/>
        <v>3259.7083868755199</v>
      </c>
      <c r="C9" s="33"/>
      <c r="D9" s="37">
        <f>IF( ISERROR(IND_andere_gas_kWh/1000),0,IND_andere_gas_kWh/1000)*0.902</f>
        <v>2273.0047047501025</v>
      </c>
      <c r="E9" s="33">
        <f>C31*'E Balans VL '!I19/100/3.6*1000000</f>
        <v>952.87622052105689</v>
      </c>
      <c r="F9" s="33">
        <f>C31*'E Balans VL '!L19/100/3.6*1000000+C31*'E Balans VL '!N19/100/3.6*1000000</f>
        <v>2619.422426107687</v>
      </c>
      <c r="G9" s="34"/>
      <c r="H9" s="33"/>
      <c r="I9" s="33"/>
      <c r="J9" s="40">
        <f>C31*'E Balans VL '!D19/100/3.6*1000000+C31*'E Balans VL '!E19/100/3.6*1000000</f>
        <v>0</v>
      </c>
      <c r="K9" s="33"/>
      <c r="L9" s="33"/>
      <c r="M9" s="33"/>
      <c r="N9" s="33">
        <f>C31*'E Balans VL '!Y19/100/3.6*1000000</f>
        <v>255.68709863205899</v>
      </c>
      <c r="O9" s="33"/>
      <c r="P9" s="33"/>
      <c r="R9" s="32"/>
    </row>
    <row r="10" spans="1:18">
      <c r="A10" s="6" t="s">
        <v>40</v>
      </c>
      <c r="B10" s="37">
        <f t="shared" si="0"/>
        <v>2920.8785203177003</v>
      </c>
      <c r="C10" s="33"/>
      <c r="D10" s="37">
        <f>IF( ISERROR(IND_voed_gas_kWh/1000),0,IND_voed_gas_kWh/1000)*0.902</f>
        <v>2467.6288950450266</v>
      </c>
      <c r="E10" s="33">
        <f>C32*'E Balans VL '!I20/100/3.6*1000000</f>
        <v>6.1791637984899461</v>
      </c>
      <c r="F10" s="33">
        <f>C32*'E Balans VL '!L20/100/3.6*1000000+C32*'E Balans VL '!N20/100/3.6*1000000</f>
        <v>185.71243991171542</v>
      </c>
      <c r="G10" s="34"/>
      <c r="H10" s="33"/>
      <c r="I10" s="33"/>
      <c r="J10" s="40">
        <f>C32*'E Balans VL '!D20/100/3.6*1000000+C32*'E Balans VL '!E20/100/3.6*1000000</f>
        <v>0</v>
      </c>
      <c r="K10" s="33"/>
      <c r="L10" s="33"/>
      <c r="M10" s="33"/>
      <c r="N10" s="33">
        <f>C32*'E Balans VL '!Y20/100/3.6*1000000</f>
        <v>201.56944183546057</v>
      </c>
      <c r="O10" s="33"/>
      <c r="P10" s="33"/>
      <c r="R10" s="32"/>
    </row>
    <row r="11" spans="1:18">
      <c r="A11" s="6" t="s">
        <v>39</v>
      </c>
      <c r="B11" s="37">
        <f t="shared" si="0"/>
        <v>213.606096571195</v>
      </c>
      <c r="C11" s="33"/>
      <c r="D11" s="37">
        <f>IF( ISERROR(IND_textiel_gas_kWh/1000),0,IND_textiel_gas_kWh/1000)*0.902</f>
        <v>0</v>
      </c>
      <c r="E11" s="33">
        <f>C33*'E Balans VL '!I21/100/3.6*1000000</f>
        <v>0.63439169043051136</v>
      </c>
      <c r="F11" s="33">
        <f>C33*'E Balans VL '!L21/100/3.6*1000000+C33*'E Balans VL '!N21/100/3.6*1000000</f>
        <v>21.580080120375193</v>
      </c>
      <c r="G11" s="34"/>
      <c r="H11" s="33"/>
      <c r="I11" s="33"/>
      <c r="J11" s="40">
        <f>C33*'E Balans VL '!D21/100/3.6*1000000+C33*'E Balans VL '!E21/100/3.6*1000000</f>
        <v>0</v>
      </c>
      <c r="K11" s="33"/>
      <c r="L11" s="33"/>
      <c r="M11" s="33"/>
      <c r="N11" s="33">
        <f>C33*'E Balans VL '!Y21/100/3.6*1000000</f>
        <v>11.781057918625795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4298.5458569570501</v>
      </c>
      <c r="C13" s="33"/>
      <c r="D13" s="37">
        <f>IF( ISERROR(IND_papier_gas_kWh/1000),0,IND_papier_gas_kWh/1000)*0.902</f>
        <v>1585.0975494940963</v>
      </c>
      <c r="E13" s="33">
        <f>C35*'E Balans VL '!I23/100/3.6*1000000</f>
        <v>6.0986535012161189</v>
      </c>
      <c r="F13" s="33">
        <f>C35*'E Balans VL '!L23/100/3.6*1000000+C35*'E Balans VL '!N23/100/3.6*1000000</f>
        <v>104.94366794288068</v>
      </c>
      <c r="G13" s="34"/>
      <c r="H13" s="33"/>
      <c r="I13" s="33"/>
      <c r="J13" s="40">
        <f>C35*'E Balans VL '!D23/100/3.6*1000000+C35*'E Balans VL '!E23/100/3.6*1000000</f>
        <v>0.66481047398617843</v>
      </c>
      <c r="K13" s="33"/>
      <c r="L13" s="33"/>
      <c r="M13" s="33"/>
      <c r="N13" s="33">
        <f>C35*'E Balans VL '!Y23/100/3.6*1000000</f>
        <v>1756.3235124175974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15875.886628750301</v>
      </c>
      <c r="C15" s="33"/>
      <c r="D15" s="37">
        <f>IF( ISERROR(IND_rest_gas_kWh/1000),0,IND_rest_gas_kWh/1000)*0.902</f>
        <v>21115.941639416287</v>
      </c>
      <c r="E15" s="33">
        <f>C37*'E Balans VL '!I15/100/3.6*1000000</f>
        <v>876.60202360316816</v>
      </c>
      <c r="F15" s="33">
        <f>C37*'E Balans VL '!L15/100/3.6*1000000+C37*'E Balans VL '!N15/100/3.6*1000000</f>
        <v>3144.5379677540127</v>
      </c>
      <c r="G15" s="34"/>
      <c r="H15" s="33"/>
      <c r="I15" s="33"/>
      <c r="J15" s="40">
        <f>C37*'E Balans VL '!D15/100/3.6*1000000+C37*'E Balans VL '!E15/100/3.6*1000000</f>
        <v>56.835372240975495</v>
      </c>
      <c r="K15" s="33"/>
      <c r="L15" s="33"/>
      <c r="M15" s="33"/>
      <c r="N15" s="33">
        <f>C37*'E Balans VL '!Y15/100/3.6*1000000</f>
        <v>1114.4014214024962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28477.543712992927</v>
      </c>
      <c r="C18" s="21">
        <f>C5+C16</f>
        <v>0</v>
      </c>
      <c r="D18" s="21">
        <f>MAX((D5+D16),0)</f>
        <v>30595.966765797319</v>
      </c>
      <c r="E18" s="21">
        <f>MAX((E5+E16),0)</f>
        <v>1859.9411125288852</v>
      </c>
      <c r="F18" s="21">
        <f>MAX((F5+F16),0)</f>
        <v>6255.1895568820346</v>
      </c>
      <c r="G18" s="21"/>
      <c r="H18" s="21"/>
      <c r="I18" s="21"/>
      <c r="J18" s="21">
        <f>MAX((J5+J16),0)</f>
        <v>57.500182714961674</v>
      </c>
      <c r="K18" s="21"/>
      <c r="L18" s="21">
        <f>MAX((L5+L16),0)</f>
        <v>0</v>
      </c>
      <c r="M18" s="21"/>
      <c r="N18" s="21">
        <f>MAX((N5+N16),0)</f>
        <v>3366.9964052849773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0.20137829143214175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5734.7590971066456</v>
      </c>
      <c r="C22" s="23">
        <f ca="1">C18*C20</f>
        <v>0</v>
      </c>
      <c r="D22" s="23">
        <f>D18*D20</f>
        <v>6180.3852866910584</v>
      </c>
      <c r="E22" s="23">
        <f>E18*E20</f>
        <v>422.20663254405696</v>
      </c>
      <c r="F22" s="23">
        <f>F18*F20</f>
        <v>1670.1356116875033</v>
      </c>
      <c r="G22" s="23"/>
      <c r="H22" s="23"/>
      <c r="I22" s="23"/>
      <c r="J22" s="23">
        <f>J18*J20</f>
        <v>20.355064681096433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1908.9182235211599</v>
      </c>
      <c r="C30" s="39">
        <f>IF(ISERROR(B30*3.6/1000000/'E Balans VL '!Z18*100),0,B30*3.6/1000000/'E Balans VL '!Z18*100)</f>
        <v>0.10818329051341198</v>
      </c>
      <c r="D30" s="233" t="s">
        <v>726</v>
      </c>
    </row>
    <row r="31" spans="1:18">
      <c r="A31" s="6" t="s">
        <v>32</v>
      </c>
      <c r="B31" s="37">
        <f>IF( ISERROR(IND_ander_ele_kWh/1000),0,IND_ander_ele_kWh/1000)</f>
        <v>3259.7083868755199</v>
      </c>
      <c r="C31" s="39">
        <f>IF(ISERROR(B31*3.6/1000000/'E Balans VL '!Z19*100),0,B31*3.6/1000000/'E Balans VL '!Z19*100)</f>
        <v>0.14784679923918786</v>
      </c>
      <c r="D31" s="233" t="s">
        <v>726</v>
      </c>
    </row>
    <row r="32" spans="1:18">
      <c r="A32" s="168" t="s">
        <v>40</v>
      </c>
      <c r="B32" s="37">
        <f>IF( ISERROR(IND_voed_ele_kWh/1000),0,IND_voed_ele_kWh/1000)</f>
        <v>2920.8785203177003</v>
      </c>
      <c r="C32" s="39">
        <f>IF(ISERROR(B32*3.6/1000000/'E Balans VL '!Z20*100),0,B32*3.6/1000000/'E Balans VL '!Z20*100)</f>
        <v>9.0356032302322017E-2</v>
      </c>
      <c r="D32" s="233" t="s">
        <v>726</v>
      </c>
    </row>
    <row r="33" spans="1:5">
      <c r="A33" s="168" t="s">
        <v>39</v>
      </c>
      <c r="B33" s="37">
        <f>IF( ISERROR(IND_textiel_ele_kWh/1000),0,IND_textiel_ele_kWh/1000)</f>
        <v>213.606096571195</v>
      </c>
      <c r="C33" s="39">
        <f>IF(ISERROR(B33*3.6/1000000/'E Balans VL '!Z21*100),0,B33*3.6/1000000/'E Balans VL '!Z21*100)</f>
        <v>2.7851860640218079E-2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4298.5458569570501</v>
      </c>
      <c r="C35" s="39">
        <f>IF(ISERROR(B35*3.6/1000000/'E Balans VL '!Z22*100),0,B35*3.6/1000000/'E Balans VL '!Z22*100)</f>
        <v>0.77317428658040543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15875.886628750301</v>
      </c>
      <c r="C37" s="39">
        <f>IF(ISERROR(B37*3.6/1000000/'E Balans VL '!Z15*100),0,B37*3.6/1000000/'E Balans VL '!Z15*100)</f>
        <v>0.12583589897592692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3997.526932675572</v>
      </c>
      <c r="C5" s="17">
        <f>'Eigen informatie GS &amp; warmtenet'!B60</f>
        <v>0</v>
      </c>
      <c r="D5" s="30">
        <f>IF(ISERROR(SUM(LB_lb_gas_kWh,LB_rest_gas_kWh)/1000),0,SUM(LB_lb_gas_kWh,LB_rest_gas_kWh)/1000)*0.902</f>
        <v>496.59933953093559</v>
      </c>
      <c r="E5" s="17">
        <f>B17*'E Balans VL '!I25/3.6*1000000/100</f>
        <v>117.49952640786739</v>
      </c>
      <c r="F5" s="17">
        <f>B17*('E Balans VL '!L25/3.6*1000000+'E Balans VL '!N25/3.6*1000000)/100</f>
        <v>16653.481186509114</v>
      </c>
      <c r="G5" s="18"/>
      <c r="H5" s="17"/>
      <c r="I5" s="17"/>
      <c r="J5" s="17">
        <f>('E Balans VL '!D25+'E Balans VL '!E25)/3.6*1000000*landbouw!B17/100</f>
        <v>579.15580467112022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3997.526932675572</v>
      </c>
      <c r="C8" s="21">
        <f>C5+C6</f>
        <v>0</v>
      </c>
      <c r="D8" s="21">
        <f>MAX((D5+D6),0)</f>
        <v>496.59933953093559</v>
      </c>
      <c r="E8" s="21">
        <f>MAX((E5+E6),0)</f>
        <v>117.49952640786739</v>
      </c>
      <c r="F8" s="21">
        <f>MAX((F5+F6),0)</f>
        <v>16653.481186509114</v>
      </c>
      <c r="G8" s="21"/>
      <c r="H8" s="21"/>
      <c r="I8" s="21"/>
      <c r="J8" s="21">
        <f>MAX((J5+J6),0)</f>
        <v>579.15580467112022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0.20137829143214175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805.01514365617709</v>
      </c>
      <c r="C12" s="23">
        <f ca="1">C8*C10</f>
        <v>0</v>
      </c>
      <c r="D12" s="23">
        <f>D8*D10</f>
        <v>100.31306658524899</v>
      </c>
      <c r="E12" s="23">
        <f>E8*E10</f>
        <v>26.6723924945859</v>
      </c>
      <c r="F12" s="23">
        <f>F8*F10</f>
        <v>4446.4794767979338</v>
      </c>
      <c r="G12" s="23"/>
      <c r="H12" s="23"/>
      <c r="I12" s="23"/>
      <c r="J12" s="23">
        <f>J8*J10</f>
        <v>205.02115485357655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0.56726161360492722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806.10325402083583</v>
      </c>
      <c r="C26" s="243">
        <f>B26*'GWP N2O_CH4'!B5</f>
        <v>16928.168334437552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392.20214154188034</v>
      </c>
      <c r="C27" s="243">
        <f>B27*'GWP N2O_CH4'!B5</f>
        <v>8236.2449723794871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12.413355989006822</v>
      </c>
      <c r="C28" s="243">
        <f>B28*'GWP N2O_CH4'!B4</f>
        <v>3848.140356592115</v>
      </c>
      <c r="D28" s="50"/>
    </row>
    <row r="29" spans="1:4">
      <c r="A29" s="41" t="s">
        <v>265</v>
      </c>
      <c r="B29" s="243">
        <f>B34*'ha_N2O bodem landbouw'!B4</f>
        <v>30.233978569953656</v>
      </c>
      <c r="C29" s="243">
        <f>B29*'GWP N2O_CH4'!B4</f>
        <v>9372.5333566856334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6.8992897187381223E-3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8.64744846858642E-4</v>
      </c>
      <c r="C5" s="429" t="s">
        <v>204</v>
      </c>
      <c r="D5" s="414">
        <f>SUM(D6:D11)</f>
        <v>1.2739652394302705E-3</v>
      </c>
      <c r="E5" s="414">
        <f>SUM(E6:E11)</f>
        <v>2.5503202022540833E-3</v>
      </c>
      <c r="F5" s="427" t="s">
        <v>204</v>
      </c>
      <c r="G5" s="414">
        <f>SUM(G6:G11)</f>
        <v>1.1904212812691406</v>
      </c>
      <c r="H5" s="414">
        <f>SUM(H6:H11)</f>
        <v>0.21110087692262397</v>
      </c>
      <c r="I5" s="429" t="s">
        <v>204</v>
      </c>
      <c r="J5" s="429" t="s">
        <v>204</v>
      </c>
      <c r="K5" s="429" t="s">
        <v>204</v>
      </c>
      <c r="L5" s="429" t="s">
        <v>204</v>
      </c>
      <c r="M5" s="414">
        <f>SUM(M6:M11)</f>
        <v>7.5765679928232715E-2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1.3448525520387382E-4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2.2609336313647967E-4</v>
      </c>
      <c r="E6" s="857">
        <f>vkm_GW_PW*SUMIFS(TableVerdeelsleutelVkm[LPG],TableVerdeelsleutelVkm[Voertuigtype],"Lichte voertuigen")*SUMIFS(TableECFTransport[EnergieConsumptieFactor (PJ per km)],TableECFTransport[Index],CONCATENATE($A6,"_LPG_LPG"))</f>
        <v>3.9781320933517057E-4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0.11803002740163974</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3.6528458336563242E-2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7.9713842661241988E-3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2.0791885224380465E-6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6.6784405694816862E-2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1.0896267626276332E-6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3.9019152247343654E-3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9.2690525804282474E-5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1.9980717440292277E-4</v>
      </c>
      <c r="E8" s="417">
        <f>vkm_NGW_PW*SUMIFS(TableVerdeelsleutelVkm[LPG],TableVerdeelsleutelVkm[Voertuigtype],"Lichte voertuigen")*SUMIFS(TableECFTransport[EnergieConsumptieFactor (PJ per km)],TableECFTransport[Index],CONCATENATE($A8,"_LPG_LPG"))</f>
        <v>3.3665249206808024E-4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9.2885554467930107E-2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3.1617837167136308E-2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6.3577381214152883E-3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7.0238825117638105E-7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2.8947262641686646E-2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4.443012930723407E-7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1.691258739288555E-3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6.220154036304193E-4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8.4806470189086795E-4</v>
      </c>
      <c r="E10" s="417">
        <f>vkm_SW_PW*SUMIFS(TableVerdeelsleutelVkm[LPG],TableVerdeelsleutelVkm[Voertuigtype],"Lichte voertuigen")*SUMIFS(TableECFTransport[EnergieConsumptieFactor (PJ per km)],TableECFTransport[Index],CONCATENATE($A10,"_LPG_LPG"))</f>
        <v>1.8158545008508324E-3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0.49302269222290102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0.14294615817420808</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3.3013508954519634E-2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1.2772085446451984E-5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0.39075133884016633</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6.889316660659295E-6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2.2829874622150671E-2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240.20690190517831</v>
      </c>
      <c r="C14" s="21"/>
      <c r="D14" s="21">
        <f t="shared" ref="D14:M14" si="0">((D5)*10^9/3600)+D12</f>
        <v>353.87923317507511</v>
      </c>
      <c r="E14" s="21">
        <f t="shared" si="0"/>
        <v>708.42227840391206</v>
      </c>
      <c r="F14" s="21"/>
      <c r="G14" s="21">
        <f t="shared" si="0"/>
        <v>330672.5781303168</v>
      </c>
      <c r="H14" s="21">
        <f t="shared" si="0"/>
        <v>58639.132478506654</v>
      </c>
      <c r="I14" s="21"/>
      <c r="J14" s="21"/>
      <c r="K14" s="21"/>
      <c r="L14" s="21"/>
      <c r="M14" s="21">
        <f t="shared" si="0"/>
        <v>21046.022202286866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0.20137829143214175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48.372455495872885</v>
      </c>
      <c r="C18" s="23"/>
      <c r="D18" s="23">
        <f t="shared" ref="D18:M18" si="1">D14*D16</f>
        <v>71.483605101365171</v>
      </c>
      <c r="E18" s="23">
        <f t="shared" si="1"/>
        <v>160.81185719768806</v>
      </c>
      <c r="F18" s="23"/>
      <c r="G18" s="23">
        <f t="shared" si="1"/>
        <v>88289.578360794592</v>
      </c>
      <c r="H18" s="23">
        <f t="shared" si="1"/>
        <v>14601.143987148156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5.9625885122448594E-5</v>
      </c>
      <c r="C50" s="313">
        <f t="shared" ref="C50:P50" si="2">SUM(C51:C52)</f>
        <v>0</v>
      </c>
      <c r="D50" s="313">
        <f t="shared" si="2"/>
        <v>0</v>
      </c>
      <c r="E50" s="313">
        <f t="shared" si="2"/>
        <v>0</v>
      </c>
      <c r="F50" s="313">
        <f t="shared" si="2"/>
        <v>0</v>
      </c>
      <c r="G50" s="313">
        <f t="shared" si="2"/>
        <v>5.6012600669098234E-3</v>
      </c>
      <c r="H50" s="313">
        <f t="shared" si="2"/>
        <v>0</v>
      </c>
      <c r="I50" s="313">
        <f t="shared" si="2"/>
        <v>0</v>
      </c>
      <c r="J50" s="313">
        <f t="shared" si="2"/>
        <v>0</v>
      </c>
      <c r="K50" s="313">
        <f t="shared" si="2"/>
        <v>0</v>
      </c>
      <c r="L50" s="313">
        <f t="shared" si="2"/>
        <v>0</v>
      </c>
      <c r="M50" s="313">
        <f t="shared" si="2"/>
        <v>3.2255974938022024E-4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5.9625885122448594E-5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5.6012600669098234E-3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3.2255974938022024E-4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16.56274586734683</v>
      </c>
      <c r="C54" s="21">
        <f t="shared" ref="C54:P54" si="3">(C50)*10^9/3600</f>
        <v>0</v>
      </c>
      <c r="D54" s="21">
        <f t="shared" si="3"/>
        <v>0</v>
      </c>
      <c r="E54" s="21">
        <f t="shared" si="3"/>
        <v>0</v>
      </c>
      <c r="F54" s="21">
        <f t="shared" si="3"/>
        <v>0</v>
      </c>
      <c r="G54" s="21">
        <f t="shared" si="3"/>
        <v>1555.9055741416178</v>
      </c>
      <c r="H54" s="21">
        <f t="shared" si="3"/>
        <v>0</v>
      </c>
      <c r="I54" s="21">
        <f t="shared" si="3"/>
        <v>0</v>
      </c>
      <c r="J54" s="21">
        <f t="shared" si="3"/>
        <v>0</v>
      </c>
      <c r="K54" s="21">
        <f t="shared" si="3"/>
        <v>0</v>
      </c>
      <c r="L54" s="21">
        <f t="shared" si="3"/>
        <v>0</v>
      </c>
      <c r="M54" s="21">
        <f t="shared" si="3"/>
        <v>89.599930383394508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0.20137829143214175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3.3353774641910716</v>
      </c>
      <c r="C58" s="23">
        <f t="shared" ref="C58:P58" ca="1" si="4">C54*C56</f>
        <v>0</v>
      </c>
      <c r="D58" s="23">
        <f t="shared" si="4"/>
        <v>0</v>
      </c>
      <c r="E58" s="23">
        <f t="shared" si="4"/>
        <v>0</v>
      </c>
      <c r="F58" s="23">
        <f t="shared" si="4"/>
        <v>0</v>
      </c>
      <c r="G58" s="23">
        <f t="shared" si="4"/>
        <v>415.42678829581195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9546.7163677880617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9546.7163677880617</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2021-11-11T12:48:38Z</dcterms:modified>
</cp:coreProperties>
</file>