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C98E48C-C1BA-43E9-A5E0-A5D8BD96782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<sst xmlns="http://schemas.openxmlformats.org/spreadsheetml/2006/main" count="2469" uniqueCount="899">
  <si>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</si>
  <si>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</si>
  <si>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</si>
  <si>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</si>
  <si>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</si>
  <si>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</si>
  <si>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</si>
  <si>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</si>
  <si>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</si>
  <si>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</si>
  <si>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</si>
  <si>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</si>
  <si>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</si>
  <si>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</si>
  <si>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</si>
  <si>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</si>
  <si>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</si>
  <si>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</si>
  <si>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</si>
  <si>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</si>
  <si>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</si>
  <si>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</si>
  <si>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</si>
  <si>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</si>
  <si>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</si>
  <si>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</si>
  <si>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</si>
  <si>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</si>
  <si>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</si>
  <si>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</si>
  <si>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</si>
  <si>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</si>
  <si>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</si>
  <si>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</si>
  <si>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</si>
  <si>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</si>
  <si>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</si>
  <si>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</si>
  <si>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</si>
  <si>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</si>
  <si>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</si>
  <si>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</si>
  <si>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</si>
  <si>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</si>
  <si>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</si>
  <si>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</si>
  <si>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</si>
  <si>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</si>
  <si>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</si>
  <si>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</si>
  <si>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</si>
  <si>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</si>
  <si>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</si>
  <si>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</si>
  <si>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</si>
  <si>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</si>
  <si>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</si>
  <si>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</si>
  <si>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</si>
  <si>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</si>
  <si>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</si>
  <si>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</si>
  <si>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</si>
  <si>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</si>
  <si>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</si>
  <si>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</si>
  <si>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</si>
  <si>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</si>
  <si>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</si>
  <si>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</si>
  <si>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</si>
  <si>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</si>
  <si>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</si>
  <si>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</si>
  <si>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</si>
  <si>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</si>
  <si>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</si>
  <si>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</si>
  <si>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</si>
  <si>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</si>
  <si>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</si>
  <si>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</si>
  <si>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</si>
  <si>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</si>
  <si>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</si>
  <si>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</si>
  <si>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</si>
  <si>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</si>
  <si>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</si>
  <si>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</si>
  <si>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</si>
  <si>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</si>
  <si>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</si>
  <si>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</si>
  <si>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</si>
  <si>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</si>
  <si>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</si>
  <si>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</si>
  <si>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</si>
  <si>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</si>
  <si>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</si>
  <si>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</si>
  <si>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</si>
  <si>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</si>
  <si>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</si>
  <si>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</si>
  <si>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</si>
  <si>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</si>
  <si>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</si>
  <si>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</si>
  <si>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</si>
  <si>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</si>
  <si>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</si>
  <si>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</si>
  <si>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</si>
  <si>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</si>
  <si>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</si>
  <si>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</si>
  <si>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</si>
  <si>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</si>
  <si>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</si>
  <si>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</si>
  <si>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</si>
  <si>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</si>
  <si>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</si>
  <si>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</si>
  <si>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</si>
  <si>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</si>
  <si>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</si>
  <si>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</si>
  <si>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</si>
  <si>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</si>
  <si>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</si>
  <si>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</si>
  <si>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</si>
  <si>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</si>
  <si>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</si>
  <si>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</si>
  <si>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</si>
  <si>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</si>
  <si>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</si>
  <si>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</si>
  <si>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</si>
  <si>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</si>
  <si>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</si>
  <si>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</si>
  <si>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</si>
  <si>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</si>
  <si>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</si>
  <si>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</si>
  <si>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</si>
  <si>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</si>
  <si>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</si>
  <si>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</si>
  <si>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</si>
  <si>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</si>
  <si>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</si>
  <si>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</si>
  <si>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</si>
  <si>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</si>
  <si>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</si>
  <si>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</si>
  <si>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</si>
  <si>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</si>
  <si>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</si>
  <si>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</si>
  <si>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</si>
  <si>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</si>
  <si>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</si>
  <si>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</si>
  <si>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</si>
  <si>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</si>
  <si>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</si>
  <si>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</si>
  <si>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</si>
  <si>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</si>
  <si>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</si>
  <si>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</si>
  <si>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</si>
  <si>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</si>
  <si>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</si>
  <si>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</si>
  <si>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</si>
  <si>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</si>
  <si>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</si>
  <si>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</si>
  <si>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</si>
  <si>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</si>
  <si>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</si>
  <si>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</si>
  <si>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</si>
  <si>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</si>
  <si>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</si>
  <si>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</si>
  <si>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</si>
  <si>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</si>
  <si>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</si>
  <si>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</si>
  <si>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</si>
  <si>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</si>
  <si>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</si>
  <si>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</si>
  <si>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</si>
  <si>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</si>
  <si>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</si>
  <si>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</si>
  <si>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</si>
  <si>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</si>
  <si>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</si>
  <si>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</si>
  <si>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</si>
  <si>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</si>
  <si>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</si>
  <si>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</si>
  <si>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</si>
  <si>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</si>
  <si>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</si>
  <si>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</si>
  <si>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</si>
  <si>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</si>
  <si>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</si>
  <si>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</si>
  <si>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</si>
  <si>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</si>
  <si>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</si>
  <si>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</si>
  <si>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</si>
  <si>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</si>
  <si>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</si>
  <si>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</si>
  <si>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</si>
  <si>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</si>
  <si>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</si>
  <si>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</si>
  <si>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</si>
  <si>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</si>
  <si>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</si>
  <si>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</si>
  <si>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</si>
  <si>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</si>
  <si>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</si>
  <si>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</si>
  <si>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</si>
  <si>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</si>
  <si>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</si>
  <si>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</si>
  <si>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</si>
  <si>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</si>
  <si>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</si>
  <si>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</si>
  <si>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</si>
  <si>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</si>
  <si>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</si>
  <si>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</si>
  <si>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</si>
  <si>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</si>
  <si>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</si>
  <si>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</si>
  <si>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</si>
  <si>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</si>
  <si>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</si>
  <si>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</si>
  <si>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</si>
  <si>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</si>
  <si>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</si>
  <si>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</si>
  <si>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</si>
  <si>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</si>
  <si>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</si>
  <si>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</si>
  <si>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</si>
  <si>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</si>
  <si>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</si>
  <si>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</si>
  <si>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</si>
  <si>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</si>
  <si>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</si>
  <si>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</si>
  <si>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</si>
  <si>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</si>
  <si>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</si>
  <si>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</si>
  <si>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</si>
  <si>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</si>
  <si>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</si>
  <si>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</si>
  <si>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</si>
  <si>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</si>
  <si>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</si>
  <si>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</si>
  <si>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</si>
  <si>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</si>
  <si>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</si>
  <si>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</si>
  <si>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</si>
  <si>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</si>
  <si>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</si>
  <si>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</si>
  <si>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</si>
  <si>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</si>
  <si>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</si>
  <si>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</si>
  <si>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</si>
  <si>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</si>
  <si>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</si>
  <si>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</si>
  <si>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</si>
  <si>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</si>
  <si>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</si>
  <si>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</si>
  <si>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</si>
  <si>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</si>
  <si>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</si>
  <si>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</si>
  <si>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</si>
  <si>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</si>
  <si>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</si>
  <si>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</si>
  <si>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</si>
  <si>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</si>
  <si>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</si>
  <si>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</si>
  <si>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</si>
  <si>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</si>
  <si>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</si>
  <si>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</si>
  <si>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</si>
  <si>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</si>
  <si>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</si>
  <si>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</si>
  <si>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</si>
  <si>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</si>
  <si>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</si>
  <si>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</si>
  <si>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</si>
  <si>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</si>
  <si>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</si>
  <si>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</si>
  <si>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</si>
  <si>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</si>
  <si>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</si>
  <si>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</si>
  <si>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</si>
  <si>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</si>
  <si>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</si>
  <si>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</si>
  <si>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</si>
  <si>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</si>
  <si>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</si>
  <si>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</si>
  <si>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</si>
  <si>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</si>
  <si>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</si>
  <si>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</si>
  <si>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</si>
  <si>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</si>
  <si>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</si>
  <si>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</si>
  <si>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</si>
  <si>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</si>
  <si>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</si>
  <si>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</si>
  <si>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</si>
  <si>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</si>
  <si>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</si>
  <si>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</si>
  <si>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</si>
  <si>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</si>
  <si>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</si>
  <si>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</si>
  <si>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</si>
  <si>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</si>
  <si>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</si>
  <si>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</si>
  <si>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</si>
  <si>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</si>
  <si>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</si>
  <si>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</si>
  <si>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</si>
  <si>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</si>
  <si>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</si>
  <si>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</si>
  <si>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</si>
  <si>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</si>
  <si>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</si>
  <si>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</si>
  <si>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</si>
  <si>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</si>
  <si>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</si>
  <si>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</si>
  <si>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</si>
  <si>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</si>
  <si>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</si>
  <si>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</si>
  <si>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</si>
  <si>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</si>
  <si>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</si>
  <si>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</si>
  <si>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</si>
  <si>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</si>
  <si>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</si>
  <si>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</si>
  <si>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</si>
  <si>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</si>
  <si>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</si>
  <si>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</si>
  <si>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</si>
  <si>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</si>
  <si>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</si>
  <si>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</si>
  <si>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</si>
  <si>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</si>
  <si>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</si>
  <si>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</si>
  <si>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</si>
  <si>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</si>
  <si>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</si>
  <si>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</si>
  <si>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</si>
  <si>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</si>
  <si>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</si>
  <si>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</si>
  <si>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</si>
  <si>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</si>
  <si>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</si>
  <si>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</si>
  <si>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</si>
  <si>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</si>
  <si>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</si>
  <si>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</si>
  <si>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</si>
  <si>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</si>
  <si>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</si>
  <si>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</si>
  <si>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</si>
  <si>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</si>
  <si>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</si>
  <si>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</si>
  <si>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</si>
  <si>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</si>
  <si>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</si>
  <si>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</si>
  <si>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</si>
  <si>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</si>
  <si>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</si>
  <si>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</si>
  <si>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</si>
  <si>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</si>
  <si>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</si>
  <si>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</si>
  <si>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</si>
  <si>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</si>
  <si>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</si>
  <si>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</si>
  <si>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</si>
  <si>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</si>
  <si>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</si>
  <si>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</si>
  <si>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</si>
  <si>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</si>
  <si>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</si>
  <si>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</si>
  <si>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</si>
  <si>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</si>
  <si>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</si>
  <si>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</si>
  <si>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</si>
  <si>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</si>
  <si>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</si>
  <si>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</si>
  <si>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</si>
  <si>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</si>
  <si>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</si>
  <si>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</si>
  <si>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</si>
  <si>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</si>
  <si>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</si>
  <si>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</si>
  <si>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</si>
  <si>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</si>
  <si>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</si>
  <si>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</si>
  <si>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</si>
  <si>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</si>
  <si>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</si>
  <si>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</si>
  <si>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</si>
  <si>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</si>
  <si>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</si>
  <si>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</si>
  <si>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</si>
  <si>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</si>
  <si>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</si>
  <si>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</si>
  <si>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</si>
  <si>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</si>
  <si>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</si>
  <si>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</si>
  <si>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</si>
  <si>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</si>
  <si>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</si>
  <si>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</si>
  <si>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</si>
  <si>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</si>
  <si>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</si>
  <si>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</si>
  <si>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</si>
  <si>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</si>
  <si>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</si>
  <si>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</si>
  <si>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</si>
  <si>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</si>
  <si>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</si>
  <si>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</si>
  <si>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</si>
  <si>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</si>
  <si>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</si>
  <si>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</si>
  <si>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</si>
  <si>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</si>
  <si>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</si>
  <si>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</si>
  <si>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</si>
  <si>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</si>
  <si>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</si>
  <si>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</si>
  <si>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</si>
  <si>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</si>
  <si>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</si>
  <si>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</si>
  <si>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</si>
  <si>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</si>
  <si>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</si>
  <si>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</si>
  <si>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</si>
  <si>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</si>
  <si>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</si>
  <si>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</si>
  <si>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</si>
  <si>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</si>
  <si>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</si>
  <si>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</si>
  <si>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</si>
  <si>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</si>
  <si>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</si>
  <si>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</si>
  <si>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</si>
  <si>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</si>
  <si>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</si>
  <si>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</si>
  <si>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</si>
  <si>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</si>
  <si>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</si>
  <si>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</si>
  <si>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</si>
  <si>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</si>
  <si>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</si>
  <si>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</si>
  <si>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</si>
  <si>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</si>
  <si>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</si>
  <si>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</si>
  <si>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</si>
  <si>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</si>
  <si>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</si>
  <si>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</si>
  <si>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</si>
  <si>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</si>
  <si>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</si>
  <si>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</si>
  <si>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</si>
  <si>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</si>
  <si>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</si>
  <si>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</si>
  <si>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</si>
  <si>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</si>
  <si>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</si>
  <si>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</si>
  <si>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</si>
  <si>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</si>
  <si>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</si>
  <si>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</si>
  <si>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</si>
  <si>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</si>
  <si>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</si>
  <si>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</si>
  <si>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</si>
  <si>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</si>
  <si>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</si>
  <si>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</si>
  <si>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</si>
  <si>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</si>
  <si>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</si>
  <si>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</si>
  <si>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</si>
  <si>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</si>
  <si>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</si>
  <si>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</si>
  <si>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</si>
  <si>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</si>
  <si>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</si>
  <si>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</si>
  <si>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</si>
  <si>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</si>
  <si>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</si>
  <si>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</si>
  <si>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</si>
  <si>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</si>
  <si>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</si>
  <si>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</si>
  <si>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</si>
  <si>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</si>
  <si>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</si>
  <si>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</si>
  <si>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</si>
  <si>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</si>
  <si>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</si>
  <si>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</si>
  <si>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</si>
  <si>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</si>
  <si>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</si>
  <si>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</si>
  <si>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</si>
  <si>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</si>
  <si>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</si>
  <si>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</si>
  <si>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</si>
  <si>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</si>
  <si>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</si>
  <si>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</si>
  <si>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</si>
  <si>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</si>
  <si>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</si>
  <si>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</si>
  <si>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</si>
  <si>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</si>
  <si>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</si>
  <si>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</si>
  <si>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</si>
  <si>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</si>
  <si>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</si>
  <si>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</si>
  <si>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</si>
  <si>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</si>
  <si>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</si>
  <si>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</si>
  <si>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</si>
  <si>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</si>
  <si>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</si>
  <si>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</si>
  <si>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</si>
  <si>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</si>
  <si>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</si>
  <si>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</si>
  <si>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</si>
  <si>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</si>
  <si>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</si>
  <si>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</si>
  <si>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</si>
  <si>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</si>
  <si>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</si>
  <si>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</si>
  <si>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</si>
  <si>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</si>
  <si>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</si>
  <si>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</si>
  <si>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</si>
  <si>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</si>
  <si>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</si>
  <si>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</si>
  <si>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</si>
  <si>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</si>
  <si>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</si>
  <si>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</si>
  <si>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</si>
  <si>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</si>
  <si>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</si>
  <si>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</si>
  <si>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</si>
  <si>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</si>
  <si>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</si>
  <si>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</si>
  <si>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</si>
  <si>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</si>
  <si>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</si>
  <si>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</si>
  <si>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</si>
  <si>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</si>
  <si>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</si>
  <si>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</si>
  <si>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</si>
  <si>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</si>
  <si>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</si>
  <si>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</si>
  <si>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</si>
  <si>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</si>
  <si>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</si>
  <si>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</si>
  <si>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</si>
  <si>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</si>
  <si>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</si>
  <si>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</si>
  <si>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</si>
  <si>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</si>
  <si>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</si>
  <si>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</si>
  <si>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</si>
  <si>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</si>
  <si>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</si>
  <si>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</si>
  <si>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</si>
  <si>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</si>
  <si>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</si>
  <si>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</si>
  <si>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</si>
  <si>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</si>
  <si>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</si>
  <si>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</si>
  <si>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</si>
  <si>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</si>
  <si>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</si>
  <si>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</si>
  <si>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</si>
  <si>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</si>
  <si>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</si>
  <si>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</si>
  <si>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</si>
  <si>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</si>
  <si>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</si>
  <si>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</si>
  <si>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</si>
  <si>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</si>
  <si>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</si>
  <si>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</si>
  <si>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</si>
  <si>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</si>
  <si>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</si>
  <si>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</si>
  <si>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</si>
  <si>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</si>
  <si>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</si>
  <si>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</si>
  <si>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</si>
  <si>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</si>
  <si>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</si>
  <si>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</si>
  <si>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</si>
  <si>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</si>
  <si>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</si>
  <si>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</si>
  <si>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</si>
  <si>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</si>
  <si>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</si>
  <si>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</si>
  <si>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</si>
  <si>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</si>
  <si>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</si>
  <si>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</si>
  <si>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</si>
  <si>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</si>
  <si>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</si>
  <si>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</si>
  <si>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</si>
  <si>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</si>
  <si>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</si>
  <si>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</si>
  <si>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</si>
  <si>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</si>
  <si>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</si>
  <si>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</si>
  <si>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</si>
  <si>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</si>
  <si>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</si>
  <si>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</si>
  <si>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</si>
  <si>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</si>
  <si>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</si>
  <si>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</si>
  <si>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</si>
  <si>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</si>
  <si>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</si>
  <si>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</si>
  <si>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</si>
  <si>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</si>
  <si>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</si>
  <si>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</si>
  <si>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</si>
  <si>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</si>
  <si>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</si>
  <si>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</si>
  <si>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</si>
  <si>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</si>
  <si>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</si>
  <si>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</si>
  <si>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</si>
  <si>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</si>
  <si>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</si>
  <si>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</si>
  <si>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</si>
  <si>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</si>
  <si>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</si>
  <si>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</si>
  <si>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</si>
  <si>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</si>
  <si>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</si>
  <si>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</si>
  <si>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</si>
  <si>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</si>
  <si>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</si>
  <si>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</si>
  <si>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</si>
  <si>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</si>
  <si>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</si>
  <si>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</si>
  <si>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</si>
  <si>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</si>
  <si>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</si>
  <si>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</si>
  <si>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</si>
  <si>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</si>
  <si>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</si>
  <si>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</si>
  <si>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</si>
  <si>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</si>
  <si>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</si>
  <si>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</si>
  <si>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</si>
  <si>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</si>
  <si>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</si>
  <si>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</si>
  <si>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</si>
  <si>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</si>
  <si>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</si>
  <si>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</si>
  <si>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</si>
  <si>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</si>
  <si>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</si>
  <si>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</si>
  <si>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</si>
  <si>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</si>
  <si>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</si>
  <si>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</si>
  <si>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</si>
  <si>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</si>
  <si>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</si>
  <si>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</si>
  <si>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</si>
  <si>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</si>
  <si>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</si>
  <si>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</si>
  <si>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</si>
  <si>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</si>
  <si>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</si>
  <si>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</si>
  <si>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</si>
  <si>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</si>
  <si>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</si>
  <si>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</si>
  <si>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</si>
  <si>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</si>
  <si>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</si>
  <si>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</si>
  <si>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</si>
  <si>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</si>
  <si>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</si>
  <si>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</si>
  <si>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</si>
  <si>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</si>
  <si>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</si>
  <si>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</si>
  <si>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</si>
  <si>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</si>
  <si>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</si>
  <si>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</si>
  <si>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</si>
  <si>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</si>
  <si>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</si>
  <si>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</si>
  <si>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</si>
  <si>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</si>
  <si>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</si>
  <si>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</si>
  <si>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</si>
  <si>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</si>
  <si>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</si>
  <si>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</si>
  <si>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</si>
  <si>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</si>
  <si>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</si>
  <si>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</si>
  <si>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</si>
  <si>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</si>
  <si>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24066</t>
  </si>
  <si>
    <t>LUBBEEK</t>
  </si>
  <si>
    <t>Fluvius</t>
  </si>
  <si>
    <t>referentietaak LNE (2017); Jaarverslag De Lijn</t>
  </si>
  <si>
    <t>biogas - stortgas</t>
  </si>
  <si>
    <t>niet WKK interne verbrandingsmotor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</si>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</sst>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71CE0413-9BBD-4BE2-BB07-322D08B07863}"/>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122932.84933179124</c:v>
                </c:pt>
                <c:pt idx="1">
                  <c:v>25049.059908948831</c:v>
                </c:pt>
                <c:pt idx="2">
                  <c:v>885.03800000000001</c:v>
                </c:pt>
                <c:pt idx="3">
                  <c:v>4018.2248504167114</c:v>
                </c:pt>
                <c:pt idx="4">
                  <c:v>5852.5785564477537</c:v>
                </c:pt>
                <c:pt idx="5">
                  <c:v>69644.656665553135</c:v>
                </c:pt>
                <c:pt idx="6">
                  <c:v>3736.9769592013149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122932.84933179124</c:v>
                </c:pt>
                <c:pt idx="1">
                  <c:v>25049.059908948831</c:v>
                </c:pt>
                <c:pt idx="2">
                  <c:v>885.03800000000001</c:v>
                </c:pt>
                <c:pt idx="3">
                  <c:v>4018.2248504167114</c:v>
                </c:pt>
                <c:pt idx="4">
                  <c:v>5852.5785564477537</c:v>
                </c:pt>
                <c:pt idx="5">
                  <c:v>69644.656665553135</c:v>
                </c:pt>
                <c:pt idx="6">
                  <c:v>3736.9769592013149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25936.875800067959</c:v>
                </c:pt>
                <c:pt idx="2">
                  <c:v>5047.5133902147609</c:v>
                </c:pt>
                <c:pt idx="3">
                  <c:v>169.60022739304216</c:v>
                </c:pt>
                <c:pt idx="4">
                  <c:v>1021.1858947805981</c:v>
                </c:pt>
                <c:pt idx="5">
                  <c:v>1183.4043020854351</c:v>
                </c:pt>
                <c:pt idx="6">
                  <c:v>17437.503946303455</c:v>
                </c:pt>
                <c:pt idx="7">
                  <c:v>941.17749106935628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25936.875800067959</c:v>
                </c:pt>
                <c:pt idx="2">
                  <c:v>5047.5133902147609</c:v>
                </c:pt>
                <c:pt idx="3">
                  <c:v>169.60022739304216</c:v>
                </c:pt>
                <c:pt idx="4">
                  <c:v>1021.1858947805981</c:v>
                </c:pt>
                <c:pt idx="5">
                  <c:v>1183.4043020854351</c:v>
                </c:pt>
                <c:pt idx="6">
                  <c:v>17437.503946303455</c:v>
                </c:pt>
                <c:pt idx="7">
                  <c:v>941.17749106935628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24066</v>
      </c>
      <c r="B6" s="382"/>
      <c r="C6" s="383"/>
    </row>
    <row r="7" spans="1:7" s="380" customFormat="1" ht="15.75" customHeight="1">
      <c r="A7" s="384" t="str">
        <f>txtMunicipality</f>
        <v>LUBBEEK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15790.334874000002</v>
      </c>
      <c r="D10" s="971">
        <f ca="1">tertiair!C16</f>
        <v>0</v>
      </c>
      <c r="E10" s="971">
        <f ca="1">tertiair!D16</f>
        <v>7647.0731964000015</v>
      </c>
      <c r="F10" s="971">
        <f>tertiair!E16</f>
        <v>217.1821019289462</v>
      </c>
      <c r="G10" s="971">
        <f ca="1">tertiair!F16</f>
        <v>2236.6748426992217</v>
      </c>
      <c r="H10" s="971">
        <f>tertiair!G16</f>
        <v>0</v>
      </c>
      <c r="I10" s="971">
        <f>tertiair!H16</f>
        <v>0</v>
      </c>
      <c r="J10" s="971">
        <f>tertiair!I16</f>
        <v>0</v>
      </c>
      <c r="K10" s="971">
        <f>tertiair!J16</f>
        <v>9.5605873291052194E-3</v>
      </c>
      <c r="L10" s="971">
        <f>tertiair!K16</f>
        <v>0</v>
      </c>
      <c r="M10" s="971">
        <f ca="1">tertiair!L16</f>
        <v>0</v>
      </c>
      <c r="N10" s="971">
        <f>tertiair!M16</f>
        <v>0</v>
      </c>
      <c r="O10" s="971">
        <f ca="1">tertiair!N16</f>
        <v>0</v>
      </c>
      <c r="P10" s="971">
        <f>tertiair!O16</f>
        <v>4.6900000000000004</v>
      </c>
      <c r="Q10" s="972">
        <f>tertiair!P16</f>
        <v>38.133333333333333</v>
      </c>
      <c r="R10" s="666">
        <f ca="1">SUM(C10:Q10)</f>
        <v>25934.097908948832</v>
      </c>
      <c r="S10" s="67"/>
    </row>
    <row r="11" spans="1:19" s="439" customFormat="1">
      <c r="A11" s="775" t="s">
        <v>213</v>
      </c>
      <c r="B11" s="780"/>
      <c r="C11" s="971">
        <f>huishoudens!B8</f>
        <v>26143.337518533524</v>
      </c>
      <c r="D11" s="971">
        <f>huishoudens!C8</f>
        <v>0</v>
      </c>
      <c r="E11" s="971">
        <f>huishoudens!D8</f>
        <v>31898.891930400005</v>
      </c>
      <c r="F11" s="971">
        <f>huishoudens!E8</f>
        <v>2058.845158530487</v>
      </c>
      <c r="G11" s="971">
        <f>huishoudens!F8</f>
        <v>52161.907504563496</v>
      </c>
      <c r="H11" s="971">
        <f>huishoudens!G8</f>
        <v>0</v>
      </c>
      <c r="I11" s="971">
        <f>huishoudens!H8</f>
        <v>0</v>
      </c>
      <c r="J11" s="971">
        <f>huishoudens!I8</f>
        <v>0</v>
      </c>
      <c r="K11" s="971">
        <f>huishoudens!J8</f>
        <v>250.99724680482788</v>
      </c>
      <c r="L11" s="971">
        <f>huishoudens!K8</f>
        <v>0</v>
      </c>
      <c r="M11" s="971">
        <f>huishoudens!L8</f>
        <v>0</v>
      </c>
      <c r="N11" s="971">
        <f>huishoudens!M8</f>
        <v>0</v>
      </c>
      <c r="O11" s="971">
        <f>huishoudens!N8</f>
        <v>8830.6066396255846</v>
      </c>
      <c r="P11" s="971">
        <f>huishoudens!O8</f>
        <v>329.86333333333334</v>
      </c>
      <c r="Q11" s="972">
        <f>huishoudens!P8</f>
        <v>1258.4000000000001</v>
      </c>
      <c r="R11" s="666">
        <f>SUM(C11:Q11)</f>
        <v>122932.84933179124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2908.7079590000003</v>
      </c>
      <c r="D13" s="971">
        <f>industrie!C18</f>
        <v>0</v>
      </c>
      <c r="E13" s="971">
        <f>industrie!D18</f>
        <v>708.83385870000006</v>
      </c>
      <c r="F13" s="971">
        <f>industrie!E18</f>
        <v>432.66458481665677</v>
      </c>
      <c r="G13" s="971">
        <f>industrie!F18</f>
        <v>1438.6564603615029</v>
      </c>
      <c r="H13" s="971">
        <f>industrie!G18</f>
        <v>0</v>
      </c>
      <c r="I13" s="971">
        <f>industrie!H18</f>
        <v>0</v>
      </c>
      <c r="J13" s="971">
        <f>industrie!I18</f>
        <v>0</v>
      </c>
      <c r="K13" s="971">
        <f>industrie!J18</f>
        <v>1.3749183753654062</v>
      </c>
      <c r="L13" s="971">
        <f>industrie!K18</f>
        <v>0</v>
      </c>
      <c r="M13" s="971">
        <f>industrie!L18</f>
        <v>0</v>
      </c>
      <c r="N13" s="971">
        <f>industrie!M18</f>
        <v>0</v>
      </c>
      <c r="O13" s="971">
        <f>industrie!N18</f>
        <v>362.34077519422829</v>
      </c>
      <c r="P13" s="971">
        <f>industrie!O18</f>
        <v>0</v>
      </c>
      <c r="Q13" s="972">
        <f>industrie!P18</f>
        <v>0</v>
      </c>
      <c r="R13" s="666">
        <f>SUM(C13:Q13)</f>
        <v>5852.5785564477537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44842.380351533524</v>
      </c>
      <c r="D16" s="698">
        <f t="shared" ref="D16:R16" ca="1" si="0">SUM(D9:D15)</f>
        <v>0</v>
      </c>
      <c r="E16" s="698">
        <f t="shared" ca="1" si="0"/>
        <v>40254.798985500012</v>
      </c>
      <c r="F16" s="698">
        <f t="shared" si="0"/>
        <v>2708.6918452760901</v>
      </c>
      <c r="G16" s="698">
        <f t="shared" ca="1" si="0"/>
        <v>55837.23880762422</v>
      </c>
      <c r="H16" s="698">
        <f t="shared" si="0"/>
        <v>0</v>
      </c>
      <c r="I16" s="698">
        <f t="shared" si="0"/>
        <v>0</v>
      </c>
      <c r="J16" s="698">
        <f t="shared" si="0"/>
        <v>0</v>
      </c>
      <c r="K16" s="698">
        <f t="shared" si="0"/>
        <v>252.3817257675224</v>
      </c>
      <c r="L16" s="698">
        <f t="shared" si="0"/>
        <v>0</v>
      </c>
      <c r="M16" s="698">
        <f t="shared" ca="1" si="0"/>
        <v>0</v>
      </c>
      <c r="N16" s="698">
        <f t="shared" si="0"/>
        <v>0</v>
      </c>
      <c r="O16" s="698">
        <f t="shared" ca="1" si="0"/>
        <v>9192.9474148198133</v>
      </c>
      <c r="P16" s="698">
        <f t="shared" si="0"/>
        <v>334.55333333333334</v>
      </c>
      <c r="Q16" s="698">
        <f t="shared" si="0"/>
        <v>1296.5333333333335</v>
      </c>
      <c r="R16" s="698">
        <f t="shared" ca="1" si="0"/>
        <v>154719.52579718782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37.239505461205127</v>
      </c>
      <c r="D19" s="971">
        <f>transport!C54</f>
        <v>0</v>
      </c>
      <c r="E19" s="971">
        <f>transport!D54</f>
        <v>0</v>
      </c>
      <c r="F19" s="971">
        <f>transport!E54</f>
        <v>0</v>
      </c>
      <c r="G19" s="971">
        <f>transport!F54</f>
        <v>0</v>
      </c>
      <c r="H19" s="971">
        <f>transport!G54</f>
        <v>3498.2819026159341</v>
      </c>
      <c r="I19" s="971">
        <f>transport!H54</f>
        <v>0</v>
      </c>
      <c r="J19" s="971">
        <f>transport!I54</f>
        <v>0</v>
      </c>
      <c r="K19" s="971">
        <f>transport!J54</f>
        <v>0</v>
      </c>
      <c r="L19" s="971">
        <f>transport!K54</f>
        <v>0</v>
      </c>
      <c r="M19" s="971">
        <f>transport!L54</f>
        <v>0</v>
      </c>
      <c r="N19" s="971">
        <f>transport!M54</f>
        <v>201.45555112417568</v>
      </c>
      <c r="O19" s="971">
        <f>transport!N54</f>
        <v>0</v>
      </c>
      <c r="P19" s="971">
        <f>transport!O54</f>
        <v>0</v>
      </c>
      <c r="Q19" s="972">
        <f>transport!P54</f>
        <v>0</v>
      </c>
      <c r="R19" s="666">
        <f>SUM(C19:Q19)</f>
        <v>3736.9769592013149</v>
      </c>
      <c r="S19" s="67"/>
    </row>
    <row r="20" spans="1:19" s="439" customFormat="1">
      <c r="A20" s="775" t="s">
        <v>295</v>
      </c>
      <c r="B20" s="780"/>
      <c r="C20" s="971">
        <f>transport!B14</f>
        <v>38.79237195938385</v>
      </c>
      <c r="D20" s="971">
        <f>transport!C14</f>
        <v>0</v>
      </c>
      <c r="E20" s="971">
        <f>transport!D14</f>
        <v>71.376445728371621</v>
      </c>
      <c r="F20" s="971">
        <f>transport!E14</f>
        <v>123.1785517940463</v>
      </c>
      <c r="G20" s="971">
        <f>transport!F14</f>
        <v>0</v>
      </c>
      <c r="H20" s="971">
        <f>transport!G14</f>
        <v>54467.747911460683</v>
      </c>
      <c r="I20" s="971">
        <f>transport!H14</f>
        <v>11424.907152920765</v>
      </c>
      <c r="J20" s="971">
        <f>transport!I14</f>
        <v>0</v>
      </c>
      <c r="K20" s="971">
        <f>transport!J14</f>
        <v>0</v>
      </c>
      <c r="L20" s="971">
        <f>transport!K14</f>
        <v>0</v>
      </c>
      <c r="M20" s="971">
        <f>transport!L14</f>
        <v>0</v>
      </c>
      <c r="N20" s="971">
        <f>transport!M14</f>
        <v>3518.6542316898817</v>
      </c>
      <c r="O20" s="971">
        <f>transport!N14</f>
        <v>0</v>
      </c>
      <c r="P20" s="971">
        <f>transport!O14</f>
        <v>0</v>
      </c>
      <c r="Q20" s="972">
        <f>transport!P14</f>
        <v>0</v>
      </c>
      <c r="R20" s="666">
        <f>SUM(C20:Q20)</f>
        <v>69644.656665553135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76.031877420588984</v>
      </c>
      <c r="D22" s="778">
        <f t="shared" ref="D22:R22" si="1">SUM(D18:D21)</f>
        <v>0</v>
      </c>
      <c r="E22" s="778">
        <f t="shared" si="1"/>
        <v>71.376445728371621</v>
      </c>
      <c r="F22" s="778">
        <f t="shared" si="1"/>
        <v>123.1785517940463</v>
      </c>
      <c r="G22" s="778">
        <f t="shared" si="1"/>
        <v>0</v>
      </c>
      <c r="H22" s="778">
        <f t="shared" si="1"/>
        <v>57966.029814076617</v>
      </c>
      <c r="I22" s="778">
        <f t="shared" si="1"/>
        <v>11424.907152920765</v>
      </c>
      <c r="J22" s="778">
        <f t="shared" si="1"/>
        <v>0</v>
      </c>
      <c r="K22" s="778">
        <f t="shared" si="1"/>
        <v>0</v>
      </c>
      <c r="L22" s="778">
        <f t="shared" si="1"/>
        <v>0</v>
      </c>
      <c r="M22" s="778">
        <f t="shared" si="1"/>
        <v>0</v>
      </c>
      <c r="N22" s="778">
        <f t="shared" si="1"/>
        <v>3720.1097828140573</v>
      </c>
      <c r="O22" s="778">
        <f t="shared" si="1"/>
        <v>0</v>
      </c>
      <c r="P22" s="778">
        <f t="shared" si="1"/>
        <v>0</v>
      </c>
      <c r="Q22" s="778">
        <f t="shared" si="1"/>
        <v>0</v>
      </c>
      <c r="R22" s="778">
        <f t="shared" si="1"/>
        <v>73381.633624754453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739.84544999999991</v>
      </c>
      <c r="D24" s="971">
        <f>+landbouw!C8</f>
        <v>0</v>
      </c>
      <c r="E24" s="971">
        <f>+landbouw!D8</f>
        <v>67.289199999999994</v>
      </c>
      <c r="F24" s="971">
        <f>+landbouw!E8</f>
        <v>21.7463175243279</v>
      </c>
      <c r="G24" s="971">
        <f>+landbouw!F8</f>
        <v>3082.1561655502946</v>
      </c>
      <c r="H24" s="971">
        <f>+landbouw!G8</f>
        <v>0</v>
      </c>
      <c r="I24" s="971">
        <f>+landbouw!H8</f>
        <v>0</v>
      </c>
      <c r="J24" s="971">
        <f>+landbouw!I8</f>
        <v>0</v>
      </c>
      <c r="K24" s="971">
        <f>+landbouw!J8</f>
        <v>107.18771734208896</v>
      </c>
      <c r="L24" s="971">
        <f>+landbouw!K8</f>
        <v>0</v>
      </c>
      <c r="M24" s="971">
        <f>+landbouw!L8</f>
        <v>0</v>
      </c>
      <c r="N24" s="971">
        <f>+landbouw!M8</f>
        <v>0</v>
      </c>
      <c r="O24" s="971">
        <f>+landbouw!N8</f>
        <v>0</v>
      </c>
      <c r="P24" s="971">
        <f>+landbouw!O8</f>
        <v>0</v>
      </c>
      <c r="Q24" s="972">
        <f>+landbouw!P8</f>
        <v>0</v>
      </c>
      <c r="R24" s="666">
        <f>SUM(C24:Q24)</f>
        <v>4018.2248504167114</v>
      </c>
      <c r="S24" s="67"/>
    </row>
    <row r="25" spans="1:19" s="439" customFormat="1" ht="15" thickBot="1">
      <c r="A25" s="797" t="s">
        <v>802</v>
      </c>
      <c r="B25" s="974"/>
      <c r="C25" s="975">
        <f>IF(Onbekend_ele_kWh="---",0,Onbekend_ele_kWh)/1000+IF(REST_rest_ele_kWh="---",0,REST_rest_ele_kWh)/1000</f>
        <v>391.467556</v>
      </c>
      <c r="D25" s="975"/>
      <c r="E25" s="975">
        <f>IF(onbekend_gas_kWh="---",0,onbekend_gas_kWh)/1000+IF(REST_rest_gas_kWh="---",0,REST_rest_gas_kWh)/1000</f>
        <v>769.06419999999991</v>
      </c>
      <c r="F25" s="975"/>
      <c r="G25" s="975"/>
      <c r="H25" s="975"/>
      <c r="I25" s="975"/>
      <c r="J25" s="975"/>
      <c r="K25" s="975"/>
      <c r="L25" s="975"/>
      <c r="M25" s="975"/>
      <c r="N25" s="975"/>
      <c r="O25" s="975"/>
      <c r="P25" s="975"/>
      <c r="Q25" s="976"/>
      <c r="R25" s="666">
        <f>SUM(C25:Q25)</f>
        <v>1160.5317559999999</v>
      </c>
      <c r="S25" s="67"/>
    </row>
    <row r="26" spans="1:19" s="439" customFormat="1" ht="15.75" thickBot="1">
      <c r="A26" s="671" t="s">
        <v>803</v>
      </c>
      <c r="B26" s="783"/>
      <c r="C26" s="778">
        <f>SUM(C24:C25)</f>
        <v>1131.3130059999999</v>
      </c>
      <c r="D26" s="778">
        <f t="shared" ref="D26:R26" si="2">SUM(D24:D25)</f>
        <v>0</v>
      </c>
      <c r="E26" s="778">
        <f t="shared" si="2"/>
        <v>836.35339999999997</v>
      </c>
      <c r="F26" s="778">
        <f t="shared" si="2"/>
        <v>21.7463175243279</v>
      </c>
      <c r="G26" s="778">
        <f t="shared" si="2"/>
        <v>3082.1561655502946</v>
      </c>
      <c r="H26" s="778">
        <f t="shared" si="2"/>
        <v>0</v>
      </c>
      <c r="I26" s="778">
        <f t="shared" si="2"/>
        <v>0</v>
      </c>
      <c r="J26" s="778">
        <f t="shared" si="2"/>
        <v>0</v>
      </c>
      <c r="K26" s="778">
        <f t="shared" si="2"/>
        <v>107.18771734208896</v>
      </c>
      <c r="L26" s="778">
        <f t="shared" si="2"/>
        <v>0</v>
      </c>
      <c r="M26" s="778">
        <f t="shared" si="2"/>
        <v>0</v>
      </c>
      <c r="N26" s="778">
        <f t="shared" si="2"/>
        <v>0</v>
      </c>
      <c r="O26" s="778">
        <f t="shared" si="2"/>
        <v>0</v>
      </c>
      <c r="P26" s="778">
        <f t="shared" si="2"/>
        <v>0</v>
      </c>
      <c r="Q26" s="778">
        <f t="shared" si="2"/>
        <v>0</v>
      </c>
      <c r="R26" s="778">
        <f t="shared" si="2"/>
        <v>5178.7566064167113</v>
      </c>
      <c r="S26" s="67"/>
    </row>
    <row r="27" spans="1:19" s="439" customFormat="1" ht="17.25" thickTop="1" thickBot="1">
      <c r="A27" s="672" t="s">
        <v>109</v>
      </c>
      <c r="B27" s="771"/>
      <c r="C27" s="673">
        <f ca="1">C22+C16+C26</f>
        <v>46049.725234954109</v>
      </c>
      <c r="D27" s="673">
        <f t="shared" ref="D27:R27" ca="1" si="3">D22+D16+D26</f>
        <v>0</v>
      </c>
      <c r="E27" s="673">
        <f t="shared" ca="1" si="3"/>
        <v>41162.528831228381</v>
      </c>
      <c r="F27" s="673">
        <f t="shared" si="3"/>
        <v>2853.6167145944642</v>
      </c>
      <c r="G27" s="673">
        <f t="shared" ca="1" si="3"/>
        <v>58919.394973174516</v>
      </c>
      <c r="H27" s="673">
        <f t="shared" si="3"/>
        <v>57966.029814076617</v>
      </c>
      <c r="I27" s="673">
        <f t="shared" si="3"/>
        <v>11424.907152920765</v>
      </c>
      <c r="J27" s="673">
        <f t="shared" si="3"/>
        <v>0</v>
      </c>
      <c r="K27" s="673">
        <f t="shared" si="3"/>
        <v>359.56944310961137</v>
      </c>
      <c r="L27" s="673">
        <f t="shared" si="3"/>
        <v>0</v>
      </c>
      <c r="M27" s="673">
        <f t="shared" ca="1" si="3"/>
        <v>0</v>
      </c>
      <c r="N27" s="673">
        <f t="shared" si="3"/>
        <v>3720.1097828140573</v>
      </c>
      <c r="O27" s="673">
        <f t="shared" ca="1" si="3"/>
        <v>9192.9474148198133</v>
      </c>
      <c r="P27" s="673">
        <f t="shared" si="3"/>
        <v>334.55333333333334</v>
      </c>
      <c r="Q27" s="673">
        <f t="shared" si="3"/>
        <v>1296.5333333333335</v>
      </c>
      <c r="R27" s="673">
        <f t="shared" ca="1" si="3"/>
        <v>233279.91602835897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3025.9089273485251</v>
      </c>
      <c r="D40" s="971">
        <f ca="1">tertiair!C20</f>
        <v>0</v>
      </c>
      <c r="E40" s="971">
        <f ca="1">tertiair!D20</f>
        <v>1544.7087856728003</v>
      </c>
      <c r="F40" s="971">
        <f>tertiair!E20</f>
        <v>49.300337137870791</v>
      </c>
      <c r="G40" s="971">
        <f ca="1">tertiair!F20</f>
        <v>597.19218300069224</v>
      </c>
      <c r="H40" s="971">
        <f>tertiair!G20</f>
        <v>0</v>
      </c>
      <c r="I40" s="971">
        <f>tertiair!H20</f>
        <v>0</v>
      </c>
      <c r="J40" s="971">
        <f>tertiair!I20</f>
        <v>0</v>
      </c>
      <c r="K40" s="971">
        <f>tertiair!J20</f>
        <v>3.3844479145032475E-3</v>
      </c>
      <c r="L40" s="971">
        <f>tertiair!K20</f>
        <v>0</v>
      </c>
      <c r="M40" s="971">
        <f ca="1">tertiair!L20</f>
        <v>0</v>
      </c>
      <c r="N40" s="971">
        <f>tertiair!M20</f>
        <v>0</v>
      </c>
      <c r="O40" s="971">
        <f ca="1">tertiair!N20</f>
        <v>0</v>
      </c>
      <c r="P40" s="971">
        <f>tertiair!O20</f>
        <v>0</v>
      </c>
      <c r="Q40" s="740">
        <f>tertiair!P20</f>
        <v>0</v>
      </c>
      <c r="R40" s="816">
        <f t="shared" ca="1" si="4"/>
        <v>5217.1136176078035</v>
      </c>
    </row>
    <row r="41" spans="1:18">
      <c r="A41" s="788" t="s">
        <v>213</v>
      </c>
      <c r="B41" s="795"/>
      <c r="C41" s="971">
        <f ca="1">huishoudens!B12</f>
        <v>5009.8594500533727</v>
      </c>
      <c r="D41" s="971">
        <f ca="1">huishoudens!C12</f>
        <v>0</v>
      </c>
      <c r="E41" s="971">
        <f>huishoudens!D12</f>
        <v>6443.5761699408013</v>
      </c>
      <c r="F41" s="971">
        <f>huishoudens!E12</f>
        <v>467.35785098642054</v>
      </c>
      <c r="G41" s="971">
        <f>huishoudens!F12</f>
        <v>13927.229303718454</v>
      </c>
      <c r="H41" s="971">
        <f>huishoudens!G12</f>
        <v>0</v>
      </c>
      <c r="I41" s="971">
        <f>huishoudens!H12</f>
        <v>0</v>
      </c>
      <c r="J41" s="971">
        <f>huishoudens!I12</f>
        <v>0</v>
      </c>
      <c r="K41" s="971">
        <f>huishoudens!J12</f>
        <v>88.853025368909059</v>
      </c>
      <c r="L41" s="971">
        <f>huishoudens!K12</f>
        <v>0</v>
      </c>
      <c r="M41" s="971">
        <f>huishoudens!L12</f>
        <v>0</v>
      </c>
      <c r="N41" s="971">
        <f>huishoudens!M12</f>
        <v>0</v>
      </c>
      <c r="O41" s="971">
        <f>huishoudens!N12</f>
        <v>0</v>
      </c>
      <c r="P41" s="971">
        <f>huishoudens!O12</f>
        <v>0</v>
      </c>
      <c r="Q41" s="740">
        <f>huishoudens!P12</f>
        <v>0</v>
      </c>
      <c r="R41" s="816">
        <f t="shared" ca="1" si="4"/>
        <v>25936.875800067959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557.3970058532534</v>
      </c>
      <c r="D43" s="971">
        <f ca="1">industrie!C22</f>
        <v>0</v>
      </c>
      <c r="E43" s="971">
        <f>industrie!D22</f>
        <v>143.18443945740003</v>
      </c>
      <c r="F43" s="971">
        <f>industrie!E22</f>
        <v>98.214860753381089</v>
      </c>
      <c r="G43" s="971">
        <f>industrie!F22</f>
        <v>384.12127491652132</v>
      </c>
      <c r="H43" s="971">
        <f>industrie!G22</f>
        <v>0</v>
      </c>
      <c r="I43" s="971">
        <f>industrie!H22</f>
        <v>0</v>
      </c>
      <c r="J43" s="971">
        <f>industrie!I22</f>
        <v>0</v>
      </c>
      <c r="K43" s="971">
        <f>industrie!J22</f>
        <v>0.48672110487935377</v>
      </c>
      <c r="L43" s="971">
        <f>industrie!K22</f>
        <v>0</v>
      </c>
      <c r="M43" s="971">
        <f>industrie!L22</f>
        <v>0</v>
      </c>
      <c r="N43" s="971">
        <f>industrie!M22</f>
        <v>0</v>
      </c>
      <c r="O43" s="971">
        <f>industrie!N22</f>
        <v>0</v>
      </c>
      <c r="P43" s="971">
        <f>industrie!O22</f>
        <v>0</v>
      </c>
      <c r="Q43" s="740">
        <f>industrie!P22</f>
        <v>0</v>
      </c>
      <c r="R43" s="815">
        <f t="shared" ca="1" si="4"/>
        <v>1183.4043020854351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8593.165383255151</v>
      </c>
      <c r="D46" s="698">
        <f t="shared" ref="D46:Q46" ca="1" si="5">SUM(D39:D45)</f>
        <v>0</v>
      </c>
      <c r="E46" s="698">
        <f t="shared" ca="1" si="5"/>
        <v>8131.4693950710016</v>
      </c>
      <c r="F46" s="698">
        <f t="shared" si="5"/>
        <v>614.87304887767243</v>
      </c>
      <c r="G46" s="698">
        <f t="shared" ca="1" si="5"/>
        <v>14908.542761635666</v>
      </c>
      <c r="H46" s="698">
        <f t="shared" si="5"/>
        <v>0</v>
      </c>
      <c r="I46" s="698">
        <f t="shared" si="5"/>
        <v>0</v>
      </c>
      <c r="J46" s="698">
        <f t="shared" si="5"/>
        <v>0</v>
      </c>
      <c r="K46" s="698">
        <f t="shared" si="5"/>
        <v>89.343130921702908</v>
      </c>
      <c r="L46" s="698">
        <f t="shared" si="5"/>
        <v>0</v>
      </c>
      <c r="M46" s="698">
        <f t="shared" ca="1" si="5"/>
        <v>0</v>
      </c>
      <c r="N46" s="698">
        <f t="shared" si="5"/>
        <v>0</v>
      </c>
      <c r="O46" s="698">
        <f t="shared" ca="1" si="5"/>
        <v>0</v>
      </c>
      <c r="P46" s="698">
        <f t="shared" si="5"/>
        <v>0</v>
      </c>
      <c r="Q46" s="698">
        <f t="shared" si="5"/>
        <v>0</v>
      </c>
      <c r="R46" s="698">
        <f ca="1">SUM(R39:R45)</f>
        <v>32337.393719761196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7.1362230709018428</v>
      </c>
      <c r="D49" s="971">
        <f ca="1">transport!C58</f>
        <v>0</v>
      </c>
      <c r="E49" s="971">
        <f>transport!D58</f>
        <v>0</v>
      </c>
      <c r="F49" s="971">
        <f>transport!E58</f>
        <v>0</v>
      </c>
      <c r="G49" s="971">
        <f>transport!F58</f>
        <v>0</v>
      </c>
      <c r="H49" s="971">
        <f>transport!G58</f>
        <v>934.04126799845449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941.17749106935628</v>
      </c>
    </row>
    <row r="50" spans="1:18">
      <c r="A50" s="791" t="s">
        <v>295</v>
      </c>
      <c r="B50" s="801"/>
      <c r="C50" s="669">
        <f ca="1">transport!B18</f>
        <v>7.433799571800277</v>
      </c>
      <c r="D50" s="669">
        <f>transport!C18</f>
        <v>0</v>
      </c>
      <c r="E50" s="669">
        <f>transport!D18</f>
        <v>14.418042037131068</v>
      </c>
      <c r="F50" s="669">
        <f>transport!E18</f>
        <v>27.96153125724851</v>
      </c>
      <c r="G50" s="669">
        <f>transport!F18</f>
        <v>0</v>
      </c>
      <c r="H50" s="669">
        <f>transport!G18</f>
        <v>14542.888692360004</v>
      </c>
      <c r="I50" s="669">
        <f>transport!H18</f>
        <v>2844.8018810772705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17437.503946303455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14.570022642702121</v>
      </c>
      <c r="D52" s="698">
        <f t="shared" ref="D52:Q52" ca="1" si="6">SUM(D48:D51)</f>
        <v>0</v>
      </c>
      <c r="E52" s="698">
        <f t="shared" si="6"/>
        <v>14.418042037131068</v>
      </c>
      <c r="F52" s="698">
        <f t="shared" si="6"/>
        <v>27.96153125724851</v>
      </c>
      <c r="G52" s="698">
        <f t="shared" si="6"/>
        <v>0</v>
      </c>
      <c r="H52" s="698">
        <f t="shared" si="6"/>
        <v>15476.929960358459</v>
      </c>
      <c r="I52" s="698">
        <f t="shared" si="6"/>
        <v>2844.8018810772705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18378.681437372812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141.77691416154741</v>
      </c>
      <c r="D54" s="669">
        <f ca="1">+landbouw!C12</f>
        <v>0</v>
      </c>
      <c r="E54" s="669">
        <f>+landbouw!D12</f>
        <v>13.5924184</v>
      </c>
      <c r="F54" s="669">
        <f>+landbouw!E12</f>
        <v>4.936414078022433</v>
      </c>
      <c r="G54" s="669">
        <f>+landbouw!F12</f>
        <v>822.93569620192875</v>
      </c>
      <c r="H54" s="669">
        <f>+landbouw!G12</f>
        <v>0</v>
      </c>
      <c r="I54" s="669">
        <f>+landbouw!H12</f>
        <v>0</v>
      </c>
      <c r="J54" s="669">
        <f>+landbouw!I12</f>
        <v>0</v>
      </c>
      <c r="K54" s="669">
        <f>+landbouw!J12</f>
        <v>37.944451939099487</v>
      </c>
      <c r="L54" s="669">
        <f>+landbouw!K12</f>
        <v>0</v>
      </c>
      <c r="M54" s="669">
        <f>+landbouw!L12</f>
        <v>0</v>
      </c>
      <c r="N54" s="669">
        <f>+landbouw!M12</f>
        <v>0</v>
      </c>
      <c r="O54" s="669">
        <f>+landbouw!N12</f>
        <v>0</v>
      </c>
      <c r="P54" s="669">
        <f>+landbouw!O12</f>
        <v>0</v>
      </c>
      <c r="Q54" s="670">
        <f>+landbouw!P12</f>
        <v>0</v>
      </c>
      <c r="R54" s="697">
        <f ca="1">SUM(C54:Q54)</f>
        <v>1021.1858947805981</v>
      </c>
    </row>
    <row r="55" spans="1:18" ht="15" thickBot="1">
      <c r="A55" s="791" t="s">
        <v>802</v>
      </c>
      <c r="B55" s="801"/>
      <c r="C55" s="669">
        <f ca="1">C25*'EF ele_warmte'!B12</f>
        <v>75.017102671973944</v>
      </c>
      <c r="D55" s="669"/>
      <c r="E55" s="669">
        <f>E25*EF_CO2_aardgas</f>
        <v>155.3509684</v>
      </c>
      <c r="F55" s="669"/>
      <c r="G55" s="669"/>
      <c r="H55" s="669"/>
      <c r="I55" s="669"/>
      <c r="J55" s="669"/>
      <c r="K55" s="669"/>
      <c r="L55" s="669"/>
      <c r="M55" s="669"/>
      <c r="N55" s="669"/>
      <c r="O55" s="669"/>
      <c r="P55" s="669"/>
      <c r="Q55" s="670"/>
      <c r="R55" s="697">
        <f ca="1">SUM(C55:Q55)</f>
        <v>230.36807107197393</v>
      </c>
    </row>
    <row r="56" spans="1:18" ht="15.75" thickBot="1">
      <c r="A56" s="789" t="s">
        <v>803</v>
      </c>
      <c r="B56" s="802"/>
      <c r="C56" s="698">
        <f ca="1">SUM(C54:C55)</f>
        <v>216.79401683352137</v>
      </c>
      <c r="D56" s="698">
        <f t="shared" ref="D56:Q56" ca="1" si="7">SUM(D54:D55)</f>
        <v>0</v>
      </c>
      <c r="E56" s="698">
        <f t="shared" si="7"/>
        <v>168.94338679999998</v>
      </c>
      <c r="F56" s="698">
        <f t="shared" si="7"/>
        <v>4.936414078022433</v>
      </c>
      <c r="G56" s="698">
        <f t="shared" si="7"/>
        <v>822.93569620192875</v>
      </c>
      <c r="H56" s="698">
        <f t="shared" si="7"/>
        <v>0</v>
      </c>
      <c r="I56" s="698">
        <f t="shared" si="7"/>
        <v>0</v>
      </c>
      <c r="J56" s="698">
        <f t="shared" si="7"/>
        <v>0</v>
      </c>
      <c r="K56" s="698">
        <f t="shared" si="7"/>
        <v>37.944451939099487</v>
      </c>
      <c r="L56" s="698">
        <f t="shared" si="7"/>
        <v>0</v>
      </c>
      <c r="M56" s="698">
        <f t="shared" si="7"/>
        <v>0</v>
      </c>
      <c r="N56" s="698">
        <f t="shared" si="7"/>
        <v>0</v>
      </c>
      <c r="O56" s="698">
        <f t="shared" si="7"/>
        <v>0</v>
      </c>
      <c r="P56" s="698">
        <f t="shared" si="7"/>
        <v>0</v>
      </c>
      <c r="Q56" s="699">
        <f t="shared" si="7"/>
        <v>0</v>
      </c>
      <c r="R56" s="700">
        <f ca="1">SUM(R54:R55)</f>
        <v>1251.553965852572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8824.5294227313734</v>
      </c>
      <c r="D61" s="706">
        <f t="shared" ref="D61:Q61" ca="1" si="8">D46+D52+D56</f>
        <v>0</v>
      </c>
      <c r="E61" s="706">
        <f t="shared" ca="1" si="8"/>
        <v>8314.8308239081325</v>
      </c>
      <c r="F61" s="706">
        <f t="shared" si="8"/>
        <v>647.77099421294338</v>
      </c>
      <c r="G61" s="706">
        <f t="shared" ca="1" si="8"/>
        <v>15731.478457837595</v>
      </c>
      <c r="H61" s="706">
        <f t="shared" si="8"/>
        <v>15476.929960358459</v>
      </c>
      <c r="I61" s="706">
        <f t="shared" si="8"/>
        <v>2844.8018810772705</v>
      </c>
      <c r="J61" s="706">
        <f t="shared" si="8"/>
        <v>0</v>
      </c>
      <c r="K61" s="706">
        <f t="shared" si="8"/>
        <v>127.28758286080239</v>
      </c>
      <c r="L61" s="706">
        <f t="shared" si="8"/>
        <v>0</v>
      </c>
      <c r="M61" s="706">
        <f t="shared" ca="1" si="8"/>
        <v>0</v>
      </c>
      <c r="N61" s="706">
        <f t="shared" si="8"/>
        <v>0</v>
      </c>
      <c r="O61" s="706">
        <f t="shared" ca="1" si="8"/>
        <v>0</v>
      </c>
      <c r="P61" s="706">
        <f t="shared" si="8"/>
        <v>0</v>
      </c>
      <c r="Q61" s="706">
        <f t="shared" si="8"/>
        <v>0</v>
      </c>
      <c r="R61" s="706">
        <f ca="1">R46+R52+R56</f>
        <v>51967.629122986582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0.19163044682041017</v>
      </c>
      <c r="D63" s="747">
        <f t="shared" ca="1" si="9"/>
        <v>0</v>
      </c>
      <c r="E63" s="982">
        <f t="shared" ca="1" si="9"/>
        <v>0.20199999999999999</v>
      </c>
      <c r="F63" s="747">
        <f t="shared" si="9"/>
        <v>0.22700000000000001</v>
      </c>
      <c r="G63" s="747">
        <f t="shared" ca="1" si="9"/>
        <v>0.26699999999999996</v>
      </c>
      <c r="H63" s="747">
        <f t="shared" si="9"/>
        <v>0.26700000000000002</v>
      </c>
      <c r="I63" s="747">
        <f t="shared" si="9"/>
        <v>0.249</v>
      </c>
      <c r="J63" s="747">
        <f t="shared" si="9"/>
        <v>0</v>
      </c>
      <c r="K63" s="747">
        <f t="shared" si="9"/>
        <v>0.35399999999999987</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5305.2278470293359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814.5</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2327.1428571428573</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6119.7278470293359</v>
      </c>
      <c r="C78" s="721">
        <f>SUM(C72:C77)</f>
        <v>0</v>
      </c>
      <c r="D78" s="722">
        <f t="shared" ref="D78:H78" si="10">SUM(D76:D77)</f>
        <v>0</v>
      </c>
      <c r="E78" s="722">
        <f t="shared" si="10"/>
        <v>0</v>
      </c>
      <c r="F78" s="722">
        <f t="shared" si="10"/>
        <v>0</v>
      </c>
      <c r="G78" s="722">
        <f t="shared" si="10"/>
        <v>0</v>
      </c>
      <c r="H78" s="722">
        <f t="shared" si="10"/>
        <v>0</v>
      </c>
      <c r="I78" s="722">
        <f>SUM(I76:I77)</f>
        <v>0</v>
      </c>
      <c r="J78" s="722">
        <f>SUM(J76:J77)</f>
        <v>2327.1428571428573</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26143.337518533524</v>
      </c>
      <c r="C4" s="443">
        <f>huishoudens!C8</f>
        <v>0</v>
      </c>
      <c r="D4" s="443">
        <f>huishoudens!D8</f>
        <v>31898.891930400005</v>
      </c>
      <c r="E4" s="443">
        <f>huishoudens!E8</f>
        <v>2058.845158530487</v>
      </c>
      <c r="F4" s="443">
        <f>huishoudens!F8</f>
        <v>52161.907504563496</v>
      </c>
      <c r="G4" s="443">
        <f>huishoudens!G8</f>
        <v>0</v>
      </c>
      <c r="H4" s="443">
        <f>huishoudens!H8</f>
        <v>0</v>
      </c>
      <c r="I4" s="443">
        <f>huishoudens!I8</f>
        <v>0</v>
      </c>
      <c r="J4" s="443">
        <f>huishoudens!J8</f>
        <v>250.99724680482788</v>
      </c>
      <c r="K4" s="443">
        <f>huishoudens!K8</f>
        <v>0</v>
      </c>
      <c r="L4" s="443">
        <f>huishoudens!L8</f>
        <v>0</v>
      </c>
      <c r="M4" s="443">
        <f>huishoudens!M8</f>
        <v>0</v>
      </c>
      <c r="N4" s="443">
        <f>huishoudens!N8</f>
        <v>8830.6066396255846</v>
      </c>
      <c r="O4" s="443">
        <f>huishoudens!O8</f>
        <v>329.86333333333334</v>
      </c>
      <c r="P4" s="444">
        <f>huishoudens!P8</f>
        <v>1258.4000000000001</v>
      </c>
      <c r="Q4" s="445">
        <f>SUM(B4:P4)</f>
        <v>122932.84933179124</v>
      </c>
    </row>
    <row r="5" spans="1:17">
      <c r="A5" s="442" t="s">
        <v>149</v>
      </c>
      <c r="B5" s="443">
        <f ca="1">tertiair!B16</f>
        <v>14905.296874000001</v>
      </c>
      <c r="C5" s="443">
        <f ca="1">tertiair!C16</f>
        <v>0</v>
      </c>
      <c r="D5" s="443">
        <f ca="1">tertiair!D16</f>
        <v>7647.0731964000015</v>
      </c>
      <c r="E5" s="443">
        <f>tertiair!E16</f>
        <v>217.1821019289462</v>
      </c>
      <c r="F5" s="443">
        <f ca="1">tertiair!F16</f>
        <v>2236.6748426992217</v>
      </c>
      <c r="G5" s="443">
        <f>tertiair!G16</f>
        <v>0</v>
      </c>
      <c r="H5" s="443">
        <f>tertiair!H16</f>
        <v>0</v>
      </c>
      <c r="I5" s="443">
        <f>tertiair!I16</f>
        <v>0</v>
      </c>
      <c r="J5" s="443">
        <f>tertiair!J16</f>
        <v>9.5605873291052194E-3</v>
      </c>
      <c r="K5" s="443">
        <f>tertiair!K16</f>
        <v>0</v>
      </c>
      <c r="L5" s="443">
        <f ca="1">tertiair!L16</f>
        <v>0</v>
      </c>
      <c r="M5" s="443">
        <f>tertiair!M16</f>
        <v>0</v>
      </c>
      <c r="N5" s="443">
        <f ca="1">tertiair!N16</f>
        <v>0</v>
      </c>
      <c r="O5" s="443">
        <f>tertiair!O16</f>
        <v>4.6900000000000004</v>
      </c>
      <c r="P5" s="444">
        <f>tertiair!P16</f>
        <v>38.133333333333333</v>
      </c>
      <c r="Q5" s="442">
        <f t="shared" ref="Q5:Q14" ca="1" si="0">SUM(B5:P5)</f>
        <v>25049.059908948831</v>
      </c>
    </row>
    <row r="6" spans="1:17">
      <c r="A6" s="442" t="s">
        <v>187</v>
      </c>
      <c r="B6" s="443">
        <f>'openbare verlichting'!B8</f>
        <v>885.03800000000001</v>
      </c>
      <c r="C6" s="443"/>
      <c r="D6" s="443"/>
      <c r="E6" s="443"/>
      <c r="F6" s="443"/>
      <c r="G6" s="443"/>
      <c r="H6" s="443"/>
      <c r="I6" s="443"/>
      <c r="J6" s="443"/>
      <c r="K6" s="443"/>
      <c r="L6" s="443"/>
      <c r="M6" s="443"/>
      <c r="N6" s="443"/>
      <c r="O6" s="443"/>
      <c r="P6" s="444"/>
      <c r="Q6" s="442">
        <f t="shared" si="0"/>
        <v>885.03800000000001</v>
      </c>
    </row>
    <row r="7" spans="1:17">
      <c r="A7" s="442" t="s">
        <v>105</v>
      </c>
      <c r="B7" s="443">
        <f>landbouw!B8</f>
        <v>739.84544999999991</v>
      </c>
      <c r="C7" s="443">
        <f>landbouw!C8</f>
        <v>0</v>
      </c>
      <c r="D7" s="443">
        <f>landbouw!D8</f>
        <v>67.289199999999994</v>
      </c>
      <c r="E7" s="443">
        <f>landbouw!E8</f>
        <v>21.7463175243279</v>
      </c>
      <c r="F7" s="443">
        <f>landbouw!F8</f>
        <v>3082.1561655502946</v>
      </c>
      <c r="G7" s="443">
        <f>landbouw!G8</f>
        <v>0</v>
      </c>
      <c r="H7" s="443">
        <f>landbouw!H8</f>
        <v>0</v>
      </c>
      <c r="I7" s="443">
        <f>landbouw!I8</f>
        <v>0</v>
      </c>
      <c r="J7" s="443">
        <f>landbouw!J8</f>
        <v>107.18771734208896</v>
      </c>
      <c r="K7" s="443">
        <f>landbouw!K8</f>
        <v>0</v>
      </c>
      <c r="L7" s="443">
        <f>landbouw!L8</f>
        <v>0</v>
      </c>
      <c r="M7" s="443">
        <f>landbouw!M8</f>
        <v>0</v>
      </c>
      <c r="N7" s="443">
        <f>landbouw!N8</f>
        <v>0</v>
      </c>
      <c r="O7" s="443">
        <f>landbouw!O8</f>
        <v>0</v>
      </c>
      <c r="P7" s="444">
        <f>landbouw!P8</f>
        <v>0</v>
      </c>
      <c r="Q7" s="442">
        <f t="shared" si="0"/>
        <v>4018.2248504167114</v>
      </c>
    </row>
    <row r="8" spans="1:17">
      <c r="A8" s="442" t="s">
        <v>621</v>
      </c>
      <c r="B8" s="443">
        <f>industrie!B18</f>
        <v>2908.7079590000003</v>
      </c>
      <c r="C8" s="443">
        <f>industrie!C18</f>
        <v>0</v>
      </c>
      <c r="D8" s="443">
        <f>industrie!D18</f>
        <v>708.83385870000006</v>
      </c>
      <c r="E8" s="443">
        <f>industrie!E18</f>
        <v>432.66458481665677</v>
      </c>
      <c r="F8" s="443">
        <f>industrie!F18</f>
        <v>1438.6564603615029</v>
      </c>
      <c r="G8" s="443">
        <f>industrie!G18</f>
        <v>0</v>
      </c>
      <c r="H8" s="443">
        <f>industrie!H18</f>
        <v>0</v>
      </c>
      <c r="I8" s="443">
        <f>industrie!I18</f>
        <v>0</v>
      </c>
      <c r="J8" s="443">
        <f>industrie!J18</f>
        <v>1.3749183753654062</v>
      </c>
      <c r="K8" s="443">
        <f>industrie!K18</f>
        <v>0</v>
      </c>
      <c r="L8" s="443">
        <f>industrie!L18</f>
        <v>0</v>
      </c>
      <c r="M8" s="443">
        <f>industrie!M18</f>
        <v>0</v>
      </c>
      <c r="N8" s="443">
        <f>industrie!N18</f>
        <v>362.34077519422829</v>
      </c>
      <c r="O8" s="443">
        <f>industrie!O18</f>
        <v>0</v>
      </c>
      <c r="P8" s="444">
        <f>industrie!P18</f>
        <v>0</v>
      </c>
      <c r="Q8" s="442">
        <f t="shared" si="0"/>
        <v>5852.5785564477537</v>
      </c>
    </row>
    <row r="9" spans="1:17" s="448" customFormat="1">
      <c r="A9" s="446" t="s">
        <v>547</v>
      </c>
      <c r="B9" s="447">
        <f>transport!B14</f>
        <v>38.79237195938385</v>
      </c>
      <c r="C9" s="447">
        <f>transport!C14</f>
        <v>0</v>
      </c>
      <c r="D9" s="447">
        <f>transport!D14</f>
        <v>71.376445728371621</v>
      </c>
      <c r="E9" s="447">
        <f>transport!E14</f>
        <v>123.1785517940463</v>
      </c>
      <c r="F9" s="447">
        <f>transport!F14</f>
        <v>0</v>
      </c>
      <c r="G9" s="447">
        <f>transport!G14</f>
        <v>54467.747911460683</v>
      </c>
      <c r="H9" s="447">
        <f>transport!H14</f>
        <v>11424.907152920765</v>
      </c>
      <c r="I9" s="447">
        <f>transport!I14</f>
        <v>0</v>
      </c>
      <c r="J9" s="447">
        <f>transport!J14</f>
        <v>0</v>
      </c>
      <c r="K9" s="447">
        <f>transport!K14</f>
        <v>0</v>
      </c>
      <c r="L9" s="447">
        <f>transport!L14</f>
        <v>0</v>
      </c>
      <c r="M9" s="447">
        <f>transport!M14</f>
        <v>3518.6542316898817</v>
      </c>
      <c r="N9" s="447">
        <f>transport!N14</f>
        <v>0</v>
      </c>
      <c r="O9" s="447">
        <f>transport!O14</f>
        <v>0</v>
      </c>
      <c r="P9" s="447">
        <f>transport!P14</f>
        <v>0</v>
      </c>
      <c r="Q9" s="446">
        <f>SUM(B9:P9)</f>
        <v>69644.656665553135</v>
      </c>
    </row>
    <row r="10" spans="1:17">
      <c r="A10" s="442" t="s">
        <v>537</v>
      </c>
      <c r="B10" s="443">
        <f>transport!B54</f>
        <v>37.239505461205127</v>
      </c>
      <c r="C10" s="443">
        <f>transport!C54</f>
        <v>0</v>
      </c>
      <c r="D10" s="443">
        <f>transport!D54</f>
        <v>0</v>
      </c>
      <c r="E10" s="443">
        <f>transport!E54</f>
        <v>0</v>
      </c>
      <c r="F10" s="443">
        <f>transport!F54</f>
        <v>0</v>
      </c>
      <c r="G10" s="443">
        <f>transport!G54</f>
        <v>3498.2819026159341</v>
      </c>
      <c r="H10" s="443">
        <f>transport!H54</f>
        <v>0</v>
      </c>
      <c r="I10" s="443">
        <f>transport!I54</f>
        <v>0</v>
      </c>
      <c r="J10" s="443">
        <f>transport!J54</f>
        <v>0</v>
      </c>
      <c r="K10" s="443">
        <f>transport!K54</f>
        <v>0</v>
      </c>
      <c r="L10" s="443">
        <f>transport!L54</f>
        <v>0</v>
      </c>
      <c r="M10" s="443">
        <f>transport!M54</f>
        <v>201.45555112417568</v>
      </c>
      <c r="N10" s="443">
        <f>transport!N54</f>
        <v>0</v>
      </c>
      <c r="O10" s="443">
        <f>transport!O54</f>
        <v>0</v>
      </c>
      <c r="P10" s="444">
        <f>transport!P54</f>
        <v>0</v>
      </c>
      <c r="Q10" s="442">
        <f t="shared" si="0"/>
        <v>3736.9769592013149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391.467556</v>
      </c>
      <c r="C14" s="450"/>
      <c r="D14" s="450">
        <f>'SEAP template'!E25</f>
        <v>769.06419999999991</v>
      </c>
      <c r="E14" s="450"/>
      <c r="F14" s="450"/>
      <c r="G14" s="450"/>
      <c r="H14" s="450"/>
      <c r="I14" s="450"/>
      <c r="J14" s="450"/>
      <c r="K14" s="450"/>
      <c r="L14" s="450"/>
      <c r="M14" s="450"/>
      <c r="N14" s="450"/>
      <c r="O14" s="450"/>
      <c r="P14" s="451"/>
      <c r="Q14" s="442">
        <f t="shared" si="0"/>
        <v>1160.5317559999999</v>
      </c>
    </row>
    <row r="15" spans="1:17" s="452" customFormat="1">
      <c r="A15" s="997" t="s">
        <v>541</v>
      </c>
      <c r="B15" s="945">
        <f ca="1">SUM(B4:B14)</f>
        <v>46049.725234954116</v>
      </c>
      <c r="C15" s="945">
        <f t="shared" ref="C15:Q15" ca="1" si="1">SUM(C4:C14)</f>
        <v>0</v>
      </c>
      <c r="D15" s="945">
        <f t="shared" ca="1" si="1"/>
        <v>41162.528831228381</v>
      </c>
      <c r="E15" s="945">
        <f t="shared" si="1"/>
        <v>2853.6167145944642</v>
      </c>
      <c r="F15" s="945">
        <f t="shared" ca="1" si="1"/>
        <v>58919.394973174516</v>
      </c>
      <c r="G15" s="945">
        <f t="shared" si="1"/>
        <v>57966.029814076617</v>
      </c>
      <c r="H15" s="945">
        <f t="shared" si="1"/>
        <v>11424.907152920765</v>
      </c>
      <c r="I15" s="945">
        <f t="shared" si="1"/>
        <v>0</v>
      </c>
      <c r="J15" s="945">
        <f t="shared" si="1"/>
        <v>359.56944310961131</v>
      </c>
      <c r="K15" s="945">
        <f t="shared" si="1"/>
        <v>0</v>
      </c>
      <c r="L15" s="945">
        <f t="shared" ca="1" si="1"/>
        <v>0</v>
      </c>
      <c r="M15" s="945">
        <f t="shared" si="1"/>
        <v>3720.1097828140573</v>
      </c>
      <c r="N15" s="945">
        <f t="shared" ca="1" si="1"/>
        <v>9192.9474148198133</v>
      </c>
      <c r="O15" s="945">
        <f t="shared" si="1"/>
        <v>334.55333333333334</v>
      </c>
      <c r="P15" s="945">
        <f t="shared" si="1"/>
        <v>1296.5333333333335</v>
      </c>
      <c r="Q15" s="945">
        <f t="shared" ca="1" si="1"/>
        <v>233279.91602835897</v>
      </c>
    </row>
    <row r="17" spans="1:17">
      <c r="A17" s="453" t="s">
        <v>542</v>
      </c>
      <c r="B17" s="752">
        <f ca="1">huishoudens!B10</f>
        <v>0.19163044682041017</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5009.8594500533727</v>
      </c>
      <c r="C22" s="443">
        <f t="shared" ref="C22:C32" ca="1" si="3">C4*$C$17</f>
        <v>0</v>
      </c>
      <c r="D22" s="443">
        <f t="shared" ref="D22:D32" si="4">D4*$D$17</f>
        <v>6443.5761699408013</v>
      </c>
      <c r="E22" s="443">
        <f t="shared" ref="E22:E32" si="5">E4*$E$17</f>
        <v>467.35785098642054</v>
      </c>
      <c r="F22" s="443">
        <f t="shared" ref="F22:F32" si="6">F4*$F$17</f>
        <v>13927.229303718454</v>
      </c>
      <c r="G22" s="443">
        <f t="shared" ref="G22:G32" si="7">G4*$G$17</f>
        <v>0</v>
      </c>
      <c r="H22" s="443">
        <f t="shared" ref="H22:H32" si="8">H4*$H$17</f>
        <v>0</v>
      </c>
      <c r="I22" s="443">
        <f t="shared" ref="I22:I32" si="9">I4*$I$17</f>
        <v>0</v>
      </c>
      <c r="J22" s="443">
        <f t="shared" ref="J22:J32" si="10">J4*$J$17</f>
        <v>88.853025368909059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25936.875800067959</v>
      </c>
    </row>
    <row r="23" spans="1:17">
      <c r="A23" s="442" t="s">
        <v>149</v>
      </c>
      <c r="B23" s="443">
        <f t="shared" ca="1" si="2"/>
        <v>2856.308699955483</v>
      </c>
      <c r="C23" s="443">
        <f t="shared" ca="1" si="3"/>
        <v>0</v>
      </c>
      <c r="D23" s="443">
        <f t="shared" ca="1" si="4"/>
        <v>1544.7087856728003</v>
      </c>
      <c r="E23" s="443">
        <f t="shared" si="5"/>
        <v>49.300337137870791</v>
      </c>
      <c r="F23" s="443">
        <f t="shared" ca="1" si="6"/>
        <v>597.19218300069224</v>
      </c>
      <c r="G23" s="443">
        <f t="shared" si="7"/>
        <v>0</v>
      </c>
      <c r="H23" s="443">
        <f t="shared" si="8"/>
        <v>0</v>
      </c>
      <c r="I23" s="443">
        <f t="shared" si="9"/>
        <v>0</v>
      </c>
      <c r="J23" s="443">
        <f t="shared" si="10"/>
        <v>3.3844479145032475E-3</v>
      </c>
      <c r="K23" s="443">
        <f t="shared" si="11"/>
        <v>0</v>
      </c>
      <c r="L23" s="443">
        <f t="shared" ca="1" si="12"/>
        <v>0</v>
      </c>
      <c r="M23" s="443">
        <f t="shared" si="13"/>
        <v>0</v>
      </c>
      <c r="N23" s="443">
        <f t="shared" ca="1" si="14"/>
        <v>0</v>
      </c>
      <c r="O23" s="443">
        <f t="shared" si="15"/>
        <v>0</v>
      </c>
      <c r="P23" s="444">
        <f t="shared" si="16"/>
        <v>0</v>
      </c>
      <c r="Q23" s="442">
        <f t="shared" ref="Q23:Q32" ca="1" si="17">SUM(B23:P23)</f>
        <v>5047.5133902147609</v>
      </c>
    </row>
    <row r="24" spans="1:17">
      <c r="A24" s="442" t="s">
        <v>187</v>
      </c>
      <c r="B24" s="443">
        <f t="shared" ca="1" si="2"/>
        <v>169.60022739304216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169.60022739304216</v>
      </c>
    </row>
    <row r="25" spans="1:17">
      <c r="A25" s="442" t="s">
        <v>105</v>
      </c>
      <c r="B25" s="443">
        <f t="shared" ca="1" si="2"/>
        <v>141.77691416154741</v>
      </c>
      <c r="C25" s="443">
        <f t="shared" ca="1" si="3"/>
        <v>0</v>
      </c>
      <c r="D25" s="443">
        <f t="shared" si="4"/>
        <v>13.5924184</v>
      </c>
      <c r="E25" s="443">
        <f t="shared" si="5"/>
        <v>4.936414078022433</v>
      </c>
      <c r="F25" s="443">
        <f t="shared" si="6"/>
        <v>822.93569620192875</v>
      </c>
      <c r="G25" s="443">
        <f t="shared" si="7"/>
        <v>0</v>
      </c>
      <c r="H25" s="443">
        <f t="shared" si="8"/>
        <v>0</v>
      </c>
      <c r="I25" s="443">
        <f t="shared" si="9"/>
        <v>0</v>
      </c>
      <c r="J25" s="443">
        <f t="shared" si="10"/>
        <v>37.944451939099487</v>
      </c>
      <c r="K25" s="443">
        <f t="shared" si="11"/>
        <v>0</v>
      </c>
      <c r="L25" s="443">
        <f t="shared" si="12"/>
        <v>0</v>
      </c>
      <c r="M25" s="443">
        <f t="shared" si="13"/>
        <v>0</v>
      </c>
      <c r="N25" s="443">
        <f t="shared" si="14"/>
        <v>0</v>
      </c>
      <c r="O25" s="443">
        <f t="shared" si="15"/>
        <v>0</v>
      </c>
      <c r="P25" s="444">
        <f t="shared" si="16"/>
        <v>0</v>
      </c>
      <c r="Q25" s="442">
        <f t="shared" ca="1" si="17"/>
        <v>1021.1858947805981</v>
      </c>
    </row>
    <row r="26" spans="1:17">
      <c r="A26" s="442" t="s">
        <v>621</v>
      </c>
      <c r="B26" s="443">
        <f t="shared" ca="1" si="2"/>
        <v>557.3970058532534</v>
      </c>
      <c r="C26" s="443">
        <f t="shared" ca="1" si="3"/>
        <v>0</v>
      </c>
      <c r="D26" s="443">
        <f t="shared" si="4"/>
        <v>143.18443945740003</v>
      </c>
      <c r="E26" s="443">
        <f t="shared" si="5"/>
        <v>98.214860753381089</v>
      </c>
      <c r="F26" s="443">
        <f t="shared" si="6"/>
        <v>384.12127491652132</v>
      </c>
      <c r="G26" s="443">
        <f t="shared" si="7"/>
        <v>0</v>
      </c>
      <c r="H26" s="443">
        <f t="shared" si="8"/>
        <v>0</v>
      </c>
      <c r="I26" s="443">
        <f t="shared" si="9"/>
        <v>0</v>
      </c>
      <c r="J26" s="443">
        <f t="shared" si="10"/>
        <v>0.48672110487935377</v>
      </c>
      <c r="K26" s="443">
        <f t="shared" si="11"/>
        <v>0</v>
      </c>
      <c r="L26" s="443">
        <f t="shared" si="12"/>
        <v>0</v>
      </c>
      <c r="M26" s="443">
        <f t="shared" si="13"/>
        <v>0</v>
      </c>
      <c r="N26" s="443">
        <f t="shared" si="14"/>
        <v>0</v>
      </c>
      <c r="O26" s="443">
        <f t="shared" si="15"/>
        <v>0</v>
      </c>
      <c r="P26" s="444">
        <f t="shared" si="16"/>
        <v>0</v>
      </c>
      <c r="Q26" s="442">
        <f t="shared" ca="1" si="17"/>
        <v>1183.4043020854351</v>
      </c>
    </row>
    <row r="27" spans="1:17" s="448" customFormat="1">
      <c r="A27" s="446" t="s">
        <v>547</v>
      </c>
      <c r="B27" s="746">
        <f t="shared" ca="1" si="2"/>
        <v>7.433799571800277</v>
      </c>
      <c r="C27" s="447">
        <f t="shared" ca="1" si="3"/>
        <v>0</v>
      </c>
      <c r="D27" s="447">
        <f t="shared" si="4"/>
        <v>14.418042037131068</v>
      </c>
      <c r="E27" s="447">
        <f t="shared" si="5"/>
        <v>27.96153125724851</v>
      </c>
      <c r="F27" s="447">
        <f t="shared" si="6"/>
        <v>0</v>
      </c>
      <c r="G27" s="447">
        <f t="shared" si="7"/>
        <v>14542.888692360004</v>
      </c>
      <c r="H27" s="447">
        <f t="shared" si="8"/>
        <v>2844.8018810772705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17437.503946303455</v>
      </c>
    </row>
    <row r="28" spans="1:17">
      <c r="A28" s="442" t="s">
        <v>537</v>
      </c>
      <c r="B28" s="443">
        <f t="shared" ca="1" si="2"/>
        <v>7.1362230709018428</v>
      </c>
      <c r="C28" s="443">
        <f t="shared" ca="1" si="3"/>
        <v>0</v>
      </c>
      <c r="D28" s="443">
        <f t="shared" si="4"/>
        <v>0</v>
      </c>
      <c r="E28" s="443">
        <f t="shared" si="5"/>
        <v>0</v>
      </c>
      <c r="F28" s="443">
        <f t="shared" si="6"/>
        <v>0</v>
      </c>
      <c r="G28" s="443">
        <f t="shared" si="7"/>
        <v>934.04126799845449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941.17749106935628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75.017102671973944</v>
      </c>
      <c r="C32" s="443">
        <f t="shared" ca="1" si="3"/>
        <v>0</v>
      </c>
      <c r="D32" s="443">
        <f t="shared" si="4"/>
        <v>155.3509684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230.36807107197393</v>
      </c>
    </row>
    <row r="33" spans="1:17" s="452" customFormat="1">
      <c r="A33" s="997" t="s">
        <v>541</v>
      </c>
      <c r="B33" s="945">
        <f ca="1">SUM(B22:B32)</f>
        <v>8824.5294227313752</v>
      </c>
      <c r="C33" s="945">
        <f t="shared" ref="C33:Q33" ca="1" si="18">SUM(C22:C32)</f>
        <v>0</v>
      </c>
      <c r="D33" s="945">
        <f t="shared" ca="1" si="18"/>
        <v>8314.8308239081325</v>
      </c>
      <c r="E33" s="945">
        <f t="shared" si="18"/>
        <v>647.77099421294338</v>
      </c>
      <c r="F33" s="945">
        <f t="shared" ca="1" si="18"/>
        <v>15731.478457837595</v>
      </c>
      <c r="G33" s="945">
        <f t="shared" si="18"/>
        <v>15476.929960358459</v>
      </c>
      <c r="H33" s="945">
        <f t="shared" si="18"/>
        <v>2844.8018810772705</v>
      </c>
      <c r="I33" s="945">
        <f t="shared" si="18"/>
        <v>0</v>
      </c>
      <c r="J33" s="945">
        <f t="shared" si="18"/>
        <v>127.2875828608024</v>
      </c>
      <c r="K33" s="945">
        <f t="shared" si="18"/>
        <v>0</v>
      </c>
      <c r="L33" s="945">
        <f t="shared" ca="1" si="18"/>
        <v>0</v>
      </c>
      <c r="M33" s="945">
        <f t="shared" si="18"/>
        <v>0</v>
      </c>
      <c r="N33" s="945">
        <f t="shared" ca="1" si="18"/>
        <v>0</v>
      </c>
      <c r="O33" s="945">
        <f t="shared" si="18"/>
        <v>0</v>
      </c>
      <c r="P33" s="945">
        <f t="shared" si="18"/>
        <v>0</v>
      </c>
      <c r="Q33" s="945">
        <f t="shared" ca="1" si="18"/>
        <v>51967.629122986582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5305.2278470293359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814.5</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2327.1428571428573</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6119.7278470293359</v>
      </c>
      <c r="C10" s="1018">
        <f>SUM(C4:C9)</f>
        <v>0</v>
      </c>
      <c r="D10" s="1018">
        <f t="shared" ref="D10:H10" si="0">SUM(D8:D9)</f>
        <v>0</v>
      </c>
      <c r="E10" s="1018">
        <f t="shared" si="0"/>
        <v>0</v>
      </c>
      <c r="F10" s="1018">
        <f t="shared" si="0"/>
        <v>0</v>
      </c>
      <c r="G10" s="1018">
        <f t="shared" si="0"/>
        <v>0</v>
      </c>
      <c r="H10" s="1018">
        <f t="shared" si="0"/>
        <v>0</v>
      </c>
      <c r="I10" s="1018">
        <f>SUM(I8:I9)</f>
        <v>0</v>
      </c>
      <c r="J10" s="1018">
        <f>SUM(J8:J9)</f>
        <v>2327.1428571428573</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0.19163044682041017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0.19163044682041017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0.19163044682041017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0.19163044682041017</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5592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2324.04</v>
      </c>
      <c r="C14" s="324"/>
      <c r="D14" s="324"/>
      <c r="E14" s="324"/>
      <c r="F14" s="324"/>
    </row>
    <row r="15" spans="1:6">
      <c r="A15" s="1289" t="s">
        <v>177</v>
      </c>
      <c r="B15" s="1290">
        <v>445</v>
      </c>
      <c r="C15" s="324"/>
      <c r="D15" s="324"/>
      <c r="E15" s="324"/>
      <c r="F15" s="324"/>
    </row>
    <row r="16" spans="1:6">
      <c r="A16" s="1289" t="s">
        <v>6</v>
      </c>
      <c r="B16" s="1290">
        <v>492</v>
      </c>
      <c r="C16" s="324"/>
      <c r="D16" s="324"/>
      <c r="E16" s="324"/>
      <c r="F16" s="324"/>
    </row>
    <row r="17" spans="1:6">
      <c r="A17" s="1289" t="s">
        <v>7</v>
      </c>
      <c r="B17" s="1290">
        <v>304</v>
      </c>
      <c r="C17" s="324"/>
      <c r="D17" s="324"/>
      <c r="E17" s="324"/>
      <c r="F17" s="324"/>
    </row>
    <row r="18" spans="1:6">
      <c r="A18" s="1289" t="s">
        <v>8</v>
      </c>
      <c r="B18" s="1290">
        <v>582</v>
      </c>
      <c r="C18" s="324"/>
      <c r="D18" s="324"/>
      <c r="E18" s="324"/>
      <c r="F18" s="324"/>
    </row>
    <row r="19" spans="1:6">
      <c r="A19" s="1289" t="s">
        <v>9</v>
      </c>
      <c r="B19" s="1290">
        <v>520</v>
      </c>
      <c r="C19" s="324"/>
      <c r="D19" s="324"/>
      <c r="E19" s="324"/>
      <c r="F19" s="324"/>
    </row>
    <row r="20" spans="1:6">
      <c r="A20" s="1289" t="s">
        <v>10</v>
      </c>
      <c r="B20" s="1290">
        <v>318</v>
      </c>
      <c r="C20" s="324"/>
      <c r="D20" s="324"/>
      <c r="E20" s="324"/>
      <c r="F20" s="324"/>
    </row>
    <row r="21" spans="1:6">
      <c r="A21" s="1289" t="s">
        <v>11</v>
      </c>
      <c r="B21" s="1290">
        <v>917</v>
      </c>
      <c r="C21" s="324"/>
      <c r="D21" s="324"/>
      <c r="E21" s="324"/>
      <c r="F21" s="324"/>
    </row>
    <row r="22" spans="1:6">
      <c r="A22" s="1289" t="s">
        <v>12</v>
      </c>
      <c r="B22" s="1290">
        <v>1843</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213</v>
      </c>
      <c r="C26" s="324"/>
      <c r="D26" s="324"/>
      <c r="E26" s="324"/>
      <c r="F26" s="324"/>
    </row>
    <row r="27" spans="1:6">
      <c r="A27" s="1289" t="s">
        <v>17</v>
      </c>
      <c r="B27" s="1290">
        <v>1</v>
      </c>
      <c r="C27" s="324"/>
      <c r="D27" s="324"/>
      <c r="E27" s="324"/>
      <c r="F27" s="324"/>
    </row>
    <row r="28" spans="1:6">
      <c r="A28" s="1289" t="s">
        <v>18</v>
      </c>
      <c r="B28" s="1291">
        <v>0</v>
      </c>
      <c r="C28" s="324"/>
      <c r="D28" s="324"/>
      <c r="E28" s="324"/>
      <c r="F28" s="324"/>
    </row>
    <row r="29" spans="1:6">
      <c r="A29" s="1289" t="s">
        <v>716</v>
      </c>
      <c r="B29" s="1291">
        <v>241</v>
      </c>
      <c r="C29" s="324"/>
      <c r="D29" s="324"/>
      <c r="E29" s="324"/>
      <c r="F29" s="324"/>
    </row>
    <row r="30" spans="1:6">
      <c r="A30" s="1284" t="s">
        <v>717</v>
      </c>
      <c r="B30" s="1292">
        <v>39</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29</v>
      </c>
      <c r="F36" s="1290">
        <v>2036981</v>
      </c>
    </row>
    <row r="37" spans="1:6">
      <c r="A37" s="1289" t="s">
        <v>24</v>
      </c>
      <c r="B37" s="1289" t="s">
        <v>27</v>
      </c>
      <c r="C37" s="1290">
        <v>0</v>
      </c>
      <c r="D37" s="1290">
        <v>0</v>
      </c>
      <c r="E37" s="1290">
        <v>0</v>
      </c>
      <c r="F37" s="1290">
        <v>0</v>
      </c>
    </row>
    <row r="38" spans="1:6">
      <c r="A38" s="1289" t="s">
        <v>24</v>
      </c>
      <c r="B38" s="1289" t="s">
        <v>28</v>
      </c>
      <c r="C38" s="1290">
        <v>1</v>
      </c>
      <c r="D38" s="1290">
        <v>775430.35</v>
      </c>
      <c r="E38" s="1290">
        <v>2</v>
      </c>
      <c r="F38" s="1290">
        <v>30732</v>
      </c>
    </row>
    <row r="39" spans="1:6">
      <c r="A39" s="1289" t="s">
        <v>29</v>
      </c>
      <c r="B39" s="1289" t="s">
        <v>30</v>
      </c>
      <c r="C39" s="1290">
        <v>2091</v>
      </c>
      <c r="D39" s="1290">
        <v>35364625.200000003</v>
      </c>
      <c r="E39" s="1290">
        <v>5415</v>
      </c>
      <c r="F39" s="1290">
        <v>22200091.649999999</v>
      </c>
    </row>
    <row r="40" spans="1:6">
      <c r="A40" s="1289" t="s">
        <v>29</v>
      </c>
      <c r="B40" s="1289" t="s">
        <v>28</v>
      </c>
      <c r="C40" s="1290">
        <v>0</v>
      </c>
      <c r="D40" s="1290">
        <v>0</v>
      </c>
      <c r="E40" s="1290">
        <v>0</v>
      </c>
      <c r="F40" s="1290">
        <v>0</v>
      </c>
    </row>
    <row r="41" spans="1:6">
      <c r="A41" s="1289" t="s">
        <v>31</v>
      </c>
      <c r="B41" s="1289" t="s">
        <v>32</v>
      </c>
      <c r="C41" s="1290">
        <v>24</v>
      </c>
      <c r="D41" s="1290">
        <v>556138.4</v>
      </c>
      <c r="E41" s="1290">
        <v>108</v>
      </c>
      <c r="F41" s="1290">
        <v>1391901.5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10</v>
      </c>
      <c r="F44" s="1290">
        <v>67438</v>
      </c>
    </row>
    <row r="45" spans="1:6">
      <c r="A45" s="1289" t="s">
        <v>31</v>
      </c>
      <c r="B45" s="1289" t="s">
        <v>36</v>
      </c>
      <c r="C45" s="1290">
        <v>0</v>
      </c>
      <c r="D45" s="1290">
        <v>0</v>
      </c>
      <c r="E45" s="1290">
        <v>3</v>
      </c>
      <c r="F45" s="1290">
        <v>797918</v>
      </c>
    </row>
    <row r="46" spans="1:6">
      <c r="A46" s="1289" t="s">
        <v>31</v>
      </c>
      <c r="B46" s="1289" t="s">
        <v>37</v>
      </c>
      <c r="C46" s="1290">
        <v>0</v>
      </c>
      <c r="D46" s="1290">
        <v>0</v>
      </c>
      <c r="E46" s="1290">
        <v>0</v>
      </c>
      <c r="F46" s="1290">
        <v>0</v>
      </c>
    </row>
    <row r="47" spans="1:6">
      <c r="A47" s="1289" t="s">
        <v>31</v>
      </c>
      <c r="B47" s="1289" t="s">
        <v>38</v>
      </c>
      <c r="C47" s="1290">
        <v>0</v>
      </c>
      <c r="D47" s="1290">
        <v>0</v>
      </c>
      <c r="E47" s="1290">
        <v>3</v>
      </c>
      <c r="F47" s="1290">
        <v>95854.2</v>
      </c>
    </row>
    <row r="48" spans="1:6">
      <c r="A48" s="1289" t="s">
        <v>31</v>
      </c>
      <c r="B48" s="1289" t="s">
        <v>28</v>
      </c>
      <c r="C48" s="1290">
        <v>5</v>
      </c>
      <c r="D48" s="1290">
        <v>145193</v>
      </c>
      <c r="E48" s="1290">
        <v>2</v>
      </c>
      <c r="F48" s="1290">
        <v>13652</v>
      </c>
    </row>
    <row r="49" spans="1:6">
      <c r="A49" s="1289" t="s">
        <v>31</v>
      </c>
      <c r="B49" s="1289" t="s">
        <v>39</v>
      </c>
      <c r="C49" s="1290">
        <v>0</v>
      </c>
      <c r="D49" s="1290">
        <v>0</v>
      </c>
      <c r="E49" s="1290">
        <v>0</v>
      </c>
      <c r="F49" s="1290">
        <v>0</v>
      </c>
    </row>
    <row r="50" spans="1:6">
      <c r="A50" s="1289" t="s">
        <v>31</v>
      </c>
      <c r="B50" s="1289" t="s">
        <v>40</v>
      </c>
      <c r="C50" s="1290">
        <v>7</v>
      </c>
      <c r="D50" s="1290">
        <v>84515.45</v>
      </c>
      <c r="E50" s="1290">
        <v>16</v>
      </c>
      <c r="F50" s="1290">
        <v>541944.25899999996</v>
      </c>
    </row>
    <row r="51" spans="1:6">
      <c r="A51" s="1289" t="s">
        <v>41</v>
      </c>
      <c r="B51" s="1289" t="s">
        <v>42</v>
      </c>
      <c r="C51" s="1290">
        <v>3</v>
      </c>
      <c r="D51" s="1290">
        <v>74600</v>
      </c>
      <c r="E51" s="1290">
        <v>74</v>
      </c>
      <c r="F51" s="1290">
        <v>739845.45</v>
      </c>
    </row>
    <row r="52" spans="1:6">
      <c r="A52" s="1289" t="s">
        <v>41</v>
      </c>
      <c r="B52" s="1289" t="s">
        <v>28</v>
      </c>
      <c r="C52" s="1290">
        <v>0</v>
      </c>
      <c r="D52" s="1290">
        <v>0</v>
      </c>
      <c r="E52" s="1290">
        <v>0</v>
      </c>
      <c r="F52" s="1290">
        <v>0</v>
      </c>
    </row>
    <row r="53" spans="1:6">
      <c r="A53" s="1289" t="s">
        <v>43</v>
      </c>
      <c r="B53" s="1289" t="s">
        <v>44</v>
      </c>
      <c r="C53" s="1290">
        <v>27</v>
      </c>
      <c r="D53" s="1290">
        <v>769064.2</v>
      </c>
      <c r="E53" s="1290">
        <v>87</v>
      </c>
      <c r="F53" s="1290">
        <v>391467.55599999998</v>
      </c>
    </row>
    <row r="54" spans="1:6">
      <c r="A54" s="1289" t="s">
        <v>45</v>
      </c>
      <c r="B54" s="1289" t="s">
        <v>46</v>
      </c>
      <c r="C54" s="1290">
        <v>0</v>
      </c>
      <c r="D54" s="1290">
        <v>0</v>
      </c>
      <c r="E54" s="1290">
        <v>1</v>
      </c>
      <c r="F54" s="1290">
        <v>885038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17</v>
      </c>
      <c r="D57" s="1290">
        <v>421787.7</v>
      </c>
      <c r="E57" s="1290">
        <v>60</v>
      </c>
      <c r="F57" s="1290">
        <v>440456.65</v>
      </c>
    </row>
    <row r="58" spans="1:6">
      <c r="A58" s="1289" t="s">
        <v>48</v>
      </c>
      <c r="B58" s="1289" t="s">
        <v>50</v>
      </c>
      <c r="C58" s="1290">
        <v>15</v>
      </c>
      <c r="D58" s="1290">
        <v>1138186</v>
      </c>
      <c r="E58" s="1290">
        <v>31</v>
      </c>
      <c r="F58" s="1290">
        <v>1326626</v>
      </c>
    </row>
    <row r="59" spans="1:6">
      <c r="A59" s="1289" t="s">
        <v>48</v>
      </c>
      <c r="B59" s="1289" t="s">
        <v>51</v>
      </c>
      <c r="C59" s="1290">
        <v>45</v>
      </c>
      <c r="D59" s="1290">
        <v>1938909.65</v>
      </c>
      <c r="E59" s="1290">
        <v>154</v>
      </c>
      <c r="F59" s="1290">
        <v>4155744.6740000001</v>
      </c>
    </row>
    <row r="60" spans="1:6">
      <c r="A60" s="1289" t="s">
        <v>48</v>
      </c>
      <c r="B60" s="1289" t="s">
        <v>52</v>
      </c>
      <c r="C60" s="1290">
        <v>19</v>
      </c>
      <c r="D60" s="1290">
        <v>578817</v>
      </c>
      <c r="E60" s="1290">
        <v>45</v>
      </c>
      <c r="F60" s="1290">
        <v>4487547</v>
      </c>
    </row>
    <row r="61" spans="1:6">
      <c r="A61" s="1289" t="s">
        <v>48</v>
      </c>
      <c r="B61" s="1289" t="s">
        <v>53</v>
      </c>
      <c r="C61" s="1290">
        <v>101</v>
      </c>
      <c r="D61" s="1290">
        <v>4261690.8499999996</v>
      </c>
      <c r="E61" s="1290">
        <v>253</v>
      </c>
      <c r="F61" s="1290">
        <v>3576876.55</v>
      </c>
    </row>
    <row r="62" spans="1:6">
      <c r="A62" s="1289" t="s">
        <v>48</v>
      </c>
      <c r="B62" s="1289" t="s">
        <v>54</v>
      </c>
      <c r="C62" s="1290">
        <v>5</v>
      </c>
      <c r="D62" s="1290">
        <v>138517</v>
      </c>
      <c r="E62" s="1290">
        <v>9</v>
      </c>
      <c r="F62" s="1290">
        <v>103546</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1</v>
      </c>
      <c r="D65" s="1290">
        <v>27292</v>
      </c>
      <c r="E65" s="1290">
        <v>0</v>
      </c>
      <c r="F65" s="1290">
        <v>0</v>
      </c>
    </row>
    <row r="66" spans="1:6">
      <c r="A66" s="1289" t="s">
        <v>55</v>
      </c>
      <c r="B66" s="1289" t="s">
        <v>57</v>
      </c>
      <c r="C66" s="1290">
        <v>0</v>
      </c>
      <c r="D66" s="1290">
        <v>0</v>
      </c>
      <c r="E66" s="1290">
        <v>4</v>
      </c>
      <c r="F66" s="1290">
        <v>140664.04999999999</v>
      </c>
    </row>
    <row r="67" spans="1:6">
      <c r="A67" s="1289" t="s">
        <v>55</v>
      </c>
      <c r="B67" s="1289" t="s">
        <v>58</v>
      </c>
      <c r="C67" s="1290">
        <v>0</v>
      </c>
      <c r="D67" s="1290">
        <v>0</v>
      </c>
      <c r="E67" s="1290">
        <v>0</v>
      </c>
      <c r="F67" s="1290">
        <v>0</v>
      </c>
    </row>
    <row r="68" spans="1:6">
      <c r="A68" s="1284" t="s">
        <v>55</v>
      </c>
      <c r="B68" s="1284" t="s">
        <v>59</v>
      </c>
      <c r="C68" s="1292">
        <v>0</v>
      </c>
      <c r="D68" s="1292">
        <v>0</v>
      </c>
      <c r="E68" s="1292">
        <v>14</v>
      </c>
      <c r="F68" s="1292">
        <v>78333.100000000006</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47727255</v>
      </c>
      <c r="E73" s="441"/>
      <c r="F73" s="324"/>
    </row>
    <row r="74" spans="1:6">
      <c r="A74" s="1289" t="s">
        <v>63</v>
      </c>
      <c r="B74" s="1289" t="s">
        <v>642</v>
      </c>
      <c r="C74" s="1302" t="s">
        <v>644</v>
      </c>
      <c r="D74" s="1290">
        <v>5590980.5</v>
      </c>
      <c r="E74" s="441"/>
      <c r="F74" s="324"/>
    </row>
    <row r="75" spans="1:6">
      <c r="A75" s="1289" t="s">
        <v>64</v>
      </c>
      <c r="B75" s="1289" t="s">
        <v>641</v>
      </c>
      <c r="C75" s="1302" t="s">
        <v>645</v>
      </c>
      <c r="D75" s="1290">
        <v>23241885</v>
      </c>
      <c r="E75" s="441"/>
      <c r="F75" s="324"/>
    </row>
    <row r="76" spans="1:6">
      <c r="A76" s="1289" t="s">
        <v>64</v>
      </c>
      <c r="B76" s="1289" t="s">
        <v>642</v>
      </c>
      <c r="C76" s="1302" t="s">
        <v>646</v>
      </c>
      <c r="D76" s="1290">
        <v>1332346.5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1016407</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3943.2458685335264</v>
      </c>
      <c r="C91" s="324"/>
      <c r="D91" s="324"/>
      <c r="E91" s="324"/>
      <c r="F91" s="324"/>
    </row>
    <row r="92" spans="1:6">
      <c r="A92" s="1284" t="s">
        <v>68</v>
      </c>
      <c r="B92" s="1285">
        <v>1361.9819784958095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508</v>
      </c>
      <c r="C97" s="324"/>
      <c r="D97" s="324"/>
      <c r="E97" s="324"/>
      <c r="F97" s="324"/>
    </row>
    <row r="98" spans="1:6">
      <c r="A98" s="1289" t="s">
        <v>71</v>
      </c>
      <c r="B98" s="1290">
        <v>0</v>
      </c>
      <c r="C98" s="324"/>
      <c r="D98" s="324"/>
      <c r="E98" s="324"/>
      <c r="F98" s="324"/>
    </row>
    <row r="99" spans="1:6">
      <c r="A99" s="1289" t="s">
        <v>72</v>
      </c>
      <c r="B99" s="1290">
        <v>84</v>
      </c>
      <c r="C99" s="324"/>
      <c r="D99" s="324"/>
      <c r="E99" s="324"/>
      <c r="F99" s="324"/>
    </row>
    <row r="100" spans="1:6">
      <c r="A100" s="1289" t="s">
        <v>73</v>
      </c>
      <c r="B100" s="1290">
        <v>438</v>
      </c>
      <c r="C100" s="324"/>
      <c r="D100" s="324"/>
      <c r="E100" s="324"/>
      <c r="F100" s="324"/>
    </row>
    <row r="101" spans="1:6">
      <c r="A101" s="1289" t="s">
        <v>74</v>
      </c>
      <c r="B101" s="1290">
        <v>54</v>
      </c>
      <c r="C101" s="324"/>
      <c r="D101" s="324"/>
      <c r="E101" s="324"/>
      <c r="F101" s="324"/>
    </row>
    <row r="102" spans="1:6">
      <c r="A102" s="1289" t="s">
        <v>75</v>
      </c>
      <c r="B102" s="1290">
        <v>49</v>
      </c>
      <c r="C102" s="324"/>
      <c r="D102" s="324"/>
      <c r="E102" s="324"/>
      <c r="F102" s="324"/>
    </row>
    <row r="103" spans="1:6">
      <c r="A103" s="1289" t="s">
        <v>76</v>
      </c>
      <c r="B103" s="1290">
        <v>114</v>
      </c>
      <c r="C103" s="324"/>
      <c r="D103" s="324"/>
      <c r="E103" s="324"/>
      <c r="F103" s="324"/>
    </row>
    <row r="104" spans="1:6">
      <c r="A104" s="1289" t="s">
        <v>77</v>
      </c>
      <c r="B104" s="1290">
        <v>3638</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41</v>
      </c>
      <c r="C123" s="1290">
        <v>37</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173</v>
      </c>
      <c r="C129" s="324"/>
      <c r="D129" s="324"/>
      <c r="E129" s="324"/>
      <c r="F129" s="324"/>
    </row>
    <row r="130" spans="1:6">
      <c r="A130" s="1289" t="s">
        <v>283</v>
      </c>
      <c r="B130" s="1290">
        <v>3</v>
      </c>
      <c r="C130" s="324"/>
      <c r="D130" s="324"/>
      <c r="E130" s="324"/>
      <c r="F130" s="324"/>
    </row>
    <row r="131" spans="1:6">
      <c r="A131" s="1289" t="s">
        <v>284</v>
      </c>
      <c r="B131" s="1290">
        <v>2</v>
      </c>
      <c r="C131" s="324"/>
      <c r="D131" s="324"/>
      <c r="E131" s="324"/>
      <c r="F131" s="324"/>
    </row>
    <row r="132" spans="1:6">
      <c r="A132" s="1284" t="s">
        <v>285</v>
      </c>
      <c r="B132" s="1285">
        <v>24</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46049.725234954109</v>
      </c>
      <c r="C3" s="43" t="s">
        <v>163</v>
      </c>
      <c r="D3" s="43"/>
      <c r="E3" s="154"/>
      <c r="F3" s="43"/>
      <c r="G3" s="43"/>
      <c r="H3" s="43"/>
      <c r="I3" s="43"/>
      <c r="J3" s="43"/>
      <c r="K3" s="96"/>
    </row>
    <row r="4" spans="1:11">
      <c r="A4" s="350" t="s">
        <v>164</v>
      </c>
      <c r="B4" s="49">
        <f>IF(ISERROR('SEAP template'!B78+'SEAP template'!C78),0,'SEAP template'!B78+'SEAP template'!C78)</f>
        <v>6119.7278470293359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0.19163044682041017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885.03800000000001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885.03800000000001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0.19163044682041017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169.60022739304216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22200.091649999998</v>
      </c>
      <c r="C5" s="17">
        <f>IF(ISERROR('Eigen informatie GS &amp; warmtenet'!B57),0,'Eigen informatie GS &amp; warmtenet'!B57)</f>
        <v>0</v>
      </c>
      <c r="D5" s="30">
        <f>(SUM(HH_hh_gas_kWh,HH_rest_gas_kWh)/1000)*0.902</f>
        <v>31898.891930400005</v>
      </c>
      <c r="E5" s="17">
        <f>B32*B41</f>
        <v>2058.845158530487</v>
      </c>
      <c r="F5" s="17">
        <f>B36*B45</f>
        <v>52161.907504563496</v>
      </c>
      <c r="G5" s="18"/>
      <c r="H5" s="17"/>
      <c r="I5" s="17"/>
      <c r="J5" s="17">
        <f>B35*B44+C35*C44</f>
        <v>250.99724680482788</v>
      </c>
      <c r="K5" s="17"/>
      <c r="L5" s="17"/>
      <c r="M5" s="17"/>
      <c r="N5" s="17">
        <f>B34*B43+C34*C43</f>
        <v>8830.6066396255846</v>
      </c>
      <c r="O5" s="17">
        <f>B52*B53*B54</f>
        <v>329.86333333333334</v>
      </c>
      <c r="P5" s="17">
        <f>B60*B61*B62/1000-B60*B61*B62/1000/B63</f>
        <v>1258.4000000000001</v>
      </c>
    </row>
    <row r="6" spans="1:16">
      <c r="A6" s="16" t="s">
        <v>607</v>
      </c>
      <c r="B6" s="754">
        <f>kWh_PV_kleiner_dan_10kW</f>
        <v>3943.2458685335264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26143.337518533524</v>
      </c>
      <c r="C8" s="21">
        <f>C5</f>
        <v>0</v>
      </c>
      <c r="D8" s="21">
        <f>D5</f>
        <v>31898.891930400005</v>
      </c>
      <c r="E8" s="21">
        <f>E5</f>
        <v>2058.845158530487</v>
      </c>
      <c r="F8" s="21">
        <f>F5</f>
        <v>52161.907504563496</v>
      </c>
      <c r="G8" s="21"/>
      <c r="H8" s="21"/>
      <c r="I8" s="21"/>
      <c r="J8" s="21">
        <f>J5</f>
        <v>250.99724680482788</v>
      </c>
      <c r="K8" s="21"/>
      <c r="L8" s="21">
        <f>L5</f>
        <v>0</v>
      </c>
      <c r="M8" s="21">
        <f>M5</f>
        <v>0</v>
      </c>
      <c r="N8" s="21">
        <f>N5</f>
        <v>8830.6066396255846</v>
      </c>
      <c r="O8" s="21">
        <f>O5</f>
        <v>329.86333333333334</v>
      </c>
      <c r="P8" s="21">
        <f>P5</f>
        <v>1258.4000000000001</v>
      </c>
    </row>
    <row r="9" spans="1:16">
      <c r="B9" s="19"/>
      <c r="C9" s="19"/>
      <c r="D9" s="254"/>
      <c r="E9" s="19"/>
      <c r="F9" s="19"/>
      <c r="G9" s="19"/>
      <c r="H9" s="19"/>
      <c r="I9" s="19"/>
      <c r="J9" s="19"/>
      <c r="K9" s="19"/>
      <c r="L9" s="19"/>
      <c r="M9" s="19"/>
      <c r="N9" s="19"/>
      <c r="O9" s="19"/>
      <c r="P9" s="19"/>
    </row>
    <row r="10" spans="1:16">
      <c r="A10" s="24" t="s">
        <v>207</v>
      </c>
      <c r="B10" s="25">
        <f ca="1">'EF ele_warmte'!B12</f>
        <v>0.19163044682041017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5009.8594500533727</v>
      </c>
      <c r="C12" s="23">
        <f ca="1">C10*C8</f>
        <v>0</v>
      </c>
      <c r="D12" s="23">
        <f>D8*D10</f>
        <v>6443.5761699408013</v>
      </c>
      <c r="E12" s="23">
        <f>E10*E8</f>
        <v>467.35785098642054</v>
      </c>
      <c r="F12" s="23">
        <f>F10*F8</f>
        <v>13927.229303718454</v>
      </c>
      <c r="G12" s="23"/>
      <c r="H12" s="23"/>
      <c r="I12" s="23"/>
      <c r="J12" s="23">
        <f>J10*J8</f>
        <v>88.853025368909059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5592</v>
      </c>
      <c r="C26" s="36"/>
      <c r="D26" s="225"/>
    </row>
    <row r="27" spans="1:5" s="15" customFormat="1">
      <c r="A27" s="227" t="s">
        <v>762</v>
      </c>
      <c r="B27" s="37">
        <f>SUM(HH_hh_gas_aantal,HH_rest_gas_aantal)</f>
        <v>2091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1986.45</v>
      </c>
      <c r="C31" s="34" t="s">
        <v>104</v>
      </c>
      <c r="D31" s="171"/>
    </row>
    <row r="32" spans="1:5">
      <c r="A32" s="168" t="s">
        <v>72</v>
      </c>
      <c r="B32" s="33">
        <f>IF((B21*($B$26-($B$27-0.05*$B$27)-$B$60))&lt;0,0,B21*($B$26-($B$27-0.05*$B$27)-$B$60))</f>
        <v>38.936799597399983</v>
      </c>
      <c r="C32" s="34" t="s">
        <v>104</v>
      </c>
      <c r="D32" s="171"/>
    </row>
    <row r="33" spans="1:6">
      <c r="A33" s="168" t="s">
        <v>73</v>
      </c>
      <c r="B33" s="33">
        <f>IF((B22*($B$26-($B$27-0.05*$B$27)-$B$60))&lt;0,0,B22*($B$26-($B$27-0.05*$B$27)-$B$60))</f>
        <v>809.52876155824174</v>
      </c>
      <c r="C33" s="34" t="s">
        <v>104</v>
      </c>
      <c r="D33" s="171"/>
    </row>
    <row r="34" spans="1:6">
      <c r="A34" s="168" t="s">
        <v>74</v>
      </c>
      <c r="B34" s="33">
        <f>IF((B24*($B$26-($B$27-0.05*$B$27)-$B$60))&lt;0,0,B24*($B$26-($B$27-0.05*$B$27)-$B$60))</f>
        <v>160.98649245531126</v>
      </c>
      <c r="C34" s="33">
        <f>B26*C24</f>
        <v>1144.6575275190944</v>
      </c>
      <c r="D34" s="230"/>
    </row>
    <row r="35" spans="1:6">
      <c r="A35" s="168" t="s">
        <v>76</v>
      </c>
      <c r="B35" s="33">
        <f>IF((B19*($B$26-($B$27-0.05*$B$27)-$B$60))&lt;0,0,B19*($B$26-($B$27-0.05*$B$27)-$B$60))</f>
        <v>29.470958713752083</v>
      </c>
      <c r="C35" s="33">
        <f>B35/2</f>
        <v>14.735479356876041</v>
      </c>
      <c r="D35" s="230"/>
    </row>
    <row r="36" spans="1:6">
      <c r="A36" s="168" t="s">
        <v>77</v>
      </c>
      <c r="B36" s="33">
        <f>IF((B18*($B$26-($B$27-0.05*$B$27)-$B$60))&lt;0,0,B18*($B$26-($B$27-0.05*$B$27)-$B$60))</f>
        <v>2500.6269876752954</v>
      </c>
      <c r="C36" s="34" t="s">
        <v>104</v>
      </c>
      <c r="D36" s="171"/>
    </row>
    <row r="37" spans="1:6">
      <c r="A37" s="168" t="s">
        <v>78</v>
      </c>
      <c r="B37" s="33">
        <f>B60</f>
        <v>66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211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14090.796874000001</v>
      </c>
      <c r="C5" s="17">
        <f>IF(ISERROR('Eigen informatie GS &amp; warmtenet'!B58),0,'Eigen informatie GS &amp; warmtenet'!B58)</f>
        <v>0</v>
      </c>
      <c r="D5" s="30">
        <f>SUM(D6:D12)</f>
        <v>7647.0731964000015</v>
      </c>
      <c r="E5" s="17">
        <f>SUM(E6:E12)</f>
        <v>217.1821019289462</v>
      </c>
      <c r="F5" s="17">
        <f>SUM(F6:F12)</f>
        <v>2236.6748426992217</v>
      </c>
      <c r="G5" s="18"/>
      <c r="H5" s="17"/>
      <c r="I5" s="17"/>
      <c r="J5" s="17">
        <f>SUM(J6:J12)</f>
        <v>9.5605873291052194E-3</v>
      </c>
      <c r="K5" s="17"/>
      <c r="L5" s="17"/>
      <c r="M5" s="17"/>
      <c r="N5" s="17">
        <f>SUM(N6:N12)</f>
        <v>405.30426012801888</v>
      </c>
      <c r="O5" s="17">
        <f>B38*B39*B40</f>
        <v>4.6900000000000004</v>
      </c>
      <c r="P5" s="17">
        <f>B46*B47*B48/1000-B46*B47*B48/1000/B49</f>
        <v>38.133333333333333</v>
      </c>
      <c r="R5" s="32"/>
    </row>
    <row r="6" spans="1:18">
      <c r="A6" s="32" t="s">
        <v>53</v>
      </c>
      <c r="B6" s="37">
        <f>B26</f>
        <v>3576.87655</v>
      </c>
      <c r="C6" s="33"/>
      <c r="D6" s="37">
        <f>IF(ISERROR(TER_kantoor_gas_kWh/1000),0,TER_kantoor_gas_kWh/1000)*0.902</f>
        <v>3844.0451467000003</v>
      </c>
      <c r="E6" s="33">
        <f>$C$26*'E Balans VL '!I12/100/3.6*1000000</f>
        <v>2.2418672564897026E-2</v>
      </c>
      <c r="F6" s="33">
        <f>$C$26*('E Balans VL '!L12+'E Balans VL '!N12)/100/3.6*1000000</f>
        <v>537.5045980018275</v>
      </c>
      <c r="G6" s="34"/>
      <c r="H6" s="33"/>
      <c r="I6" s="33"/>
      <c r="J6" s="33">
        <f>$C$26*('E Balans VL '!D12+'E Balans VL '!E12)/100/3.6*1000000</f>
        <v>0</v>
      </c>
      <c r="K6" s="33"/>
      <c r="L6" s="33"/>
      <c r="M6" s="33"/>
      <c r="N6" s="33">
        <f>$C$26*'E Balans VL '!Y12/100/3.6*1000000</f>
        <v>3.420752089925823</v>
      </c>
      <c r="O6" s="33"/>
      <c r="P6" s="33"/>
      <c r="R6" s="32"/>
    </row>
    <row r="7" spans="1:18">
      <c r="A7" s="32" t="s">
        <v>52</v>
      </c>
      <c r="B7" s="37">
        <f t="shared" ref="B7:B12" si="0">B27</f>
        <v>4487.5469999999996</v>
      </c>
      <c r="C7" s="33"/>
      <c r="D7" s="37">
        <f>IF(ISERROR(TER_horeca_gas_kWh/1000),0,TER_horeca_gas_kWh/1000)*0.902</f>
        <v>522.09293400000001</v>
      </c>
      <c r="E7" s="33">
        <f>$C$27*'E Balans VL '!I9/100/3.6*1000000</f>
        <v>64.26092555736281</v>
      </c>
      <c r="F7" s="33">
        <f>$C$27*('E Balans VL '!L9+'E Balans VL '!N9)/100/3.6*1000000</f>
        <v>568.27145520208057</v>
      </c>
      <c r="G7" s="34"/>
      <c r="H7" s="33"/>
      <c r="I7" s="33"/>
      <c r="J7" s="33">
        <f>$C$27*('E Balans VL '!D9+'E Balans VL '!E9)/100/3.6*1000000</f>
        <v>0</v>
      </c>
      <c r="K7" s="33"/>
      <c r="L7" s="33"/>
      <c r="M7" s="33"/>
      <c r="N7" s="33">
        <f>$C$27*'E Balans VL '!Y9/100/3.6*1000000</f>
        <v>1.290070820581791</v>
      </c>
      <c r="O7" s="33"/>
      <c r="P7" s="33"/>
      <c r="R7" s="32"/>
    </row>
    <row r="8" spans="1:18">
      <c r="A8" s="6" t="s">
        <v>51</v>
      </c>
      <c r="B8" s="37">
        <f t="shared" si="0"/>
        <v>4155.7446740000005</v>
      </c>
      <c r="C8" s="33"/>
      <c r="D8" s="37">
        <f>IF(ISERROR(TER_handel_gas_kWh/1000),0,TER_handel_gas_kWh/1000)*0.902</f>
        <v>1748.8965042999998</v>
      </c>
      <c r="E8" s="33">
        <f>$C$28*'E Balans VL '!I13/100/3.6*1000000</f>
        <v>150.72834686250599</v>
      </c>
      <c r="F8" s="33">
        <f>$C$28*('E Balans VL '!L13+'E Balans VL '!N13)/100/3.6*1000000</f>
        <v>800.43850380256117</v>
      </c>
      <c r="G8" s="34"/>
      <c r="H8" s="33"/>
      <c r="I8" s="33"/>
      <c r="J8" s="33">
        <f>$C$28*('E Balans VL '!D13+'E Balans VL '!E13)/100/3.6*1000000</f>
        <v>0</v>
      </c>
      <c r="K8" s="33"/>
      <c r="L8" s="33"/>
      <c r="M8" s="33"/>
      <c r="N8" s="33">
        <f>$C$28*'E Balans VL '!Y13/100/3.6*1000000</f>
        <v>5.7566625676945051</v>
      </c>
      <c r="O8" s="33"/>
      <c r="P8" s="33"/>
      <c r="R8" s="32"/>
    </row>
    <row r="9" spans="1:18">
      <c r="A9" s="32" t="s">
        <v>50</v>
      </c>
      <c r="B9" s="37">
        <f t="shared" si="0"/>
        <v>1326.626</v>
      </c>
      <c r="C9" s="33"/>
      <c r="D9" s="37">
        <f>IF(ISERROR(TER_gezond_gas_kWh/1000),0,TER_gezond_gas_kWh/1000)*0.902</f>
        <v>1026.6437719999999</v>
      </c>
      <c r="E9" s="33">
        <f>$C$29*'E Balans VL '!I10/100/3.6*1000000</f>
        <v>8.3059885665447669E-2</v>
      </c>
      <c r="F9" s="33">
        <f>$C$29*('E Balans VL '!L10+'E Balans VL '!N10)/100/3.6*1000000</f>
        <v>197.07433149149776</v>
      </c>
      <c r="G9" s="34"/>
      <c r="H9" s="33"/>
      <c r="I9" s="33"/>
      <c r="J9" s="33">
        <f>$C$29*('E Balans VL '!D10+'E Balans VL '!E10)/100/3.6*1000000</f>
        <v>0</v>
      </c>
      <c r="K9" s="33"/>
      <c r="L9" s="33"/>
      <c r="M9" s="33"/>
      <c r="N9" s="33">
        <f>$C$29*'E Balans VL '!Y10/100/3.6*1000000</f>
        <v>20.520378976466816</v>
      </c>
      <c r="O9" s="33"/>
      <c r="P9" s="33"/>
      <c r="R9" s="32"/>
    </row>
    <row r="10" spans="1:18">
      <c r="A10" s="32" t="s">
        <v>49</v>
      </c>
      <c r="B10" s="37">
        <f t="shared" si="0"/>
        <v>440.45665000000002</v>
      </c>
      <c r="C10" s="33"/>
      <c r="D10" s="37">
        <f>IF(ISERROR(TER_ander_gas_kWh/1000),0,TER_ander_gas_kWh/1000)*0.902</f>
        <v>380.45250540000006</v>
      </c>
      <c r="E10" s="33">
        <f>$C$30*'E Balans VL '!I14/100/3.6*1000000</f>
        <v>0.52500858753879687</v>
      </c>
      <c r="F10" s="33">
        <f>$C$30*('E Balans VL '!L14+'E Balans VL '!N14)/100/3.6*1000000</f>
        <v>115.2430408046928</v>
      </c>
      <c r="G10" s="34"/>
      <c r="H10" s="33"/>
      <c r="I10" s="33"/>
      <c r="J10" s="33">
        <f>$C$30*('E Balans VL '!D14+'E Balans VL '!E14)/100/3.6*1000000</f>
        <v>9.5605873291052194E-3</v>
      </c>
      <c r="K10" s="33"/>
      <c r="L10" s="33"/>
      <c r="M10" s="33"/>
      <c r="N10" s="33">
        <f>$C$30*'E Balans VL '!Y14/100/3.6*1000000</f>
        <v>374.02500935748321</v>
      </c>
      <c r="O10" s="33"/>
      <c r="P10" s="33"/>
      <c r="R10" s="32"/>
    </row>
    <row r="11" spans="1:18">
      <c r="A11" s="32" t="s">
        <v>54</v>
      </c>
      <c r="B11" s="37">
        <f t="shared" si="0"/>
        <v>103.54600000000001</v>
      </c>
      <c r="C11" s="33"/>
      <c r="D11" s="37">
        <f>IF(ISERROR(TER_onderwijs_gas_kWh/1000),0,TER_onderwijs_gas_kWh/1000)*0.902</f>
        <v>124.942334</v>
      </c>
      <c r="E11" s="33">
        <f>$C$31*'E Balans VL '!I11/100/3.6*1000000</f>
        <v>1.5623423633082556</v>
      </c>
      <c r="F11" s="33">
        <f>$C$31*('E Balans VL '!L11+'E Balans VL '!N11)/100/3.6*1000000</f>
        <v>18.142913396561795</v>
      </c>
      <c r="G11" s="34"/>
      <c r="H11" s="33"/>
      <c r="I11" s="33"/>
      <c r="J11" s="33">
        <f>$C$31*('E Balans VL '!D11+'E Balans VL '!E11)/100/3.6*1000000</f>
        <v>0</v>
      </c>
      <c r="K11" s="33"/>
      <c r="L11" s="33"/>
      <c r="M11" s="33"/>
      <c r="N11" s="33">
        <f>$C$31*'E Balans VL '!Y11/100/3.6*1000000</f>
        <v>0.29138631586669544</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814.5</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-2327.1428571428573</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14905.296874000001</v>
      </c>
      <c r="C16" s="21">
        <f t="shared" ca="1" si="1"/>
        <v>0</v>
      </c>
      <c r="D16" s="21">
        <f t="shared" ca="1" si="1"/>
        <v>7647.0731964000015</v>
      </c>
      <c r="E16" s="21">
        <f t="shared" si="1"/>
        <v>217.1821019289462</v>
      </c>
      <c r="F16" s="21">
        <f t="shared" ca="1" si="1"/>
        <v>2236.6748426992217</v>
      </c>
      <c r="G16" s="21">
        <f t="shared" si="1"/>
        <v>0</v>
      </c>
      <c r="H16" s="21">
        <f t="shared" si="1"/>
        <v>0</v>
      </c>
      <c r="I16" s="21">
        <f t="shared" si="1"/>
        <v>0</v>
      </c>
      <c r="J16" s="21">
        <f t="shared" si="1"/>
        <v>9.5605873291052194E-3</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0.19163044682041017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2856.308699955483</v>
      </c>
      <c r="C20" s="23">
        <f t="shared" ref="C20:P20" ca="1" si="2">C16*C18</f>
        <v>0</v>
      </c>
      <c r="D20" s="23">
        <f t="shared" ca="1" si="2"/>
        <v>1544.7087856728003</v>
      </c>
      <c r="E20" s="23">
        <f t="shared" si="2"/>
        <v>49.300337137870791</v>
      </c>
      <c r="F20" s="23">
        <f t="shared" ca="1" si="2"/>
        <v>597.19218300069224</v>
      </c>
      <c r="G20" s="23">
        <f t="shared" si="2"/>
        <v>0</v>
      </c>
      <c r="H20" s="23">
        <f t="shared" si="2"/>
        <v>0</v>
      </c>
      <c r="I20" s="23">
        <f t="shared" si="2"/>
        <v>0</v>
      </c>
      <c r="J20" s="23">
        <f t="shared" si="2"/>
        <v>3.3844479145032475E-3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3576.87655</v>
      </c>
      <c r="C26" s="39">
        <f>IF(ISERROR(B26*3.6/1000000/'E Balans VL '!Z12*100),0,B26*3.6/1000000/'E Balans VL '!Z12*100)</f>
        <v>7.560950403685468E-2</v>
      </c>
      <c r="D26" s="233" t="s">
        <v>726</v>
      </c>
      <c r="F26" s="6"/>
    </row>
    <row r="27" spans="1:18">
      <c r="A27" s="228" t="s">
        <v>52</v>
      </c>
      <c r="B27" s="33">
        <f>IF(ISERROR(TER_horeca_ele_kWh/1000),0,TER_horeca_ele_kWh/1000)</f>
        <v>4487.5469999999996</v>
      </c>
      <c r="C27" s="39">
        <f>IF(ISERROR(B27*3.6/1000000/'E Balans VL '!Z9*100),0,B27*3.6/1000000/'E Balans VL '!Z9*100)</f>
        <v>0.35375165741584402</v>
      </c>
      <c r="D27" s="233" t="s">
        <v>726</v>
      </c>
      <c r="F27" s="6"/>
    </row>
    <row r="28" spans="1:18">
      <c r="A28" s="168" t="s">
        <v>51</v>
      </c>
      <c r="B28" s="33">
        <f>IF(ISERROR(TER_handel_ele_kWh/1000),0,TER_handel_ele_kWh/1000)</f>
        <v>4155.7446740000005</v>
      </c>
      <c r="C28" s="39">
        <f>IF(ISERROR(B28*3.6/1000000/'E Balans VL '!Z13*100),0,B28*3.6/1000000/'E Balans VL '!Z13*100)</f>
        <v>0.12061650152950712</v>
      </c>
      <c r="D28" s="233" t="s">
        <v>726</v>
      </c>
      <c r="F28" s="6"/>
    </row>
    <row r="29" spans="1:18">
      <c r="A29" s="228" t="s">
        <v>50</v>
      </c>
      <c r="B29" s="33">
        <f>IF(ISERROR(TER_gezond_ele_kWh/1000),0,TER_gezond_ele_kWh/1000)</f>
        <v>1326.626</v>
      </c>
      <c r="C29" s="39">
        <f>IF(ISERROR(B29*3.6/1000000/'E Balans VL '!Z10*100),0,B29*3.6/1000000/'E Balans VL '!Z10*100)</f>
        <v>0.13971550157392745</v>
      </c>
      <c r="D29" s="233" t="s">
        <v>726</v>
      </c>
      <c r="F29" s="6"/>
    </row>
    <row r="30" spans="1:18">
      <c r="A30" s="228" t="s">
        <v>49</v>
      </c>
      <c r="B30" s="33">
        <f>IF(ISERROR(TER_ander_ele_kWh/1000),0,TER_ander_ele_kWh/1000)</f>
        <v>440.45665000000002</v>
      </c>
      <c r="C30" s="39">
        <f>IF(ISERROR(B30*3.6/1000000/'E Balans VL '!Z14*100),0,B30*3.6/1000000/'E Balans VL '!Z14*100)</f>
        <v>3.2488178170708502E-2</v>
      </c>
      <c r="D30" s="233" t="s">
        <v>726</v>
      </c>
      <c r="F30" s="6"/>
    </row>
    <row r="31" spans="1:18">
      <c r="A31" s="228" t="s">
        <v>54</v>
      </c>
      <c r="B31" s="33">
        <f>IF(ISERROR(TER_onderwijs_ele_kWh/1000),0,TER_onderwijs_ele_kWh/1000)</f>
        <v>103.54600000000001</v>
      </c>
      <c r="C31" s="39">
        <f>IF(ISERROR(B31*3.6/1000000/'E Balans VL '!Z11*100),0,B31*3.6/1000000/'E Balans VL '!Z11*100)</f>
        <v>2.5715322180288887E-2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2908.7079590000003</v>
      </c>
      <c r="C5" s="17">
        <f>IF(ISERROR('Eigen informatie GS &amp; warmtenet'!B59),0,'Eigen informatie GS &amp; warmtenet'!B59)</f>
        <v>0</v>
      </c>
      <c r="D5" s="30">
        <f>SUM(D6:D15)</f>
        <v>708.83385870000006</v>
      </c>
      <c r="E5" s="17">
        <f>SUM(E6:E15)</f>
        <v>432.66458481665677</v>
      </c>
      <c r="F5" s="17">
        <f>SUM(F6:F15)</f>
        <v>1438.6564603615029</v>
      </c>
      <c r="G5" s="18"/>
      <c r="H5" s="17"/>
      <c r="I5" s="17"/>
      <c r="J5" s="17">
        <f>SUM(J6:J15)</f>
        <v>1.3749183753654062</v>
      </c>
      <c r="K5" s="17"/>
      <c r="L5" s="17"/>
      <c r="M5" s="17"/>
      <c r="N5" s="17">
        <f>SUM(N6:N15)</f>
        <v>362.34077519422829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67.438000000000002</v>
      </c>
      <c r="C8" s="33"/>
      <c r="D8" s="37">
        <f>IF( ISERROR(IND_metaal_Gas_kWH/1000),0,IND_metaal_Gas_kWH/1000)*0.902</f>
        <v>0</v>
      </c>
      <c r="E8" s="33">
        <f>C30*'E Balans VL '!I18/100/3.6*1000000</f>
        <v>0.6200272777601904</v>
      </c>
      <c r="F8" s="33">
        <f>C30*'E Balans VL '!L18/100/3.6*1000000+C30*'E Balans VL '!N18/100/3.6*1000000</f>
        <v>6.3234391617066859</v>
      </c>
      <c r="G8" s="34"/>
      <c r="H8" s="33"/>
      <c r="I8" s="33"/>
      <c r="J8" s="40">
        <f>C30*'E Balans VL '!D18/100/3.6*1000000+C30*'E Balans VL '!E18/100/3.6*1000000</f>
        <v>0</v>
      </c>
      <c r="K8" s="33"/>
      <c r="L8" s="33"/>
      <c r="M8" s="33"/>
      <c r="N8" s="33">
        <f>C30*'E Balans VL '!Y18/100/3.6*1000000</f>
        <v>0.96211451598810727</v>
      </c>
      <c r="O8" s="33"/>
      <c r="P8" s="33"/>
      <c r="R8" s="32"/>
    </row>
    <row r="9" spans="1:18">
      <c r="A9" s="6" t="s">
        <v>32</v>
      </c>
      <c r="B9" s="37">
        <f t="shared" si="0"/>
        <v>1391.9014999999999</v>
      </c>
      <c r="C9" s="33"/>
      <c r="D9" s="37">
        <f>IF( ISERROR(IND_andere_gas_kWh/1000),0,IND_andere_gas_kWh/1000)*0.902</f>
        <v>501.63683680000008</v>
      </c>
      <c r="E9" s="33">
        <f>C31*'E Balans VL '!I19/100/3.6*1000000</f>
        <v>406.87990557611744</v>
      </c>
      <c r="F9" s="33">
        <f>C31*'E Balans VL '!L19/100/3.6*1000000+C31*'E Balans VL '!N19/100/3.6*1000000</f>
        <v>1118.4982125127008</v>
      </c>
      <c r="G9" s="34"/>
      <c r="H9" s="33"/>
      <c r="I9" s="33"/>
      <c r="J9" s="40">
        <f>C31*'E Balans VL '!D19/100/3.6*1000000+C31*'E Balans VL '!E19/100/3.6*1000000</f>
        <v>0</v>
      </c>
      <c r="K9" s="33"/>
      <c r="L9" s="33"/>
      <c r="M9" s="33"/>
      <c r="N9" s="33">
        <f>C31*'E Balans VL '!Y19/100/3.6*1000000</f>
        <v>109.17886322271238</v>
      </c>
      <c r="O9" s="33"/>
      <c r="P9" s="33"/>
      <c r="R9" s="32"/>
    </row>
    <row r="10" spans="1:18">
      <c r="A10" s="6" t="s">
        <v>40</v>
      </c>
      <c r="B10" s="37">
        <f t="shared" si="0"/>
        <v>541.94425899999999</v>
      </c>
      <c r="C10" s="33"/>
      <c r="D10" s="37">
        <f>IF( ISERROR(IND_voed_gas_kWh/1000),0,IND_voed_gas_kWh/1000)*0.902</f>
        <v>76.232935900000001</v>
      </c>
      <c r="E10" s="33">
        <f>C32*'E Balans VL '!I20/100/3.6*1000000</f>
        <v>1.1464914828597592</v>
      </c>
      <c r="F10" s="33">
        <f>C32*'E Balans VL '!L20/100/3.6*1000000+C32*'E Balans VL '!N20/100/3.6*1000000</f>
        <v>34.457369567047095</v>
      </c>
      <c r="G10" s="34"/>
      <c r="H10" s="33"/>
      <c r="I10" s="33"/>
      <c r="J10" s="40">
        <f>C32*'E Balans VL '!D20/100/3.6*1000000+C32*'E Balans VL '!E20/100/3.6*1000000</f>
        <v>0</v>
      </c>
      <c r="K10" s="33"/>
      <c r="L10" s="33"/>
      <c r="M10" s="33"/>
      <c r="N10" s="33">
        <f>C32*'E Balans VL '!Y20/100/3.6*1000000</f>
        <v>37.399501907624845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797.91800000000001</v>
      </c>
      <c r="C12" s="33"/>
      <c r="D12" s="37">
        <f>IF( ISERROR(IND_min_gas_kWh/1000),0,IND_min_gas_kWh/1000)*0.902</f>
        <v>0</v>
      </c>
      <c r="E12" s="33">
        <f>C34*'E Balans VL '!I22/100/3.6*1000000</f>
        <v>23.128357261671891</v>
      </c>
      <c r="F12" s="33">
        <f>C34*'E Balans VL '!L22/100/3.6*1000000+C34*'E Balans VL '!N22/100/3.6*1000000</f>
        <v>274.33322507435543</v>
      </c>
      <c r="G12" s="34"/>
      <c r="H12" s="33"/>
      <c r="I12" s="33"/>
      <c r="J12" s="40">
        <f>C34*'E Balans VL '!D22/100/3.6*1000000+C34*'E Balans VL '!E22/100/3.6*1000000</f>
        <v>1.3112197230026872</v>
      </c>
      <c r="K12" s="33"/>
      <c r="L12" s="33"/>
      <c r="M12" s="33"/>
      <c r="N12" s="33">
        <f>C34*'E Balans VL '!Y22/100/3.6*1000000</f>
        <v>174.6773626189152</v>
      </c>
      <c r="O12" s="33"/>
      <c r="P12" s="33"/>
      <c r="R12" s="32"/>
    </row>
    <row r="13" spans="1:18">
      <c r="A13" s="6" t="s">
        <v>38</v>
      </c>
      <c r="B13" s="37">
        <f t="shared" si="0"/>
        <v>95.854199999999992</v>
      </c>
      <c r="C13" s="33"/>
      <c r="D13" s="37">
        <f>IF( ISERROR(IND_papier_gas_kWh/1000),0,IND_papier_gas_kWh/1000)*0.902</f>
        <v>0</v>
      </c>
      <c r="E13" s="33">
        <f>C35*'E Balans VL '!I23/100/3.6*1000000</f>
        <v>0.13599518811463757</v>
      </c>
      <c r="F13" s="33">
        <f>C35*'E Balans VL '!L23/100/3.6*1000000+C35*'E Balans VL '!N23/100/3.6*1000000</f>
        <v>2.3401614570308351</v>
      </c>
      <c r="G13" s="34"/>
      <c r="H13" s="33"/>
      <c r="I13" s="33"/>
      <c r="J13" s="40">
        <f>C35*'E Balans VL '!D23/100/3.6*1000000+C35*'E Balans VL '!E23/100/3.6*1000000</f>
        <v>1.4824751964069287E-2</v>
      </c>
      <c r="K13" s="33"/>
      <c r="L13" s="33"/>
      <c r="M13" s="33"/>
      <c r="N13" s="33">
        <f>C35*'E Balans VL '!Y23/100/3.6*1000000</f>
        <v>39.164636327307868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13.651999999999999</v>
      </c>
      <c r="C15" s="33"/>
      <c r="D15" s="37">
        <f>IF( ISERROR(IND_rest_gas_kWh/1000),0,IND_rest_gas_kWh/1000)*0.902</f>
        <v>130.96408600000001</v>
      </c>
      <c r="E15" s="33">
        <f>C37*'E Balans VL '!I15/100/3.6*1000000</f>
        <v>0.75380803013283304</v>
      </c>
      <c r="F15" s="33">
        <f>C37*'E Balans VL '!L15/100/3.6*1000000+C37*'E Balans VL '!N15/100/3.6*1000000</f>
        <v>2.7040525886620683</v>
      </c>
      <c r="G15" s="34"/>
      <c r="H15" s="33"/>
      <c r="I15" s="33"/>
      <c r="J15" s="40">
        <f>C37*'E Balans VL '!D15/100/3.6*1000000+C37*'E Balans VL '!E15/100/3.6*1000000</f>
        <v>4.8873900398649736E-2</v>
      </c>
      <c r="K15" s="33"/>
      <c r="L15" s="33"/>
      <c r="M15" s="33"/>
      <c r="N15" s="33">
        <f>C37*'E Balans VL '!Y15/100/3.6*1000000</f>
        <v>0.95829660167990638</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2908.7079590000003</v>
      </c>
      <c r="C18" s="21">
        <f>C5+C16</f>
        <v>0</v>
      </c>
      <c r="D18" s="21">
        <f>MAX((D5+D16),0)</f>
        <v>708.83385870000006</v>
      </c>
      <c r="E18" s="21">
        <f>MAX((E5+E16),0)</f>
        <v>432.66458481665677</v>
      </c>
      <c r="F18" s="21">
        <f>MAX((F5+F16),0)</f>
        <v>1438.6564603615029</v>
      </c>
      <c r="G18" s="21"/>
      <c r="H18" s="21"/>
      <c r="I18" s="21"/>
      <c r="J18" s="21">
        <f>MAX((J5+J16),0)</f>
        <v>1.3749183753654062</v>
      </c>
      <c r="K18" s="21"/>
      <c r="L18" s="21">
        <f>MAX((L5+L16),0)</f>
        <v>0</v>
      </c>
      <c r="M18" s="21"/>
      <c r="N18" s="21">
        <f>MAX((N5+N16),0)</f>
        <v>362.34077519422829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0.19163044682041017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557.3970058532534</v>
      </c>
      <c r="C22" s="23">
        <f ca="1">C18*C20</f>
        <v>0</v>
      </c>
      <c r="D22" s="23">
        <f>D18*D20</f>
        <v>143.18443945740003</v>
      </c>
      <c r="E22" s="23">
        <f>E18*E20</f>
        <v>98.214860753381089</v>
      </c>
      <c r="F22" s="23">
        <f>F18*F20</f>
        <v>384.12127491652132</v>
      </c>
      <c r="G22" s="23"/>
      <c r="H22" s="23"/>
      <c r="I22" s="23"/>
      <c r="J22" s="23">
        <f>J18*J20</f>
        <v>0.48672110487935377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67.438000000000002</v>
      </c>
      <c r="C30" s="39">
        <f>IF(ISERROR(B30*3.6/1000000/'E Balans VL '!Z18*100),0,B30*3.6/1000000/'E Balans VL '!Z18*100)</f>
        <v>3.8218843823419578E-3</v>
      </c>
      <c r="D30" s="233" t="s">
        <v>726</v>
      </c>
    </row>
    <row r="31" spans="1:18">
      <c r="A31" s="6" t="s">
        <v>32</v>
      </c>
      <c r="B31" s="37">
        <f>IF( ISERROR(IND_ander_ele_kWh/1000),0,IND_ander_ele_kWh/1000)</f>
        <v>1391.9014999999999</v>
      </c>
      <c r="C31" s="39">
        <f>IF(ISERROR(B31*3.6/1000000/'E Balans VL '!Z19*100),0,B31*3.6/1000000/'E Balans VL '!Z19*100)</f>
        <v>6.3130856263027724E-2</v>
      </c>
      <c r="D31" s="233" t="s">
        <v>726</v>
      </c>
    </row>
    <row r="32" spans="1:18">
      <c r="A32" s="168" t="s">
        <v>40</v>
      </c>
      <c r="B32" s="37">
        <f>IF( ISERROR(IND_voed_ele_kWh/1000),0,IND_voed_ele_kWh/1000)</f>
        <v>541.94425899999999</v>
      </c>
      <c r="C32" s="39">
        <f>IF(ISERROR(B32*3.6/1000000/'E Balans VL '!Z20*100),0,B32*3.6/1000000/'E Balans VL '!Z20*100)</f>
        <v>1.6764796150076037E-2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797.91800000000001</v>
      </c>
      <c r="C34" s="39">
        <f>IF(ISERROR(B34*3.6/1000000/'E Balans VL '!Z22*100),0,B34*3.6/1000000/'E Balans VL '!Z22*100)</f>
        <v>0.14352055344511078</v>
      </c>
      <c r="D34" s="233" t="s">
        <v>726</v>
      </c>
    </row>
    <row r="35" spans="1:5">
      <c r="A35" s="168" t="s">
        <v>38</v>
      </c>
      <c r="B35" s="37">
        <f>IF( ISERROR(IND_papier_ele_kWh/1000),0,IND_papier_ele_kWh/1000)</f>
        <v>95.854199999999992</v>
      </c>
      <c r="C35" s="39">
        <f>IF(ISERROR(B35*3.6/1000000/'E Balans VL '!Z22*100),0,B35*3.6/1000000/'E Balans VL '!Z22*100)</f>
        <v>1.7241179963402676E-2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13.651999999999999</v>
      </c>
      <c r="C37" s="39">
        <f>IF(ISERROR(B37*3.6/1000000/'E Balans VL '!Z15*100),0,B37*3.6/1000000/'E Balans VL '!Z15*100)</f>
        <v>1.0820886625055111E-4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739.84544999999991</v>
      </c>
      <c r="C5" s="17">
        <f>'Eigen informatie GS &amp; warmtenet'!B60</f>
        <v>0</v>
      </c>
      <c r="D5" s="30">
        <f>IF(ISERROR(SUM(LB_lb_gas_kWh,LB_rest_gas_kWh)/1000),0,SUM(LB_lb_gas_kWh,LB_rest_gas_kWh)/1000)*0.902</f>
        <v>67.289199999999994</v>
      </c>
      <c r="E5" s="17">
        <f>B17*'E Balans VL '!I25/3.6*1000000/100</f>
        <v>21.7463175243279</v>
      </c>
      <c r="F5" s="17">
        <f>B17*('E Balans VL '!L25/3.6*1000000+'E Balans VL '!N25/3.6*1000000)/100</f>
        <v>3082.1561655502946</v>
      </c>
      <c r="G5" s="18"/>
      <c r="H5" s="17"/>
      <c r="I5" s="17"/>
      <c r="J5" s="17">
        <f>('E Balans VL '!D25+'E Balans VL '!E25)/3.6*1000000*landbouw!B17/100</f>
        <v>107.18771734208896</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739.84544999999991</v>
      </c>
      <c r="C8" s="21">
        <f>C5+C6</f>
        <v>0</v>
      </c>
      <c r="D8" s="21">
        <f>MAX((D5+D6),0)</f>
        <v>67.289199999999994</v>
      </c>
      <c r="E8" s="21">
        <f>MAX((E5+E6),0)</f>
        <v>21.7463175243279</v>
      </c>
      <c r="F8" s="21">
        <f>MAX((F5+F6),0)</f>
        <v>3082.1561655502946</v>
      </c>
      <c r="G8" s="21"/>
      <c r="H8" s="21"/>
      <c r="I8" s="21"/>
      <c r="J8" s="21">
        <f>MAX((J5+J6),0)</f>
        <v>107.18771734208896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0.19163044682041017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141.77691416154741</v>
      </c>
      <c r="C12" s="23">
        <f ca="1">C8*C10</f>
        <v>0</v>
      </c>
      <c r="D12" s="23">
        <f>D8*D10</f>
        <v>13.5924184</v>
      </c>
      <c r="E12" s="23">
        <f>E8*E10</f>
        <v>4.936414078022433</v>
      </c>
      <c r="F12" s="23">
        <f>F8*F10</f>
        <v>822.93569620192875</v>
      </c>
      <c r="G12" s="23"/>
      <c r="H12" s="23"/>
      <c r="I12" s="23"/>
      <c r="J12" s="23">
        <f>J8*J10</f>
        <v>37.944451939099487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0.10498639054931018</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153.32601555366296</v>
      </c>
      <c r="C26" s="243">
        <f>B26*'GWP N2O_CH4'!B5</f>
        <v>3219.8463266269218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33.409657876104887</v>
      </c>
      <c r="C27" s="243">
        <f>B27*'GWP N2O_CH4'!B5</f>
        <v>701.60281539820267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2.4913100089928224</v>
      </c>
      <c r="C28" s="243">
        <f>B28*'GWP N2O_CH4'!B4</f>
        <v>772.30610278777499</v>
      </c>
      <c r="D28" s="50"/>
    </row>
    <row r="29" spans="1:4">
      <c r="A29" s="41" t="s">
        <v>265</v>
      </c>
      <c r="B29" s="243">
        <f>B34*'ha_N2O bodem landbouw'!B4</f>
        <v>15.12076290440014</v>
      </c>
      <c r="C29" s="243">
        <f>B29*'GWP N2O_CH4'!B4</f>
        <v>4687.4365003640432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3.4505059863169899E-3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1.3965253905378187E-4</v>
      </c>
      <c r="C5" s="429" t="s">
        <v>204</v>
      </c>
      <c r="D5" s="414">
        <f>SUM(D6:D11)</f>
        <v>2.5695520462213782E-4</v>
      </c>
      <c r="E5" s="414">
        <f>SUM(E6:E11)</f>
        <v>4.4344278645856667E-4</v>
      </c>
      <c r="F5" s="427" t="s">
        <v>204</v>
      </c>
      <c r="G5" s="414">
        <f>SUM(G6:G11)</f>
        <v>0.19608389248125846</v>
      </c>
      <c r="H5" s="414">
        <f>SUM(H6:H11)</f>
        <v>4.112966575051475E-2</v>
      </c>
      <c r="I5" s="429" t="s">
        <v>204</v>
      </c>
      <c r="J5" s="429" t="s">
        <v>204</v>
      </c>
      <c r="K5" s="429" t="s">
        <v>204</v>
      </c>
      <c r="L5" s="429" t="s">
        <v>204</v>
      </c>
      <c r="M5" s="414">
        <f>SUM(M6:M11)</f>
        <v>1.2667155234083575E-2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8.3715807122504974E-5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1.4074099313949773E-4</v>
      </c>
      <c r="E6" s="857">
        <f>vkm_GW_PW*SUMIFS(TableVerdeelsleutelVkm[LPG],TableVerdeelsleutelVkm[Voertuigtype],"Lichte voertuigen")*SUMIFS(TableECFTransport[EnergieConsumptieFactor (PJ per km)],TableECFTransport[Index],CONCATENATE($A6,"_LPG_LPG"))</f>
        <v>2.4763498312883105E-4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7.3472582504606268E-2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2.2738621925135042E-2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4.9621117698782627E-3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1.6352803188062231E-6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5.2525888372952211E-2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8.5699068677049357E-7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3.0688535954288844E-3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5.3911759677526471E-5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1.1621421148264008E-4</v>
      </c>
      <c r="E8" s="417">
        <f>vkm_NGW_PW*SUMIFS(TableVerdeelsleutelVkm[LPG],TableVerdeelsleutelVkm[Voertuigtype],"Lichte voertuigen")*SUMIFS(TableECFTransport[EnergieConsumptieFactor (PJ per km)],TableECFTransport[Index],CONCATENATE($A8,"_LPG_LPG"))</f>
        <v>1.9580780332973562E-4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5.4025194555078052E-2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1.8389940331949899E-2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3.6978628260036658E-3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3.8969193494421163E-7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1.6060227048621919E-2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2.4650274304217725E-7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9.3832704277276111E-4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38.79237195938385</v>
      </c>
      <c r="C14" s="21"/>
      <c r="D14" s="21">
        <f t="shared" ref="D14:M14" si="0">((D5)*10^9/3600)+D12</f>
        <v>71.376445728371621</v>
      </c>
      <c r="E14" s="21">
        <f t="shared" si="0"/>
        <v>123.1785517940463</v>
      </c>
      <c r="F14" s="21"/>
      <c r="G14" s="21">
        <f t="shared" si="0"/>
        <v>54467.747911460683</v>
      </c>
      <c r="H14" s="21">
        <f t="shared" si="0"/>
        <v>11424.907152920765</v>
      </c>
      <c r="I14" s="21"/>
      <c r="J14" s="21"/>
      <c r="K14" s="21"/>
      <c r="L14" s="21"/>
      <c r="M14" s="21">
        <f t="shared" si="0"/>
        <v>3518.6542316898817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0.19163044682041017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7.433799571800277</v>
      </c>
      <c r="C18" s="23"/>
      <c r="D18" s="23">
        <f t="shared" ref="D18:M18" si="1">D14*D16</f>
        <v>14.418042037131068</v>
      </c>
      <c r="E18" s="23">
        <f t="shared" si="1"/>
        <v>27.96153125724851</v>
      </c>
      <c r="F18" s="23"/>
      <c r="G18" s="23">
        <f t="shared" si="1"/>
        <v>14542.888692360004</v>
      </c>
      <c r="H18" s="23">
        <f t="shared" si="1"/>
        <v>2844.8018810772705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1.3406221966033845E-4</v>
      </c>
      <c r="C50" s="313">
        <f t="shared" ref="C50:P50" si="2">SUM(C51:C52)</f>
        <v>0</v>
      </c>
      <c r="D50" s="313">
        <f t="shared" si="2"/>
        <v>0</v>
      </c>
      <c r="E50" s="313">
        <f t="shared" si="2"/>
        <v>0</v>
      </c>
      <c r="F50" s="313">
        <f t="shared" si="2"/>
        <v>0</v>
      </c>
      <c r="G50" s="313">
        <f t="shared" si="2"/>
        <v>1.2593814849417363E-2</v>
      </c>
      <c r="H50" s="313">
        <f t="shared" si="2"/>
        <v>0</v>
      </c>
      <c r="I50" s="313">
        <f t="shared" si="2"/>
        <v>0</v>
      </c>
      <c r="J50" s="313">
        <f t="shared" si="2"/>
        <v>0</v>
      </c>
      <c r="K50" s="313">
        <f t="shared" si="2"/>
        <v>0</v>
      </c>
      <c r="L50" s="313">
        <f t="shared" si="2"/>
        <v>0</v>
      </c>
      <c r="M50" s="313">
        <f t="shared" si="2"/>
        <v>7.2523998404703247E-4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1.3406221966033845E-4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1.2593814849417363E-2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7.2523998404703247E-4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37.239505461205127</v>
      </c>
      <c r="C54" s="21">
        <f t="shared" ref="C54:P54" si="3">(C50)*10^9/3600</f>
        <v>0</v>
      </c>
      <c r="D54" s="21">
        <f t="shared" si="3"/>
        <v>0</v>
      </c>
      <c r="E54" s="21">
        <f t="shared" si="3"/>
        <v>0</v>
      </c>
      <c r="F54" s="21">
        <f t="shared" si="3"/>
        <v>0</v>
      </c>
      <c r="G54" s="21">
        <f t="shared" si="3"/>
        <v>3498.2819026159341</v>
      </c>
      <c r="H54" s="21">
        <f t="shared" si="3"/>
        <v>0</v>
      </c>
      <c r="I54" s="21">
        <f t="shared" si="3"/>
        <v>0</v>
      </c>
      <c r="J54" s="21">
        <f t="shared" si="3"/>
        <v>0</v>
      </c>
      <c r="K54" s="21">
        <f t="shared" si="3"/>
        <v>0</v>
      </c>
      <c r="L54" s="21">
        <f t="shared" si="3"/>
        <v>0</v>
      </c>
      <c r="M54" s="21">
        <f t="shared" si="3"/>
        <v>201.45555112417568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0.19163044682041017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7.1362230709018428</v>
      </c>
      <c r="C58" s="23">
        <f t="shared" ref="C58:P58" ca="1" si="4">C54*C56</f>
        <v>0</v>
      </c>
      <c r="D58" s="23">
        <f t="shared" si="4"/>
        <v>0</v>
      </c>
      <c r="E58" s="23">
        <f t="shared" si="4"/>
        <v>0</v>
      </c>
      <c r="F58" s="23">
        <f t="shared" si="4"/>
        <v>0</v>
      </c>
      <c r="G58" s="23">
        <f t="shared" si="4"/>
        <v>934.04126799845449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5305.2278470293359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814.5</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6119.7278470293359</v>
      </c>
      <c r="C10" s="549">
        <f t="shared" ref="C10:L10" si="0">SUM(C8:C9)</f>
        <v>0</v>
      </c>
      <c r="D10" s="549">
        <f t="shared" si="0"/>
        <v>0</v>
      </c>
      <c r="E10" s="549">
        <f t="shared" si="0"/>
        <v>0</v>
      </c>
      <c r="F10" s="549">
        <f t="shared" si="0"/>
        <v>0</v>
      </c>
      <c r="G10" s="549">
        <f t="shared" si="0"/>
        <v>0</v>
      </c>
      <c r="H10" s="549">
        <f t="shared" si="0"/>
        <v>0</v>
      </c>
      <c r="I10" s="549">
        <f t="shared" si="0"/>
        <v>0</v>
      </c>
      <c r="J10" s="549">
        <f t="shared" si="0"/>
        <v>2327.1428571428573</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63.75" hidden="1">
      <c r="A35" s="573"/>
      <c r="B35" s="762">
        <v>24066</v>
      </c>
      <c r="C35" s="762">
        <v>3210</v>
      </c>
      <c r="D35" s="621"/>
      <c r="E35" s="621"/>
      <c r="F35" s="621"/>
      <c r="G35" s="621" t="s">
        <v>896</v>
      </c>
      <c r="H35" s="621" t="s">
        <v>897</v>
      </c>
      <c r="I35" s="621"/>
      <c r="J35" s="761"/>
      <c r="K35" s="761"/>
      <c r="L35" s="621" t="s">
        <v>898</v>
      </c>
      <c r="M35" s="621">
        <v>181</v>
      </c>
      <c r="N35" s="621">
        <v>814.5</v>
      </c>
      <c r="O35" s="621">
        <v>0</v>
      </c>
      <c r="P35" s="621">
        <v>0</v>
      </c>
      <c r="Q35" s="621">
        <v>0</v>
      </c>
      <c r="R35" s="621">
        <v>2327.1428571428573</v>
      </c>
      <c r="S35" s="621">
        <v>0</v>
      </c>
      <c r="T35" s="621">
        <v>0</v>
      </c>
      <c r="U35" s="621">
        <v>0</v>
      </c>
      <c r="V35" s="621">
        <v>0</v>
      </c>
      <c r="W35" s="621">
        <v>0</v>
      </c>
      <c r="X35" s="621">
        <v>1600</v>
      </c>
      <c r="Y35" s="621" t="s">
        <v>49</v>
      </c>
      <c r="Z35" s="622" t="s">
        <v>149</v>
      </c>
    </row>
    <row r="36" spans="1:27" s="556" customFormat="1" hidden="1">
      <c r="A36" s="574" t="s">
        <v>268</v>
      </c>
      <c r="B36" s="575"/>
      <c r="C36" s="575"/>
      <c r="D36" s="575"/>
      <c r="E36" s="575"/>
      <c r="F36" s="575"/>
      <c r="G36" s="575"/>
      <c r="H36" s="575"/>
      <c r="I36" s="575"/>
      <c r="J36" s="575"/>
      <c r="K36" s="575"/>
      <c r="L36" s="576"/>
      <c r="M36" s="576">
        <f>SUM(M35:M35)</f>
        <v>181</v>
      </c>
      <c r="N36" s="576">
        <f>SUM(N35:N35)</f>
        <v>814.5</v>
      </c>
      <c r="O36" s="576">
        <f>SUM(O35:O35)</f>
        <v>0</v>
      </c>
      <c r="P36" s="576">
        <f>SUM(P35:P35)</f>
        <v>0</v>
      </c>
      <c r="Q36" s="576">
        <f>SUM(Q35:Q35)</f>
        <v>0</v>
      </c>
      <c r="R36" s="576">
        <f>SUM(R35:R35)</f>
        <v>2327.1428571428573</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181</v>
      </c>
      <c r="N38" s="576">
        <f>SUMIF($Z$35:$Z$36,"tertiair",N35:N36)</f>
        <v>814.5</v>
      </c>
      <c r="O38" s="576">
        <f>SUMIF($Z$35:$Z$36,"tertiair",O35:O36)</f>
        <v>0</v>
      </c>
      <c r="P38" s="576">
        <f>SUMIF($Z$35:$Z$36,"tertiair",P35:P36)</f>
        <v>0</v>
      </c>
      <c r="Q38" s="576">
        <f>SUMIF($Z$35:$Z$36,"tertiair",Q35:Q36)</f>
        <v>0</v>
      </c>
      <c r="R38" s="576">
        <f>SUMIF($Z$35:$Z$36,"tertiair",R35:R36)</f>
        <v>2327.1428571428573</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2021-11-11T12:48:09Z</dcterms:modified>
</cp:coreProperties>
</file>