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0885B1F6-E2FF-4B83-8272-C1802D92CB5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I56" i="14" s="1"/>
  <c r="H54" i="14"/>
  <c r="H56" i="14" s="1"/>
  <c r="Q24" i="14"/>
  <c r="P24" i="14"/>
  <c r="P26" i="14" s="1"/>
  <c r="N24" i="14"/>
  <c r="N26" i="14" s="1"/>
  <c r="L24" i="14"/>
  <c r="L26" i="14" s="1"/>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R44" i="14"/>
  <c r="Q26" i="14"/>
  <c r="J26" i="14"/>
  <c r="E25" i="14"/>
  <c r="D14" i="48" s="1"/>
  <c r="C25" i="14"/>
  <c r="B14" i="48" s="1"/>
  <c r="Q14" i="48" s="1"/>
  <c r="D5" i="17"/>
  <c r="O31"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D8"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<sst xmlns="http://schemas.openxmlformats.org/spreadsheetml/2006/main" count="2464" uniqueCount="896">
  <si>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</si>
  <si>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</si>
  <si>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</si>
  <si>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</si>
  <si>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</si>
  <si>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</si>
  <si>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</si>
  <si>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</si>
  <si>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</si>
  <si>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</si>
  <si>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</si>
  <si>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</si>
  <si>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</si>
  <si>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</si>
  <si>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</si>
  <si>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</si>
  <si>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</si>
  <si>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</si>
  <si>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</si>
  <si>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</si>
  <si>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</si>
  <si>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</si>
  <si>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</si>
  <si>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</si>
  <si>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</si>
  <si>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</si>
  <si>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</si>
  <si>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</si>
  <si>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</si>
  <si>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</si>
  <si>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</si>
  <si>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</si>
  <si>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</si>
  <si>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</si>
  <si>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</si>
  <si>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</si>
  <si>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</si>
  <si>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</si>
  <si>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</si>
  <si>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</si>
  <si>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</si>
  <si>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</si>
  <si>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</si>
  <si>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</si>
  <si>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</si>
  <si>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</si>
  <si>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</si>
  <si>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</si>
  <si>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</si>
  <si>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</si>
  <si>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</si>
  <si>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</si>
  <si>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</si>
  <si>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</si>
  <si>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</si>
  <si>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</si>
  <si>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</si>
  <si>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</si>
  <si>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</si>
  <si>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</si>
  <si>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</si>
  <si>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</si>
  <si>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</si>
  <si>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</si>
  <si>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</si>
  <si>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</si>
  <si>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</si>
  <si>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</si>
  <si>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</si>
  <si>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</si>
  <si>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</si>
  <si>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</si>
  <si>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</si>
  <si>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</si>
  <si>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</si>
  <si>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</si>
  <si>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</si>
  <si>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</si>
  <si>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</si>
  <si>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</si>
  <si>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</si>
  <si>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</si>
  <si>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</si>
  <si>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</si>
  <si>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</si>
  <si>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</si>
  <si>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</si>
  <si>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</si>
  <si>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</si>
  <si>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</si>
  <si>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</si>
  <si>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</si>
  <si>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</si>
  <si>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</si>
  <si>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</si>
  <si>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</si>
  <si>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</si>
  <si>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</si>
  <si>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</si>
  <si>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</si>
  <si>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</si>
  <si>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</si>
  <si>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</si>
  <si>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</si>
  <si>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</si>
  <si>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</si>
  <si>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</si>
  <si>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</si>
  <si>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</si>
  <si>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</si>
  <si>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</si>
  <si>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</si>
  <si>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</si>
  <si>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</si>
  <si>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</si>
  <si>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</si>
  <si>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</si>
  <si>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</si>
  <si>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</si>
  <si>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</si>
  <si>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</si>
  <si>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</si>
  <si>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</si>
  <si>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</si>
  <si>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</si>
  <si>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</si>
  <si>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</si>
  <si>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</si>
  <si>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</si>
  <si>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</si>
  <si>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</si>
  <si>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</si>
  <si>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</si>
  <si>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</si>
  <si>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</si>
  <si>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</si>
  <si>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</si>
  <si>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</si>
  <si>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</si>
  <si>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</si>
  <si>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</si>
  <si>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</si>
  <si>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</si>
  <si>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</si>
  <si>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</si>
  <si>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</si>
  <si>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</si>
  <si>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</si>
  <si>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</si>
  <si>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</si>
  <si>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</si>
  <si>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</si>
  <si>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</si>
  <si>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</si>
  <si>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</si>
  <si>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</si>
  <si>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</si>
  <si>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</si>
  <si>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</si>
  <si>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</si>
  <si>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</si>
  <si>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</si>
  <si>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</si>
  <si>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</si>
  <si>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</si>
  <si>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</si>
  <si>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</si>
  <si>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</si>
  <si>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</si>
  <si>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</si>
  <si>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</si>
  <si>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</si>
  <si>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</si>
  <si>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</si>
  <si>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</si>
  <si>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</si>
  <si>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</si>
  <si>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</si>
  <si>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</si>
  <si>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</si>
  <si>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</si>
  <si>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</si>
  <si>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</si>
  <si>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</si>
  <si>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</si>
  <si>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</si>
  <si>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</si>
  <si>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</si>
  <si>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</si>
  <si>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</si>
  <si>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</si>
  <si>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</si>
  <si>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</si>
  <si>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</si>
  <si>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</si>
  <si>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</si>
  <si>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</si>
  <si>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</si>
  <si>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</si>
  <si>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</si>
  <si>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</si>
  <si>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</si>
  <si>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</si>
  <si>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</si>
  <si>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</si>
  <si>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</si>
  <si>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</si>
  <si>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</si>
  <si>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</si>
  <si>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</si>
  <si>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</si>
  <si>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</si>
  <si>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</si>
  <si>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</si>
  <si>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</si>
  <si>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</si>
  <si>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</si>
  <si>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</si>
  <si>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</si>
  <si>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</si>
  <si>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</si>
  <si>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</si>
  <si>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</si>
  <si>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</si>
  <si>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</si>
  <si>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</si>
  <si>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</si>
  <si>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</si>
  <si>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</si>
  <si>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</si>
  <si>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</si>
  <si>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</si>
  <si>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</si>
  <si>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</si>
  <si>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</si>
  <si>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</si>
  <si>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</si>
  <si>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</si>
  <si>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</si>
  <si>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</si>
  <si>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</si>
  <si>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</si>
  <si>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</si>
  <si>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</si>
  <si>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</si>
  <si>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</si>
  <si>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</si>
  <si>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</si>
  <si>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</si>
  <si>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</si>
  <si>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</si>
  <si>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</si>
  <si>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</si>
  <si>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</si>
  <si>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</si>
  <si>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</si>
  <si>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</si>
  <si>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</si>
  <si>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</si>
  <si>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</si>
  <si>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</si>
  <si>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</si>
  <si>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</si>
  <si>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</si>
  <si>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</si>
  <si>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</si>
  <si>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</si>
  <si>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</si>
  <si>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</si>
  <si>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</si>
  <si>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</si>
  <si>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</si>
  <si>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</si>
  <si>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</si>
  <si>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</si>
  <si>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</si>
  <si>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</si>
  <si>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</si>
  <si>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</si>
  <si>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</si>
  <si>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</si>
  <si>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</si>
  <si>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</si>
  <si>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</si>
  <si>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</si>
  <si>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</si>
  <si>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</si>
  <si>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</si>
  <si>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</si>
  <si>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</si>
  <si>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</si>
  <si>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</si>
  <si>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</si>
  <si>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</si>
  <si>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</si>
  <si>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</si>
  <si>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</si>
  <si>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</si>
  <si>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</si>
  <si>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</si>
  <si>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</si>
  <si>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</si>
  <si>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</si>
  <si>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</si>
  <si>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</si>
  <si>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</si>
  <si>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</si>
  <si>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</si>
  <si>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</si>
  <si>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</si>
  <si>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</si>
  <si>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</si>
  <si>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</si>
  <si>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</si>
  <si>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</si>
  <si>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</si>
  <si>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</si>
  <si>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</si>
  <si>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</si>
  <si>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</si>
  <si>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</si>
  <si>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</si>
  <si>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</si>
  <si>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</si>
  <si>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</si>
  <si>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</si>
  <si>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</si>
  <si>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</si>
  <si>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</si>
  <si>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</si>
  <si>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</si>
  <si>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</si>
  <si>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</si>
  <si>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</si>
  <si>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</si>
  <si>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</si>
  <si>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</si>
  <si>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</si>
  <si>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</si>
  <si>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</si>
  <si>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</si>
  <si>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</si>
  <si>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</si>
  <si>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</si>
  <si>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</si>
  <si>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</si>
  <si>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</si>
  <si>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</si>
  <si>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</si>
  <si>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</si>
  <si>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</si>
  <si>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</si>
  <si>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</si>
  <si>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</si>
  <si>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</si>
  <si>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</si>
  <si>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</si>
  <si>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</si>
  <si>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</si>
  <si>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</si>
  <si>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</si>
  <si>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</si>
  <si>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</si>
  <si>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</si>
  <si>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</si>
  <si>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</si>
  <si>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</si>
  <si>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</si>
  <si>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</si>
  <si>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</si>
  <si>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</si>
  <si>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</si>
  <si>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</si>
  <si>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</si>
  <si>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</si>
  <si>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</si>
  <si>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</si>
  <si>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</si>
  <si>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</si>
  <si>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</si>
  <si>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</si>
  <si>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</si>
  <si>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</si>
  <si>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</si>
  <si>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</si>
  <si>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</si>
  <si>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</si>
  <si>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</si>
  <si>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</si>
  <si>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</si>
  <si>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</si>
  <si>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</si>
  <si>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</si>
  <si>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</si>
  <si>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</si>
  <si>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</si>
  <si>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</si>
  <si>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</si>
  <si>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</si>
  <si>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</si>
  <si>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</si>
  <si>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</si>
  <si>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</si>
  <si>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</si>
  <si>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</si>
  <si>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</si>
  <si>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</si>
  <si>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</si>
  <si>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</si>
  <si>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</si>
  <si>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</si>
  <si>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</si>
  <si>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</si>
  <si>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</si>
  <si>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</si>
  <si>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</si>
  <si>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</si>
  <si>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</si>
  <si>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</si>
  <si>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</si>
  <si>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</si>
  <si>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</si>
  <si>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</si>
  <si>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</si>
  <si>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</si>
  <si>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</si>
  <si>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</si>
  <si>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</si>
  <si>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</si>
  <si>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</si>
  <si>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</si>
  <si>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</si>
  <si>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</si>
  <si>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</si>
  <si>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</si>
  <si>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</si>
  <si>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</si>
  <si>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</si>
  <si>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</si>
  <si>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</si>
  <si>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</si>
  <si>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</si>
  <si>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</si>
  <si>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</si>
  <si>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</si>
  <si>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</si>
  <si>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</si>
  <si>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</si>
  <si>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</si>
  <si>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</si>
  <si>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</si>
  <si>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</si>
  <si>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</si>
  <si>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</si>
  <si>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</si>
  <si>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</si>
  <si>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</si>
  <si>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</si>
  <si>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</si>
  <si>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</si>
  <si>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</si>
  <si>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</si>
  <si>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</si>
  <si>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</si>
  <si>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</si>
  <si>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</si>
  <si>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</si>
  <si>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</si>
  <si>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</si>
  <si>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</si>
  <si>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</si>
  <si>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</si>
  <si>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</si>
  <si>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</si>
  <si>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</si>
  <si>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</si>
  <si>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</si>
  <si>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</si>
  <si>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</si>
  <si>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</si>
  <si>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</si>
  <si>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</si>
  <si>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</si>
  <si>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</si>
  <si>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</si>
  <si>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</si>
  <si>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</si>
  <si>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</si>
  <si>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</si>
  <si>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</si>
  <si>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</si>
  <si>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</si>
  <si>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</si>
  <si>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</si>
  <si>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</si>
  <si>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</si>
  <si>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</si>
  <si>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</si>
  <si>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</si>
  <si>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</si>
  <si>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</si>
  <si>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</si>
  <si>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</si>
  <si>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</si>
  <si>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</si>
  <si>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</si>
  <si>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</si>
  <si>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</si>
  <si>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</si>
  <si>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</si>
  <si>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</si>
  <si>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</si>
  <si>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</si>
  <si>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</si>
  <si>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</si>
  <si>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</si>
  <si>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</si>
  <si>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</si>
  <si>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</si>
  <si>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</si>
  <si>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</si>
  <si>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</si>
  <si>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</si>
  <si>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</si>
  <si>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</si>
  <si>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</si>
  <si>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</si>
  <si>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</si>
  <si>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</si>
  <si>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</si>
  <si>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</si>
  <si>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</si>
  <si>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</si>
  <si>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</si>
  <si>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</si>
  <si>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</si>
  <si>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</si>
  <si>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</si>
  <si>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</si>
  <si>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</si>
  <si>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</si>
  <si>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</si>
  <si>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</si>
  <si>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</si>
  <si>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</si>
  <si>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</si>
  <si>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</si>
  <si>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</si>
  <si>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</si>
  <si>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</si>
  <si>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</si>
  <si>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</si>
  <si>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</si>
  <si>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</si>
  <si>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</si>
  <si>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</si>
  <si>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</si>
  <si>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</si>
  <si>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</si>
  <si>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</si>
  <si>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</si>
  <si>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</si>
  <si>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</si>
  <si>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</si>
  <si>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</si>
  <si>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</si>
  <si>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</si>
  <si>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</si>
  <si>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</si>
  <si>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</si>
  <si>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</si>
  <si>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</si>
  <si>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</si>
  <si>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</si>
  <si>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</si>
  <si>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</si>
  <si>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</si>
  <si>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</si>
  <si>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</si>
  <si>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</si>
  <si>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</si>
  <si>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</si>
  <si>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</si>
  <si>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</si>
  <si>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</si>
  <si>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</si>
  <si>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</si>
  <si>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</si>
  <si>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</si>
  <si>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</si>
  <si>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</si>
  <si>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</si>
  <si>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</si>
  <si>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</si>
  <si>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</si>
  <si>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</si>
  <si>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</si>
  <si>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</si>
  <si>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</si>
  <si>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</si>
  <si>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</si>
  <si>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</si>
  <si>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</si>
  <si>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</si>
  <si>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</si>
  <si>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</si>
  <si>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</si>
  <si>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</si>
  <si>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</si>
  <si>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</si>
  <si>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</si>
  <si>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</si>
  <si>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</si>
  <si>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</si>
  <si>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</si>
  <si>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</si>
  <si>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</si>
  <si>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</si>
  <si>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</si>
  <si>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</si>
  <si>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</si>
  <si>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</si>
  <si>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</si>
  <si>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</si>
  <si>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</si>
  <si>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</si>
  <si>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</si>
  <si>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</si>
  <si>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</si>
  <si>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</si>
  <si>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</si>
  <si>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</si>
  <si>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</si>
  <si>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</si>
  <si>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</si>
  <si>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</si>
  <si>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</si>
  <si>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</si>
  <si>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</si>
  <si>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</si>
  <si>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</si>
  <si>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</si>
  <si>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</si>
  <si>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</si>
  <si>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</si>
  <si>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</si>
  <si>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</si>
  <si>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</si>
  <si>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</si>
  <si>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</si>
  <si>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</si>
  <si>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</si>
  <si>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</si>
  <si>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</si>
  <si>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</si>
  <si>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</si>
  <si>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</si>
  <si>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</si>
  <si>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</si>
  <si>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</si>
  <si>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</si>
  <si>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</si>
  <si>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</si>
  <si>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</si>
  <si>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</si>
  <si>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</si>
  <si>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</si>
  <si>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</si>
  <si>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</si>
  <si>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</si>
  <si>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</si>
  <si>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</si>
  <si>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</si>
  <si>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</si>
  <si>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</si>
  <si>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</si>
  <si>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</si>
  <si>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</si>
  <si>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</si>
  <si>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</si>
  <si>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</si>
  <si>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</si>
  <si>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</si>
  <si>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</si>
  <si>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</si>
  <si>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</si>
  <si>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</si>
  <si>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</si>
  <si>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</si>
  <si>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</si>
  <si>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</si>
  <si>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</si>
  <si>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</si>
  <si>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</si>
  <si>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</si>
  <si>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</si>
  <si>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</si>
  <si>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</si>
  <si>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</si>
  <si>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</si>
  <si>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</si>
  <si>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</si>
  <si>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</si>
  <si>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</si>
  <si>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</si>
  <si>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</si>
  <si>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</si>
  <si>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</si>
  <si>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</si>
  <si>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</si>
  <si>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</si>
  <si>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</si>
  <si>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</si>
  <si>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</si>
  <si>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</si>
  <si>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</si>
  <si>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</si>
  <si>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</si>
  <si>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</si>
  <si>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</si>
  <si>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</si>
  <si>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</si>
  <si>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</si>
  <si>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</si>
  <si>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</si>
  <si>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</si>
  <si>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</si>
  <si>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</si>
  <si>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</si>
  <si>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</si>
  <si>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</si>
  <si>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</si>
  <si>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</si>
  <si>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</si>
  <si>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</si>
  <si>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</si>
  <si>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</si>
  <si>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</si>
  <si>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</si>
  <si>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</si>
  <si>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</si>
  <si>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</si>
  <si>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</si>
  <si>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</si>
  <si>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</si>
  <si>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</si>
  <si>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</si>
  <si>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</si>
  <si>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</si>
  <si>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</si>
  <si>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</si>
  <si>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</si>
  <si>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</si>
  <si>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</si>
  <si>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</si>
  <si>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</si>
  <si>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</si>
  <si>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</si>
  <si>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</si>
  <si>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</si>
  <si>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</si>
  <si>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</si>
  <si>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</si>
  <si>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</si>
  <si>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</si>
  <si>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</si>
  <si>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</si>
  <si>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</si>
  <si>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</si>
  <si>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</si>
  <si>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</si>
  <si>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</si>
  <si>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</si>
  <si>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</si>
  <si>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</si>
  <si>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</si>
  <si>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</si>
  <si>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</si>
  <si>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</si>
  <si>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</si>
  <si>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</si>
  <si>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</si>
  <si>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</si>
  <si>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</si>
  <si>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</si>
  <si>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</si>
  <si>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</si>
  <si>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</si>
  <si>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</si>
  <si>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</si>
  <si>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</si>
  <si>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</si>
  <si>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</si>
  <si>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</si>
  <si>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</si>
  <si>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</si>
  <si>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</si>
  <si>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</si>
  <si>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</si>
  <si>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</si>
  <si>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</si>
  <si>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</si>
  <si>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</si>
  <si>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</si>
  <si>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</si>
  <si>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</si>
  <si>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</si>
  <si>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</si>
  <si>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</si>
  <si>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</si>
  <si>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</si>
  <si>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</si>
  <si>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</si>
  <si>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</si>
  <si>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</si>
  <si>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</si>
  <si>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</si>
  <si>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</si>
  <si>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</si>
  <si>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</si>
  <si>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</si>
  <si>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</si>
  <si>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</si>
  <si>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</si>
  <si>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</si>
  <si>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</si>
  <si>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</si>
  <si>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</si>
  <si>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</si>
  <si>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</si>
  <si>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</si>
  <si>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</si>
  <si>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</si>
  <si>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</si>
  <si>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</si>
  <si>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</si>
  <si>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</si>
  <si>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</si>
  <si>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</si>
  <si>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</si>
  <si>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</si>
  <si>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</si>
  <si>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</si>
  <si>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</si>
  <si>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</si>
  <si>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</si>
  <si>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</si>
  <si>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</si>
  <si>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</si>
  <si>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</si>
  <si>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</si>
  <si>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</si>
  <si>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</si>
  <si>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</si>
  <si>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</si>
  <si>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</si>
  <si>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</si>
  <si>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</si>
  <si>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</si>
  <si>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</si>
  <si>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</si>
  <si>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</si>
  <si>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</si>
  <si>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</si>
  <si>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</si>
  <si>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</si>
  <si>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</si>
  <si>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</si>
  <si>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</si>
  <si>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</si>
  <si>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</si>
  <si>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</si>
  <si>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</si>
  <si>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</si>
  <si>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</si>
  <si>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</si>
  <si>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</si>
  <si>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</si>
  <si>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</si>
  <si>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</si>
  <si>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</si>
  <si>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</si>
  <si>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</si>
  <si>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</si>
  <si>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</si>
  <si>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</si>
  <si>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</si>
  <si>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</si>
  <si>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</si>
  <si>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</si>
  <si>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</si>
  <si>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</si>
  <si>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24033</t>
  </si>
  <si>
    <t>HAACHT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</si>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</sst>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C5310D06-65D6-4F3C-BD87-FEAD36B9141B}"/>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126709.64178490553</c:v>
                </c:pt>
                <c:pt idx="1">
                  <c:v>26732.999216840668</c:v>
                </c:pt>
                <c:pt idx="2">
                  <c:v>1178.425</c:v>
                </c:pt>
                <c:pt idx="3">
                  <c:v>3670.5136815675214</c:v>
                </c:pt>
                <c:pt idx="4">
                  <c:v>8565.9321925447257</c:v>
                </c:pt>
                <c:pt idx="5">
                  <c:v>58984.05707371216</c:v>
                </c:pt>
                <c:pt idx="6">
                  <c:v>1745.686394485341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126709.64178490553</c:v>
                </c:pt>
                <c:pt idx="1">
                  <c:v>26732.999216840668</c:v>
                </c:pt>
                <c:pt idx="2">
                  <c:v>1178.425</c:v>
                </c:pt>
                <c:pt idx="3">
                  <c:v>3670.5136815675214</c:v>
                </c:pt>
                <c:pt idx="4">
                  <c:v>8565.9321925447257</c:v>
                </c:pt>
                <c:pt idx="5">
                  <c:v>58984.05707371216</c:v>
                </c:pt>
                <c:pt idx="6">
                  <c:v>1745.686394485341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26785.542969886355</c:v>
                </c:pt>
                <c:pt idx="2">
                  <c:v>5300.2930329198098</c:v>
                </c:pt>
                <c:pt idx="3">
                  <c:v>237.57440675581043</c:v>
                </c:pt>
                <c:pt idx="4">
                  <c:v>941.99437564021878</c:v>
                </c:pt>
                <c:pt idx="5">
                  <c:v>1754.5810724790897</c:v>
                </c:pt>
                <c:pt idx="6">
                  <c:v>14761.155552713995</c:v>
                </c:pt>
                <c:pt idx="7">
                  <c:v>439.83387674052398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26785.542969886355</c:v>
                </c:pt>
                <c:pt idx="2">
                  <c:v>5300.2930329198098</c:v>
                </c:pt>
                <c:pt idx="3">
                  <c:v>237.57440675581043</c:v>
                </c:pt>
                <c:pt idx="4">
                  <c:v>941.99437564021878</c:v>
                </c:pt>
                <c:pt idx="5">
                  <c:v>1754.5810724790897</c:v>
                </c:pt>
                <c:pt idx="6">
                  <c:v>14761.155552713995</c:v>
                </c:pt>
                <c:pt idx="7">
                  <c:v>439.83387674052398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24033</v>
      </c>
      <c r="B6" s="382"/>
      <c r="C6" s="383"/>
    </row>
    <row r="7" spans="1:7" s="380" customFormat="1" ht="15.75" customHeight="1">
      <c r="A7" s="384" t="str">
        <f>txtMunicipality</f>
        <v>HAACHT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14071.711067561286</v>
      </c>
      <c r="D10" s="971">
        <f ca="1">tertiair!C16</f>
        <v>0</v>
      </c>
      <c r="E10" s="971">
        <f ca="1">tertiair!D16</f>
        <v>10185.061474632364</v>
      </c>
      <c r="F10" s="971">
        <f>tertiair!E16</f>
        <v>189.52628636484309</v>
      </c>
      <c r="G10" s="971">
        <f ca="1">tertiair!F16</f>
        <v>2249.2458844957864</v>
      </c>
      <c r="H10" s="971">
        <f>tertiair!G16</f>
        <v>0</v>
      </c>
      <c r="I10" s="971">
        <f>tertiair!H16</f>
        <v>0</v>
      </c>
      <c r="J10" s="971">
        <f>tertiair!I16</f>
        <v>0</v>
      </c>
      <c r="K10" s="971">
        <f>tertiair!J16</f>
        <v>2.8425318873126309E-2</v>
      </c>
      <c r="L10" s="971">
        <f>tertiair!K16</f>
        <v>0</v>
      </c>
      <c r="M10" s="971">
        <f ca="1">tertiair!L16</f>
        <v>0</v>
      </c>
      <c r="N10" s="971">
        <f>tertiair!M16</f>
        <v>0</v>
      </c>
      <c r="O10" s="971">
        <f ca="1">tertiair!N16</f>
        <v>1136.4577451341781</v>
      </c>
      <c r="P10" s="971">
        <f>tertiair!O16</f>
        <v>3.1266666666666669</v>
      </c>
      <c r="Q10" s="972">
        <f>tertiair!P16</f>
        <v>76.266666666666666</v>
      </c>
      <c r="R10" s="666">
        <f ca="1">SUM(C10:Q10)</f>
        <v>27911.424216840664</v>
      </c>
      <c r="S10" s="67"/>
    </row>
    <row r="11" spans="1:19" s="439" customFormat="1">
      <c r="A11" s="775" t="s">
        <v>213</v>
      </c>
      <c r="B11" s="780"/>
      <c r="C11" s="971">
        <f>huishoudens!B8</f>
        <v>26937.112871513837</v>
      </c>
      <c r="D11" s="971">
        <f>huishoudens!C8</f>
        <v>0</v>
      </c>
      <c r="E11" s="971">
        <f>huishoudens!D8</f>
        <v>37393.089685026585</v>
      </c>
      <c r="F11" s="971">
        <f>huishoudens!E8</f>
        <v>1961.9100832612844</v>
      </c>
      <c r="G11" s="971">
        <f>huishoudens!F8</f>
        <v>49706.007210561293</v>
      </c>
      <c r="H11" s="971">
        <f>huishoudens!G8</f>
        <v>0</v>
      </c>
      <c r="I11" s="971">
        <f>huishoudens!H8</f>
        <v>0</v>
      </c>
      <c r="J11" s="971">
        <f>huishoudens!I8</f>
        <v>0</v>
      </c>
      <c r="K11" s="971">
        <f>huishoudens!J8</f>
        <v>239.17973012049669</v>
      </c>
      <c r="L11" s="971">
        <f>huishoudens!K8</f>
        <v>0</v>
      </c>
      <c r="M11" s="971">
        <f>huishoudens!L8</f>
        <v>0</v>
      </c>
      <c r="N11" s="971">
        <f>huishoudens!M8</f>
        <v>0</v>
      </c>
      <c r="O11" s="971">
        <f>huishoudens!N8</f>
        <v>8957.8622044220356</v>
      </c>
      <c r="P11" s="971">
        <f>huishoudens!O8</f>
        <v>275.1466666666667</v>
      </c>
      <c r="Q11" s="972">
        <f>huishoudens!P8</f>
        <v>1239.3333333333333</v>
      </c>
      <c r="R11" s="666">
        <f>SUM(C11:Q11)</f>
        <v>126709.64178490553</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5214.0150177504966</v>
      </c>
      <c r="D13" s="971">
        <f>industrie!C18</f>
        <v>0</v>
      </c>
      <c r="E13" s="971">
        <f>industrie!D18</f>
        <v>1325.0010228489627</v>
      </c>
      <c r="F13" s="971">
        <f>industrie!E18</f>
        <v>384.30823841941617</v>
      </c>
      <c r="G13" s="971">
        <f>industrie!F18</f>
        <v>1288.0725727713179</v>
      </c>
      <c r="H13" s="971">
        <f>industrie!G18</f>
        <v>0</v>
      </c>
      <c r="I13" s="971">
        <f>industrie!H18</f>
        <v>0</v>
      </c>
      <c r="J13" s="971">
        <f>industrie!I18</f>
        <v>0</v>
      </c>
      <c r="K13" s="971">
        <f>industrie!J18</f>
        <v>13.035923891521309</v>
      </c>
      <c r="L13" s="971">
        <f>industrie!K18</f>
        <v>0</v>
      </c>
      <c r="M13" s="971">
        <f>industrie!L18</f>
        <v>0</v>
      </c>
      <c r="N13" s="971">
        <f>industrie!M18</f>
        <v>0</v>
      </c>
      <c r="O13" s="971">
        <f>industrie!N18</f>
        <v>341.49941686301361</v>
      </c>
      <c r="P13" s="971">
        <f>industrie!O18</f>
        <v>0</v>
      </c>
      <c r="Q13" s="972">
        <f>industrie!P18</f>
        <v>0</v>
      </c>
      <c r="R13" s="666">
        <f>SUM(C13:Q13)</f>
        <v>8565.9321925447257</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46222.838956825624</v>
      </c>
      <c r="D16" s="698">
        <f t="shared" ref="D16:R16" ca="1" si="0">SUM(D9:D15)</f>
        <v>0</v>
      </c>
      <c r="E16" s="698">
        <f t="shared" ca="1" si="0"/>
        <v>48903.152182507911</v>
      </c>
      <c r="F16" s="698">
        <f t="shared" si="0"/>
        <v>2535.7446080455438</v>
      </c>
      <c r="G16" s="698">
        <f t="shared" ca="1" si="0"/>
        <v>53243.325667828394</v>
      </c>
      <c r="H16" s="698">
        <f t="shared" si="0"/>
        <v>0</v>
      </c>
      <c r="I16" s="698">
        <f t="shared" si="0"/>
        <v>0</v>
      </c>
      <c r="J16" s="698">
        <f t="shared" si="0"/>
        <v>0</v>
      </c>
      <c r="K16" s="698">
        <f t="shared" si="0"/>
        <v>252.24407933089114</v>
      </c>
      <c r="L16" s="698">
        <f t="shared" si="0"/>
        <v>0</v>
      </c>
      <c r="M16" s="698">
        <f t="shared" ca="1" si="0"/>
        <v>0</v>
      </c>
      <c r="N16" s="698">
        <f t="shared" si="0"/>
        <v>0</v>
      </c>
      <c r="O16" s="698">
        <f t="shared" ca="1" si="0"/>
        <v>10435.819366419226</v>
      </c>
      <c r="P16" s="698">
        <f t="shared" si="0"/>
        <v>278.27333333333337</v>
      </c>
      <c r="Q16" s="698">
        <f t="shared" si="0"/>
        <v>1315.6</v>
      </c>
      <c r="R16" s="698">
        <f t="shared" ca="1" si="0"/>
        <v>163186.99819429091</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17.396012533853643</v>
      </c>
      <c r="D19" s="971">
        <f>transport!C54</f>
        <v>0</v>
      </c>
      <c r="E19" s="971">
        <f>transport!D54</f>
        <v>0</v>
      </c>
      <c r="F19" s="971">
        <f>transport!E54</f>
        <v>0</v>
      </c>
      <c r="G19" s="971">
        <f>transport!F54</f>
        <v>0</v>
      </c>
      <c r="H19" s="971">
        <f>transport!G54</f>
        <v>1634.1827065415266</v>
      </c>
      <c r="I19" s="971">
        <f>transport!H54</f>
        <v>0</v>
      </c>
      <c r="J19" s="971">
        <f>transport!I54</f>
        <v>0</v>
      </c>
      <c r="K19" s="971">
        <f>transport!J54</f>
        <v>0</v>
      </c>
      <c r="L19" s="971">
        <f>transport!K54</f>
        <v>0</v>
      </c>
      <c r="M19" s="971">
        <f>transport!L54</f>
        <v>0</v>
      </c>
      <c r="N19" s="971">
        <f>transport!M54</f>
        <v>94.107675409960763</v>
      </c>
      <c r="O19" s="971">
        <f>transport!N54</f>
        <v>0</v>
      </c>
      <c r="P19" s="971">
        <f>transport!O54</f>
        <v>0</v>
      </c>
      <c r="Q19" s="972">
        <f>transport!P54</f>
        <v>0</v>
      </c>
      <c r="R19" s="666">
        <f>SUM(C19:Q19)</f>
        <v>1745.686394485341</v>
      </c>
      <c r="S19" s="67"/>
    </row>
    <row r="20" spans="1:19" s="439" customFormat="1">
      <c r="A20" s="775" t="s">
        <v>295</v>
      </c>
      <c r="B20" s="780"/>
      <c r="C20" s="971">
        <f>transport!B14</f>
        <v>34.135351155759849</v>
      </c>
      <c r="D20" s="971">
        <f>transport!C14</f>
        <v>0</v>
      </c>
      <c r="E20" s="971">
        <f>transport!D14</f>
        <v>64.712277569485622</v>
      </c>
      <c r="F20" s="971">
        <f>transport!E14</f>
        <v>111.15702822033796</v>
      </c>
      <c r="G20" s="971">
        <f>transport!F14</f>
        <v>0</v>
      </c>
      <c r="H20" s="971">
        <f>transport!G14</f>
        <v>45477.766629499703</v>
      </c>
      <c r="I20" s="971">
        <f>transport!H14</f>
        <v>10334.961994471765</v>
      </c>
      <c r="J20" s="971">
        <f>transport!I14</f>
        <v>0</v>
      </c>
      <c r="K20" s="971">
        <f>transport!J14</f>
        <v>0</v>
      </c>
      <c r="L20" s="971">
        <f>transport!K14</f>
        <v>0</v>
      </c>
      <c r="M20" s="971">
        <f>transport!L14</f>
        <v>0</v>
      </c>
      <c r="N20" s="971">
        <f>transport!M14</f>
        <v>2961.3237927951086</v>
      </c>
      <c r="O20" s="971">
        <f>transport!N14</f>
        <v>0</v>
      </c>
      <c r="P20" s="971">
        <f>transport!O14</f>
        <v>0</v>
      </c>
      <c r="Q20" s="972">
        <f>transport!P14</f>
        <v>0</v>
      </c>
      <c r="R20" s="666">
        <f>SUM(C20:Q20)</f>
        <v>58984.05707371216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51.531363689613492</v>
      </c>
      <c r="D22" s="778">
        <f t="shared" ref="D22:R22" si="1">SUM(D18:D21)</f>
        <v>0</v>
      </c>
      <c r="E22" s="778">
        <f t="shared" si="1"/>
        <v>64.712277569485622</v>
      </c>
      <c r="F22" s="778">
        <f t="shared" si="1"/>
        <v>111.15702822033796</v>
      </c>
      <c r="G22" s="778">
        <f t="shared" si="1"/>
        <v>0</v>
      </c>
      <c r="H22" s="778">
        <f t="shared" si="1"/>
        <v>47111.949336041231</v>
      </c>
      <c r="I22" s="778">
        <f t="shared" si="1"/>
        <v>10334.961994471765</v>
      </c>
      <c r="J22" s="778">
        <f t="shared" si="1"/>
        <v>0</v>
      </c>
      <c r="K22" s="778">
        <f t="shared" si="1"/>
        <v>0</v>
      </c>
      <c r="L22" s="778">
        <f t="shared" si="1"/>
        <v>0</v>
      </c>
      <c r="M22" s="778">
        <f t="shared" si="1"/>
        <v>0</v>
      </c>
      <c r="N22" s="778">
        <f t="shared" si="1"/>
        <v>3055.4314682050695</v>
      </c>
      <c r="O22" s="778">
        <f t="shared" si="1"/>
        <v>0</v>
      </c>
      <c r="P22" s="778">
        <f t="shared" si="1"/>
        <v>0</v>
      </c>
      <c r="Q22" s="778">
        <f t="shared" si="1"/>
        <v>0</v>
      </c>
      <c r="R22" s="778">
        <f t="shared" si="1"/>
        <v>60729.743468197499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684.13175520519303</v>
      </c>
      <c r="D24" s="971">
        <f>+landbouw!C8</f>
        <v>0</v>
      </c>
      <c r="E24" s="971">
        <f>+landbouw!D8</f>
        <v>17.101281420497084</v>
      </c>
      <c r="F24" s="971">
        <f>+landbouw!E8</f>
        <v>20.108721865043425</v>
      </c>
      <c r="G24" s="971">
        <f>+landbouw!F8</f>
        <v>2850.055923645175</v>
      </c>
      <c r="H24" s="971">
        <f>+landbouw!G8</f>
        <v>0</v>
      </c>
      <c r="I24" s="971">
        <f>+landbouw!H8</f>
        <v>0</v>
      </c>
      <c r="J24" s="971">
        <f>+landbouw!I8</f>
        <v>0</v>
      </c>
      <c r="K24" s="971">
        <f>+landbouw!J8</f>
        <v>99.115999431612948</v>
      </c>
      <c r="L24" s="971">
        <f>+landbouw!K8</f>
        <v>0</v>
      </c>
      <c r="M24" s="971">
        <f>+landbouw!L8</f>
        <v>0</v>
      </c>
      <c r="N24" s="971">
        <f>+landbouw!M8</f>
        <v>0</v>
      </c>
      <c r="O24" s="971">
        <f>+landbouw!N8</f>
        <v>0</v>
      </c>
      <c r="P24" s="971">
        <f>+landbouw!O8</f>
        <v>0</v>
      </c>
      <c r="Q24" s="972">
        <f>+landbouw!P8</f>
        <v>0</v>
      </c>
      <c r="R24" s="666">
        <f>SUM(C24:Q24)</f>
        <v>3670.5136815675214</v>
      </c>
      <c r="S24" s="67"/>
    </row>
    <row r="25" spans="1:19" s="439" customFormat="1" ht="15" thickBot="1">
      <c r="A25" s="797" t="s">
        <v>802</v>
      </c>
      <c r="B25" s="974"/>
      <c r="C25" s="975">
        <f>IF(Onbekend_ele_kWh="---",0,Onbekend_ele_kWh)/1000+IF(REST_rest_ele_kWh="---",0,REST_rest_ele_kWh)/1000</f>
        <v>729.90904728049793</v>
      </c>
      <c r="D25" s="975"/>
      <c r="E25" s="975">
        <f>IF(onbekend_gas_kWh="---",0,onbekend_gas_kWh)/1000+IF(REST_rest_gas_kWh="---",0,REST_rest_gas_kWh)/1000</f>
        <v>2011.20459264997</v>
      </c>
      <c r="F25" s="975"/>
      <c r="G25" s="975"/>
      <c r="H25" s="975"/>
      <c r="I25" s="975"/>
      <c r="J25" s="975"/>
      <c r="K25" s="975"/>
      <c r="L25" s="975"/>
      <c r="M25" s="975"/>
      <c r="N25" s="975"/>
      <c r="O25" s="975"/>
      <c r="P25" s="975"/>
      <c r="Q25" s="976"/>
      <c r="R25" s="666">
        <f>SUM(C25:Q25)</f>
        <v>2741.1136399304678</v>
      </c>
      <c r="S25" s="67"/>
    </row>
    <row r="26" spans="1:19" s="439" customFormat="1" ht="15.75" thickBot="1">
      <c r="A26" s="671" t="s">
        <v>803</v>
      </c>
      <c r="B26" s="783"/>
      <c r="C26" s="778">
        <f>SUM(C24:C25)</f>
        <v>1414.0408024856911</v>
      </c>
      <c r="D26" s="778">
        <f t="shared" ref="D26:R26" si="2">SUM(D24:D25)</f>
        <v>0</v>
      </c>
      <c r="E26" s="778">
        <f t="shared" si="2"/>
        <v>2028.3058740704671</v>
      </c>
      <c r="F26" s="778">
        <f t="shared" si="2"/>
        <v>20.108721865043425</v>
      </c>
      <c r="G26" s="778">
        <f t="shared" si="2"/>
        <v>2850.055923645175</v>
      </c>
      <c r="H26" s="778">
        <f t="shared" si="2"/>
        <v>0</v>
      </c>
      <c r="I26" s="778">
        <f t="shared" si="2"/>
        <v>0</v>
      </c>
      <c r="J26" s="778">
        <f t="shared" si="2"/>
        <v>0</v>
      </c>
      <c r="K26" s="778">
        <f t="shared" si="2"/>
        <v>99.115999431612948</v>
      </c>
      <c r="L26" s="778">
        <f t="shared" si="2"/>
        <v>0</v>
      </c>
      <c r="M26" s="778">
        <f t="shared" si="2"/>
        <v>0</v>
      </c>
      <c r="N26" s="778">
        <f t="shared" si="2"/>
        <v>0</v>
      </c>
      <c r="O26" s="778">
        <f t="shared" si="2"/>
        <v>0</v>
      </c>
      <c r="P26" s="778">
        <f t="shared" si="2"/>
        <v>0</v>
      </c>
      <c r="Q26" s="778">
        <f t="shared" si="2"/>
        <v>0</v>
      </c>
      <c r="R26" s="778">
        <f t="shared" si="2"/>
        <v>6411.6273214979892</v>
      </c>
      <c r="S26" s="67"/>
    </row>
    <row r="27" spans="1:19" s="439" customFormat="1" ht="17.25" thickTop="1" thickBot="1">
      <c r="A27" s="672" t="s">
        <v>109</v>
      </c>
      <c r="B27" s="771"/>
      <c r="C27" s="673">
        <f ca="1">C22+C16+C26</f>
        <v>47688.411123000922</v>
      </c>
      <c r="D27" s="673">
        <f t="shared" ref="D27:R27" ca="1" si="3">D22+D16+D26</f>
        <v>0</v>
      </c>
      <c r="E27" s="673">
        <f t="shared" ca="1" si="3"/>
        <v>50996.170334147864</v>
      </c>
      <c r="F27" s="673">
        <f t="shared" si="3"/>
        <v>2667.0103581309249</v>
      </c>
      <c r="G27" s="673">
        <f t="shared" ca="1" si="3"/>
        <v>56093.381591473568</v>
      </c>
      <c r="H27" s="673">
        <f t="shared" si="3"/>
        <v>47111.949336041231</v>
      </c>
      <c r="I27" s="673">
        <f t="shared" si="3"/>
        <v>10334.961994471765</v>
      </c>
      <c r="J27" s="673">
        <f t="shared" si="3"/>
        <v>0</v>
      </c>
      <c r="K27" s="673">
        <f t="shared" si="3"/>
        <v>351.36007876250409</v>
      </c>
      <c r="L27" s="673">
        <f t="shared" si="3"/>
        <v>0</v>
      </c>
      <c r="M27" s="673">
        <f t="shared" ca="1" si="3"/>
        <v>0</v>
      </c>
      <c r="N27" s="673">
        <f t="shared" si="3"/>
        <v>3055.4314682050695</v>
      </c>
      <c r="O27" s="673">
        <f t="shared" ca="1" si="3"/>
        <v>10435.819366419226</v>
      </c>
      <c r="P27" s="673">
        <f t="shared" si="3"/>
        <v>278.27333333333337</v>
      </c>
      <c r="Q27" s="673">
        <f t="shared" si="3"/>
        <v>1315.6</v>
      </c>
      <c r="R27" s="673">
        <f t="shared" ca="1" si="3"/>
        <v>230328.36898398641</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2836.9038410718072</v>
      </c>
      <c r="D40" s="971">
        <f ca="1">tertiair!C20</f>
        <v>0</v>
      </c>
      <c r="E40" s="971">
        <f ca="1">tertiair!D20</f>
        <v>2057.3824178757377</v>
      </c>
      <c r="F40" s="971">
        <f>tertiair!E20</f>
        <v>43.022467004819383</v>
      </c>
      <c r="G40" s="971">
        <f ca="1">tertiair!F20</f>
        <v>600.54865116037502</v>
      </c>
      <c r="H40" s="971">
        <f>tertiair!G20</f>
        <v>0</v>
      </c>
      <c r="I40" s="971">
        <f>tertiair!H20</f>
        <v>0</v>
      </c>
      <c r="J40" s="971">
        <f>tertiair!I20</f>
        <v>0</v>
      </c>
      <c r="K40" s="971">
        <f>tertiair!J20</f>
        <v>1.0062562881086713E-2</v>
      </c>
      <c r="L40" s="971">
        <f>tertiair!K20</f>
        <v>0</v>
      </c>
      <c r="M40" s="971">
        <f ca="1">tertiair!L20</f>
        <v>0</v>
      </c>
      <c r="N40" s="971">
        <f>tertiair!M20</f>
        <v>0</v>
      </c>
      <c r="O40" s="971">
        <f ca="1">tertiair!N20</f>
        <v>0</v>
      </c>
      <c r="P40" s="971">
        <f>tertiair!O20</f>
        <v>0</v>
      </c>
      <c r="Q40" s="740">
        <f>tertiair!P20</f>
        <v>0</v>
      </c>
      <c r="R40" s="816">
        <f t="shared" ca="1" si="4"/>
        <v>5537.8674396756196</v>
      </c>
    </row>
    <row r="41" spans="1:18">
      <c r="A41" s="788" t="s">
        <v>213</v>
      </c>
      <c r="B41" s="795"/>
      <c r="C41" s="971">
        <f ca="1">huishoudens!B12</f>
        <v>5430.6117149281499</v>
      </c>
      <c r="D41" s="971">
        <f ca="1">huishoudens!C12</f>
        <v>0</v>
      </c>
      <c r="E41" s="971">
        <f>huishoudens!D12</f>
        <v>7553.4041163753709</v>
      </c>
      <c r="F41" s="971">
        <f>huishoudens!E12</f>
        <v>445.35358890031159</v>
      </c>
      <c r="G41" s="971">
        <f>huishoudens!F12</f>
        <v>13271.503925219866</v>
      </c>
      <c r="H41" s="971">
        <f>huishoudens!G12</f>
        <v>0</v>
      </c>
      <c r="I41" s="971">
        <f>huishoudens!H12</f>
        <v>0</v>
      </c>
      <c r="J41" s="971">
        <f>huishoudens!I12</f>
        <v>0</v>
      </c>
      <c r="K41" s="971">
        <f>huishoudens!J12</f>
        <v>84.669624462655818</v>
      </c>
      <c r="L41" s="971">
        <f>huishoudens!K12</f>
        <v>0</v>
      </c>
      <c r="M41" s="971">
        <f>huishoudens!L12</f>
        <v>0</v>
      </c>
      <c r="N41" s="971">
        <f>huishoudens!M12</f>
        <v>0</v>
      </c>
      <c r="O41" s="971">
        <f>huishoudens!N12</f>
        <v>0</v>
      </c>
      <c r="P41" s="971">
        <f>huishoudens!O12</f>
        <v>0</v>
      </c>
      <c r="Q41" s="740">
        <f>huishoudens!P12</f>
        <v>0</v>
      </c>
      <c r="R41" s="816">
        <f t="shared" ca="1" si="4"/>
        <v>26785.542969886355</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1051.1628017548514</v>
      </c>
      <c r="D43" s="971">
        <f ca="1">industrie!C22</f>
        <v>0</v>
      </c>
      <c r="E43" s="971">
        <f>industrie!D22</f>
        <v>267.6502066154905</v>
      </c>
      <c r="F43" s="971">
        <f>industrie!E22</f>
        <v>87.237970121207468</v>
      </c>
      <c r="G43" s="971">
        <f>industrie!F22</f>
        <v>343.91537692994189</v>
      </c>
      <c r="H43" s="971">
        <f>industrie!G22</f>
        <v>0</v>
      </c>
      <c r="I43" s="971">
        <f>industrie!H22</f>
        <v>0</v>
      </c>
      <c r="J43" s="971">
        <f>industrie!I22</f>
        <v>0</v>
      </c>
      <c r="K43" s="971">
        <f>industrie!J22</f>
        <v>4.6147170575985434</v>
      </c>
      <c r="L43" s="971">
        <f>industrie!K22</f>
        <v>0</v>
      </c>
      <c r="M43" s="971">
        <f>industrie!L22</f>
        <v>0</v>
      </c>
      <c r="N43" s="971">
        <f>industrie!M22</f>
        <v>0</v>
      </c>
      <c r="O43" s="971">
        <f>industrie!N22</f>
        <v>0</v>
      </c>
      <c r="P43" s="971">
        <f>industrie!O22</f>
        <v>0</v>
      </c>
      <c r="Q43" s="740">
        <f>industrie!P22</f>
        <v>0</v>
      </c>
      <c r="R43" s="815">
        <f t="shared" ca="1" si="4"/>
        <v>1754.5810724790897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9318.6783577548085</v>
      </c>
      <c r="D46" s="698">
        <f t="shared" ref="D46:Q46" ca="1" si="5">SUM(D39:D45)</f>
        <v>0</v>
      </c>
      <c r="E46" s="698">
        <f t="shared" ca="1" si="5"/>
        <v>9878.4367408665985</v>
      </c>
      <c r="F46" s="698">
        <f t="shared" si="5"/>
        <v>575.61402602633848</v>
      </c>
      <c r="G46" s="698">
        <f t="shared" ca="1" si="5"/>
        <v>14215.967953310184</v>
      </c>
      <c r="H46" s="698">
        <f t="shared" si="5"/>
        <v>0</v>
      </c>
      <c r="I46" s="698">
        <f t="shared" si="5"/>
        <v>0</v>
      </c>
      <c r="J46" s="698">
        <f t="shared" si="5"/>
        <v>0</v>
      </c>
      <c r="K46" s="698">
        <f t="shared" si="5"/>
        <v>89.294404083135447</v>
      </c>
      <c r="L46" s="698">
        <f t="shared" si="5"/>
        <v>0</v>
      </c>
      <c r="M46" s="698">
        <f t="shared" ca="1" si="5"/>
        <v>0</v>
      </c>
      <c r="N46" s="698">
        <f t="shared" si="5"/>
        <v>0</v>
      </c>
      <c r="O46" s="698">
        <f t="shared" ca="1" si="5"/>
        <v>0</v>
      </c>
      <c r="P46" s="698">
        <f t="shared" si="5"/>
        <v>0</v>
      </c>
      <c r="Q46" s="698">
        <f t="shared" si="5"/>
        <v>0</v>
      </c>
      <c r="R46" s="698">
        <f ca="1">SUM(R39:R45)</f>
        <v>34077.991482041063</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3.507094093936332</v>
      </c>
      <c r="D49" s="971">
        <f ca="1">transport!C58</f>
        <v>0</v>
      </c>
      <c r="E49" s="971">
        <f>transport!D58</f>
        <v>0</v>
      </c>
      <c r="F49" s="971">
        <f>transport!E58</f>
        <v>0</v>
      </c>
      <c r="G49" s="971">
        <f>transport!F58</f>
        <v>0</v>
      </c>
      <c r="H49" s="971">
        <f>transport!G58</f>
        <v>436.32678264658762</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439.83387674052398</v>
      </c>
    </row>
    <row r="50" spans="1:18">
      <c r="A50" s="791" t="s">
        <v>295</v>
      </c>
      <c r="B50" s="801"/>
      <c r="C50" s="669">
        <f ca="1">transport!B18</f>
        <v>6.8818005390507793</v>
      </c>
      <c r="D50" s="669">
        <f>transport!C18</f>
        <v>0</v>
      </c>
      <c r="E50" s="669">
        <f>transport!D18</f>
        <v>13.071880069036096</v>
      </c>
      <c r="F50" s="669">
        <f>transport!E18</f>
        <v>25.232645406016719</v>
      </c>
      <c r="G50" s="669">
        <f>transport!F18</f>
        <v>0</v>
      </c>
      <c r="H50" s="669">
        <f>transport!G18</f>
        <v>12142.563690076422</v>
      </c>
      <c r="I50" s="669">
        <f>transport!H18</f>
        <v>2573.4055366234693</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14761.155552713995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10.38889463298711</v>
      </c>
      <c r="D52" s="698">
        <f t="shared" ref="D52:Q52" ca="1" si="6">SUM(D48:D51)</f>
        <v>0</v>
      </c>
      <c r="E52" s="698">
        <f t="shared" si="6"/>
        <v>13.071880069036096</v>
      </c>
      <c r="F52" s="698">
        <f t="shared" si="6"/>
        <v>25.232645406016719</v>
      </c>
      <c r="G52" s="698">
        <f t="shared" si="6"/>
        <v>0</v>
      </c>
      <c r="H52" s="698">
        <f t="shared" si="6"/>
        <v>12578.890472723009</v>
      </c>
      <c r="I52" s="698">
        <f t="shared" si="6"/>
        <v>2573.4055366234693</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15200.989429454519</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137.92324151786076</v>
      </c>
      <c r="D54" s="669">
        <f ca="1">+landbouw!C12</f>
        <v>0</v>
      </c>
      <c r="E54" s="669">
        <f>+landbouw!D12</f>
        <v>3.4544588469404114</v>
      </c>
      <c r="F54" s="669">
        <f>+landbouw!E12</f>
        <v>4.5646798633648578</v>
      </c>
      <c r="G54" s="669">
        <f>+landbouw!F12</f>
        <v>760.9649316132618</v>
      </c>
      <c r="H54" s="669">
        <f>+landbouw!G12</f>
        <v>0</v>
      </c>
      <c r="I54" s="669">
        <f>+landbouw!H12</f>
        <v>0</v>
      </c>
      <c r="J54" s="669">
        <f>+landbouw!I12</f>
        <v>0</v>
      </c>
      <c r="K54" s="669">
        <f>+landbouw!J12</f>
        <v>35.087063798790979</v>
      </c>
      <c r="L54" s="669">
        <f>+landbouw!K12</f>
        <v>0</v>
      </c>
      <c r="M54" s="669">
        <f>+landbouw!L12</f>
        <v>0</v>
      </c>
      <c r="N54" s="669">
        <f>+landbouw!M12</f>
        <v>0</v>
      </c>
      <c r="O54" s="669">
        <f>+landbouw!N12</f>
        <v>0</v>
      </c>
      <c r="P54" s="669">
        <f>+landbouw!O12</f>
        <v>0</v>
      </c>
      <c r="Q54" s="670">
        <f>+landbouw!P12</f>
        <v>0</v>
      </c>
      <c r="R54" s="697">
        <f ca="1">SUM(C54:Q54)</f>
        <v>941.99437564021878</v>
      </c>
    </row>
    <row r="55" spans="1:18" ht="15" thickBot="1">
      <c r="A55" s="791" t="s">
        <v>802</v>
      </c>
      <c r="B55" s="801"/>
      <c r="C55" s="669">
        <f ca="1">C25*'EF ele_warmte'!B12</f>
        <v>147.15209613964663</v>
      </c>
      <c r="D55" s="669"/>
      <c r="E55" s="669">
        <f>E25*EF_CO2_aardgas</f>
        <v>406.26332771529394</v>
      </c>
      <c r="F55" s="669"/>
      <c r="G55" s="669"/>
      <c r="H55" s="669"/>
      <c r="I55" s="669"/>
      <c r="J55" s="669"/>
      <c r="K55" s="669"/>
      <c r="L55" s="669"/>
      <c r="M55" s="669"/>
      <c r="N55" s="669"/>
      <c r="O55" s="669"/>
      <c r="P55" s="669"/>
      <c r="Q55" s="670"/>
      <c r="R55" s="697">
        <f ca="1">SUM(C55:Q55)</f>
        <v>553.41542385494063</v>
      </c>
    </row>
    <row r="56" spans="1:18" ht="15.75" thickBot="1">
      <c r="A56" s="789" t="s">
        <v>803</v>
      </c>
      <c r="B56" s="802"/>
      <c r="C56" s="698">
        <f ca="1">SUM(C54:C55)</f>
        <v>285.07533765750736</v>
      </c>
      <c r="D56" s="698">
        <f t="shared" ref="D56:Q56" ca="1" si="7">SUM(D54:D55)</f>
        <v>0</v>
      </c>
      <c r="E56" s="698">
        <f t="shared" si="7"/>
        <v>409.71778656223432</v>
      </c>
      <c r="F56" s="698">
        <f t="shared" si="7"/>
        <v>4.5646798633648578</v>
      </c>
      <c r="G56" s="698">
        <f t="shared" si="7"/>
        <v>760.9649316132618</v>
      </c>
      <c r="H56" s="698">
        <f t="shared" si="7"/>
        <v>0</v>
      </c>
      <c r="I56" s="698">
        <f t="shared" si="7"/>
        <v>0</v>
      </c>
      <c r="J56" s="698">
        <f t="shared" si="7"/>
        <v>0</v>
      </c>
      <c r="K56" s="698">
        <f t="shared" si="7"/>
        <v>35.087063798790979</v>
      </c>
      <c r="L56" s="698">
        <f t="shared" si="7"/>
        <v>0</v>
      </c>
      <c r="M56" s="698">
        <f t="shared" si="7"/>
        <v>0</v>
      </c>
      <c r="N56" s="698">
        <f t="shared" si="7"/>
        <v>0</v>
      </c>
      <c r="O56" s="698">
        <f t="shared" si="7"/>
        <v>0</v>
      </c>
      <c r="P56" s="698">
        <f t="shared" si="7"/>
        <v>0</v>
      </c>
      <c r="Q56" s="699">
        <f t="shared" si="7"/>
        <v>0</v>
      </c>
      <c r="R56" s="700">
        <f ca="1">SUM(R54:R55)</f>
        <v>1495.4097994951594</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9614.1425900453032</v>
      </c>
      <c r="D61" s="706">
        <f t="shared" ref="D61:Q61" ca="1" si="8">D46+D52+D56</f>
        <v>0</v>
      </c>
      <c r="E61" s="706">
        <f t="shared" ca="1" si="8"/>
        <v>10301.226407497868</v>
      </c>
      <c r="F61" s="706">
        <f t="shared" si="8"/>
        <v>605.41135129572001</v>
      </c>
      <c r="G61" s="706">
        <f t="shared" ca="1" si="8"/>
        <v>14976.932884923446</v>
      </c>
      <c r="H61" s="706">
        <f t="shared" si="8"/>
        <v>12578.890472723009</v>
      </c>
      <c r="I61" s="706">
        <f t="shared" si="8"/>
        <v>2573.4055366234693</v>
      </c>
      <c r="J61" s="706">
        <f t="shared" si="8"/>
        <v>0</v>
      </c>
      <c r="K61" s="706">
        <f t="shared" si="8"/>
        <v>124.38146788192643</v>
      </c>
      <c r="L61" s="706">
        <f t="shared" si="8"/>
        <v>0</v>
      </c>
      <c r="M61" s="706">
        <f t="shared" ca="1" si="8"/>
        <v>0</v>
      </c>
      <c r="N61" s="706">
        <f t="shared" si="8"/>
        <v>0</v>
      </c>
      <c r="O61" s="706">
        <f t="shared" ca="1" si="8"/>
        <v>0</v>
      </c>
      <c r="P61" s="706">
        <f t="shared" si="8"/>
        <v>0</v>
      </c>
      <c r="Q61" s="706">
        <f t="shared" si="8"/>
        <v>0</v>
      </c>
      <c r="R61" s="706">
        <f ca="1">R46+R52+R56</f>
        <v>50774.390710990745</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0.20160333220681032</v>
      </c>
      <c r="D63" s="747">
        <f t="shared" ca="1" si="9"/>
        <v>0</v>
      </c>
      <c r="E63" s="982">
        <f t="shared" ca="1" si="9"/>
        <v>0.20199999999999999</v>
      </c>
      <c r="F63" s="747">
        <f t="shared" si="9"/>
        <v>0.22700000000000001</v>
      </c>
      <c r="G63" s="747">
        <f t="shared" ca="1" si="9"/>
        <v>0.26700000000000007</v>
      </c>
      <c r="H63" s="747">
        <f t="shared" si="9"/>
        <v>0.26700000000000002</v>
      </c>
      <c r="I63" s="747">
        <f t="shared" si="9"/>
        <v>0.24899999999999997</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4185.5034757371013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4185.5034757371013</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26937.112871513837</v>
      </c>
      <c r="C4" s="443">
        <f>huishoudens!C8</f>
        <v>0</v>
      </c>
      <c r="D4" s="443">
        <f>huishoudens!D8</f>
        <v>37393.089685026585</v>
      </c>
      <c r="E4" s="443">
        <f>huishoudens!E8</f>
        <v>1961.9100832612844</v>
      </c>
      <c r="F4" s="443">
        <f>huishoudens!F8</f>
        <v>49706.007210561293</v>
      </c>
      <c r="G4" s="443">
        <f>huishoudens!G8</f>
        <v>0</v>
      </c>
      <c r="H4" s="443">
        <f>huishoudens!H8</f>
        <v>0</v>
      </c>
      <c r="I4" s="443">
        <f>huishoudens!I8</f>
        <v>0</v>
      </c>
      <c r="J4" s="443">
        <f>huishoudens!J8</f>
        <v>239.17973012049669</v>
      </c>
      <c r="K4" s="443">
        <f>huishoudens!K8</f>
        <v>0</v>
      </c>
      <c r="L4" s="443">
        <f>huishoudens!L8</f>
        <v>0</v>
      </c>
      <c r="M4" s="443">
        <f>huishoudens!M8</f>
        <v>0</v>
      </c>
      <c r="N4" s="443">
        <f>huishoudens!N8</f>
        <v>8957.8622044220356</v>
      </c>
      <c r="O4" s="443">
        <f>huishoudens!O8</f>
        <v>275.1466666666667</v>
      </c>
      <c r="P4" s="444">
        <f>huishoudens!P8</f>
        <v>1239.3333333333333</v>
      </c>
      <c r="Q4" s="445">
        <f>SUM(B4:P4)</f>
        <v>126709.64178490553</v>
      </c>
    </row>
    <row r="5" spans="1:17">
      <c r="A5" s="442" t="s">
        <v>149</v>
      </c>
      <c r="B5" s="443">
        <f ca="1">tertiair!B16</f>
        <v>12893.286067561286</v>
      </c>
      <c r="C5" s="443">
        <f ca="1">tertiair!C16</f>
        <v>0</v>
      </c>
      <c r="D5" s="443">
        <f ca="1">tertiair!D16</f>
        <v>10185.061474632364</v>
      </c>
      <c r="E5" s="443">
        <f>tertiair!E16</f>
        <v>189.52628636484309</v>
      </c>
      <c r="F5" s="443">
        <f ca="1">tertiair!F16</f>
        <v>2249.2458844957864</v>
      </c>
      <c r="G5" s="443">
        <f>tertiair!G16</f>
        <v>0</v>
      </c>
      <c r="H5" s="443">
        <f>tertiair!H16</f>
        <v>0</v>
      </c>
      <c r="I5" s="443">
        <f>tertiair!I16</f>
        <v>0</v>
      </c>
      <c r="J5" s="443">
        <f>tertiair!J16</f>
        <v>2.8425318873126309E-2</v>
      </c>
      <c r="K5" s="443">
        <f>tertiair!K16</f>
        <v>0</v>
      </c>
      <c r="L5" s="443">
        <f ca="1">tertiair!L16</f>
        <v>0</v>
      </c>
      <c r="M5" s="443">
        <f>tertiair!M16</f>
        <v>0</v>
      </c>
      <c r="N5" s="443">
        <f ca="1">tertiair!N16</f>
        <v>1136.4577451341781</v>
      </c>
      <c r="O5" s="443">
        <f>tertiair!O16</f>
        <v>3.1266666666666669</v>
      </c>
      <c r="P5" s="444">
        <f>tertiair!P16</f>
        <v>76.266666666666666</v>
      </c>
      <c r="Q5" s="442">
        <f t="shared" ref="Q5:Q14" ca="1" si="0">SUM(B5:P5)</f>
        <v>26732.999216840668</v>
      </c>
    </row>
    <row r="6" spans="1:17">
      <c r="A6" s="442" t="s">
        <v>187</v>
      </c>
      <c r="B6" s="443">
        <f>'openbare verlichting'!B8</f>
        <v>1178.425</v>
      </c>
      <c r="C6" s="443"/>
      <c r="D6" s="443"/>
      <c r="E6" s="443"/>
      <c r="F6" s="443"/>
      <c r="G6" s="443"/>
      <c r="H6" s="443"/>
      <c r="I6" s="443"/>
      <c r="J6" s="443"/>
      <c r="K6" s="443"/>
      <c r="L6" s="443"/>
      <c r="M6" s="443"/>
      <c r="N6" s="443"/>
      <c r="O6" s="443"/>
      <c r="P6" s="444"/>
      <c r="Q6" s="442">
        <f t="shared" si="0"/>
        <v>1178.425</v>
      </c>
    </row>
    <row r="7" spans="1:17">
      <c r="A7" s="442" t="s">
        <v>105</v>
      </c>
      <c r="B7" s="443">
        <f>landbouw!B8</f>
        <v>684.13175520519303</v>
      </c>
      <c r="C7" s="443">
        <f>landbouw!C8</f>
        <v>0</v>
      </c>
      <c r="D7" s="443">
        <f>landbouw!D8</f>
        <v>17.101281420497084</v>
      </c>
      <c r="E7" s="443">
        <f>landbouw!E8</f>
        <v>20.108721865043425</v>
      </c>
      <c r="F7" s="443">
        <f>landbouw!F8</f>
        <v>2850.055923645175</v>
      </c>
      <c r="G7" s="443">
        <f>landbouw!G8</f>
        <v>0</v>
      </c>
      <c r="H7" s="443">
        <f>landbouw!H8</f>
        <v>0</v>
      </c>
      <c r="I7" s="443">
        <f>landbouw!I8</f>
        <v>0</v>
      </c>
      <c r="J7" s="443">
        <f>landbouw!J8</f>
        <v>99.115999431612948</v>
      </c>
      <c r="K7" s="443">
        <f>landbouw!K8</f>
        <v>0</v>
      </c>
      <c r="L7" s="443">
        <f>landbouw!L8</f>
        <v>0</v>
      </c>
      <c r="M7" s="443">
        <f>landbouw!M8</f>
        <v>0</v>
      </c>
      <c r="N7" s="443">
        <f>landbouw!N8</f>
        <v>0</v>
      </c>
      <c r="O7" s="443">
        <f>landbouw!O8</f>
        <v>0</v>
      </c>
      <c r="P7" s="444">
        <f>landbouw!P8</f>
        <v>0</v>
      </c>
      <c r="Q7" s="442">
        <f t="shared" si="0"/>
        <v>3670.5136815675214</v>
      </c>
    </row>
    <row r="8" spans="1:17">
      <c r="A8" s="442" t="s">
        <v>621</v>
      </c>
      <c r="B8" s="443">
        <f>industrie!B18</f>
        <v>5214.0150177504966</v>
      </c>
      <c r="C8" s="443">
        <f>industrie!C18</f>
        <v>0</v>
      </c>
      <c r="D8" s="443">
        <f>industrie!D18</f>
        <v>1325.0010228489627</v>
      </c>
      <c r="E8" s="443">
        <f>industrie!E18</f>
        <v>384.30823841941617</v>
      </c>
      <c r="F8" s="443">
        <f>industrie!F18</f>
        <v>1288.0725727713179</v>
      </c>
      <c r="G8" s="443">
        <f>industrie!G18</f>
        <v>0</v>
      </c>
      <c r="H8" s="443">
        <f>industrie!H18</f>
        <v>0</v>
      </c>
      <c r="I8" s="443">
        <f>industrie!I18</f>
        <v>0</v>
      </c>
      <c r="J8" s="443">
        <f>industrie!J18</f>
        <v>13.035923891521309</v>
      </c>
      <c r="K8" s="443">
        <f>industrie!K18</f>
        <v>0</v>
      </c>
      <c r="L8" s="443">
        <f>industrie!L18</f>
        <v>0</v>
      </c>
      <c r="M8" s="443">
        <f>industrie!M18</f>
        <v>0</v>
      </c>
      <c r="N8" s="443">
        <f>industrie!N18</f>
        <v>341.49941686301361</v>
      </c>
      <c r="O8" s="443">
        <f>industrie!O18</f>
        <v>0</v>
      </c>
      <c r="P8" s="444">
        <f>industrie!P18</f>
        <v>0</v>
      </c>
      <c r="Q8" s="442">
        <f t="shared" si="0"/>
        <v>8565.9321925447257</v>
      </c>
    </row>
    <row r="9" spans="1:17" s="448" customFormat="1">
      <c r="A9" s="446" t="s">
        <v>547</v>
      </c>
      <c r="B9" s="447">
        <f>transport!B14</f>
        <v>34.135351155759849</v>
      </c>
      <c r="C9" s="447">
        <f>transport!C14</f>
        <v>0</v>
      </c>
      <c r="D9" s="447">
        <f>transport!D14</f>
        <v>64.712277569485622</v>
      </c>
      <c r="E9" s="447">
        <f>transport!E14</f>
        <v>111.15702822033796</v>
      </c>
      <c r="F9" s="447">
        <f>transport!F14</f>
        <v>0</v>
      </c>
      <c r="G9" s="447">
        <f>transport!G14</f>
        <v>45477.766629499703</v>
      </c>
      <c r="H9" s="447">
        <f>transport!H14</f>
        <v>10334.961994471765</v>
      </c>
      <c r="I9" s="447">
        <f>transport!I14</f>
        <v>0</v>
      </c>
      <c r="J9" s="447">
        <f>transport!J14</f>
        <v>0</v>
      </c>
      <c r="K9" s="447">
        <f>transport!K14</f>
        <v>0</v>
      </c>
      <c r="L9" s="447">
        <f>transport!L14</f>
        <v>0</v>
      </c>
      <c r="M9" s="447">
        <f>transport!M14</f>
        <v>2961.3237927951086</v>
      </c>
      <c r="N9" s="447">
        <f>transport!N14</f>
        <v>0</v>
      </c>
      <c r="O9" s="447">
        <f>transport!O14</f>
        <v>0</v>
      </c>
      <c r="P9" s="447">
        <f>transport!P14</f>
        <v>0</v>
      </c>
      <c r="Q9" s="446">
        <f>SUM(B9:P9)</f>
        <v>58984.05707371216</v>
      </c>
    </row>
    <row r="10" spans="1:17">
      <c r="A10" s="442" t="s">
        <v>537</v>
      </c>
      <c r="B10" s="443">
        <f>transport!B54</f>
        <v>17.396012533853643</v>
      </c>
      <c r="C10" s="443">
        <f>transport!C54</f>
        <v>0</v>
      </c>
      <c r="D10" s="443">
        <f>transport!D54</f>
        <v>0</v>
      </c>
      <c r="E10" s="443">
        <f>transport!E54</f>
        <v>0</v>
      </c>
      <c r="F10" s="443">
        <f>transport!F54</f>
        <v>0</v>
      </c>
      <c r="G10" s="443">
        <f>transport!G54</f>
        <v>1634.1827065415266</v>
      </c>
      <c r="H10" s="443">
        <f>transport!H54</f>
        <v>0</v>
      </c>
      <c r="I10" s="443">
        <f>transport!I54</f>
        <v>0</v>
      </c>
      <c r="J10" s="443">
        <f>transport!J54</f>
        <v>0</v>
      </c>
      <c r="K10" s="443">
        <f>transport!K54</f>
        <v>0</v>
      </c>
      <c r="L10" s="443">
        <f>transport!L54</f>
        <v>0</v>
      </c>
      <c r="M10" s="443">
        <f>transport!M54</f>
        <v>94.107675409960763</v>
      </c>
      <c r="N10" s="443">
        <f>transport!N54</f>
        <v>0</v>
      </c>
      <c r="O10" s="443">
        <f>transport!O54</f>
        <v>0</v>
      </c>
      <c r="P10" s="444">
        <f>transport!P54</f>
        <v>0</v>
      </c>
      <c r="Q10" s="442">
        <f t="shared" si="0"/>
        <v>1745.686394485341</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729.90904728049793</v>
      </c>
      <c r="C14" s="450"/>
      <c r="D14" s="450">
        <f>'SEAP template'!E25</f>
        <v>2011.20459264997</v>
      </c>
      <c r="E14" s="450"/>
      <c r="F14" s="450"/>
      <c r="G14" s="450"/>
      <c r="H14" s="450"/>
      <c r="I14" s="450"/>
      <c r="J14" s="450"/>
      <c r="K14" s="450"/>
      <c r="L14" s="450"/>
      <c r="M14" s="450"/>
      <c r="N14" s="450"/>
      <c r="O14" s="450"/>
      <c r="P14" s="451"/>
      <c r="Q14" s="442">
        <f t="shared" si="0"/>
        <v>2741.1136399304678</v>
      </c>
    </row>
    <row r="15" spans="1:17" s="452" customFormat="1">
      <c r="A15" s="997" t="s">
        <v>541</v>
      </c>
      <c r="B15" s="945">
        <f ca="1">SUM(B4:B14)</f>
        <v>47688.411123000929</v>
      </c>
      <c r="C15" s="945">
        <f t="shared" ref="C15:Q15" ca="1" si="1">SUM(C4:C14)</f>
        <v>0</v>
      </c>
      <c r="D15" s="945">
        <f t="shared" ca="1" si="1"/>
        <v>50996.170334147864</v>
      </c>
      <c r="E15" s="945">
        <f t="shared" si="1"/>
        <v>2667.0103581309249</v>
      </c>
      <c r="F15" s="945">
        <f t="shared" ca="1" si="1"/>
        <v>56093.381591473575</v>
      </c>
      <c r="G15" s="945">
        <f t="shared" si="1"/>
        <v>47111.949336041231</v>
      </c>
      <c r="H15" s="945">
        <f t="shared" si="1"/>
        <v>10334.961994471765</v>
      </c>
      <c r="I15" s="945">
        <f t="shared" si="1"/>
        <v>0</v>
      </c>
      <c r="J15" s="945">
        <f t="shared" si="1"/>
        <v>351.36007876250403</v>
      </c>
      <c r="K15" s="945">
        <f t="shared" si="1"/>
        <v>0</v>
      </c>
      <c r="L15" s="945">
        <f t="shared" ca="1" si="1"/>
        <v>0</v>
      </c>
      <c r="M15" s="945">
        <f t="shared" si="1"/>
        <v>3055.4314682050695</v>
      </c>
      <c r="N15" s="945">
        <f t="shared" ca="1" si="1"/>
        <v>10435.819366419226</v>
      </c>
      <c r="O15" s="945">
        <f t="shared" si="1"/>
        <v>278.27333333333337</v>
      </c>
      <c r="P15" s="945">
        <f t="shared" si="1"/>
        <v>1315.6</v>
      </c>
      <c r="Q15" s="945">
        <f t="shared" ca="1" si="1"/>
        <v>230328.36898398641</v>
      </c>
    </row>
    <row r="17" spans="1:17">
      <c r="A17" s="453" t="s">
        <v>542</v>
      </c>
      <c r="B17" s="752">
        <f ca="1">huishoudens!B10</f>
        <v>0.20160333220681032</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5430.6117149281499</v>
      </c>
      <c r="C22" s="443">
        <f t="shared" ref="C22:C32" ca="1" si="3">C4*$C$17</f>
        <v>0</v>
      </c>
      <c r="D22" s="443">
        <f t="shared" ref="D22:D32" si="4">D4*$D$17</f>
        <v>7553.4041163753709</v>
      </c>
      <c r="E22" s="443">
        <f t="shared" ref="E22:E32" si="5">E4*$E$17</f>
        <v>445.35358890031159</v>
      </c>
      <c r="F22" s="443">
        <f t="shared" ref="F22:F32" si="6">F4*$F$17</f>
        <v>13271.503925219866</v>
      </c>
      <c r="G22" s="443">
        <f t="shared" ref="G22:G32" si="7">G4*$G$17</f>
        <v>0</v>
      </c>
      <c r="H22" s="443">
        <f t="shared" ref="H22:H32" si="8">H4*$H$17</f>
        <v>0</v>
      </c>
      <c r="I22" s="443">
        <f t="shared" ref="I22:I32" si="9">I4*$I$17</f>
        <v>0</v>
      </c>
      <c r="J22" s="443">
        <f t="shared" ref="J22:J32" si="10">J4*$J$17</f>
        <v>84.669624462655818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26785.542969886355</v>
      </c>
    </row>
    <row r="23" spans="1:17">
      <c r="A23" s="442" t="s">
        <v>149</v>
      </c>
      <c r="B23" s="443">
        <f t="shared" ca="1" si="2"/>
        <v>2599.3294343159969</v>
      </c>
      <c r="C23" s="443">
        <f t="shared" ca="1" si="3"/>
        <v>0</v>
      </c>
      <c r="D23" s="443">
        <f t="shared" ca="1" si="4"/>
        <v>2057.3824178757377</v>
      </c>
      <c r="E23" s="443">
        <f t="shared" si="5"/>
        <v>43.022467004819383</v>
      </c>
      <c r="F23" s="443">
        <f t="shared" ca="1" si="6"/>
        <v>600.54865116037502</v>
      </c>
      <c r="G23" s="443">
        <f t="shared" si="7"/>
        <v>0</v>
      </c>
      <c r="H23" s="443">
        <f t="shared" si="8"/>
        <v>0</v>
      </c>
      <c r="I23" s="443">
        <f t="shared" si="9"/>
        <v>0</v>
      </c>
      <c r="J23" s="443">
        <f t="shared" si="10"/>
        <v>1.0062562881086713E-2</v>
      </c>
      <c r="K23" s="443">
        <f t="shared" si="11"/>
        <v>0</v>
      </c>
      <c r="L23" s="443">
        <f t="shared" ca="1" si="12"/>
        <v>0</v>
      </c>
      <c r="M23" s="443">
        <f t="shared" si="13"/>
        <v>0</v>
      </c>
      <c r="N23" s="443">
        <f t="shared" ca="1" si="14"/>
        <v>0</v>
      </c>
      <c r="O23" s="443">
        <f t="shared" si="15"/>
        <v>0</v>
      </c>
      <c r="P23" s="444">
        <f t="shared" si="16"/>
        <v>0</v>
      </c>
      <c r="Q23" s="442">
        <f t="shared" ref="Q23:Q32" ca="1" si="17">SUM(B23:P23)</f>
        <v>5300.2930329198098</v>
      </c>
    </row>
    <row r="24" spans="1:17">
      <c r="A24" s="442" t="s">
        <v>187</v>
      </c>
      <c r="B24" s="443">
        <f t="shared" ca="1" si="2"/>
        <v>237.57440675581043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237.57440675581043</v>
      </c>
    </row>
    <row r="25" spans="1:17">
      <c r="A25" s="442" t="s">
        <v>105</v>
      </c>
      <c r="B25" s="443">
        <f t="shared" ca="1" si="2"/>
        <v>137.92324151786076</v>
      </c>
      <c r="C25" s="443">
        <f t="shared" ca="1" si="3"/>
        <v>0</v>
      </c>
      <c r="D25" s="443">
        <f t="shared" si="4"/>
        <v>3.4544588469404114</v>
      </c>
      <c r="E25" s="443">
        <f t="shared" si="5"/>
        <v>4.5646798633648578</v>
      </c>
      <c r="F25" s="443">
        <f t="shared" si="6"/>
        <v>760.9649316132618</v>
      </c>
      <c r="G25" s="443">
        <f t="shared" si="7"/>
        <v>0</v>
      </c>
      <c r="H25" s="443">
        <f t="shared" si="8"/>
        <v>0</v>
      </c>
      <c r="I25" s="443">
        <f t="shared" si="9"/>
        <v>0</v>
      </c>
      <c r="J25" s="443">
        <f t="shared" si="10"/>
        <v>35.087063798790979</v>
      </c>
      <c r="K25" s="443">
        <f t="shared" si="11"/>
        <v>0</v>
      </c>
      <c r="L25" s="443">
        <f t="shared" si="12"/>
        <v>0</v>
      </c>
      <c r="M25" s="443">
        <f t="shared" si="13"/>
        <v>0</v>
      </c>
      <c r="N25" s="443">
        <f t="shared" si="14"/>
        <v>0</v>
      </c>
      <c r="O25" s="443">
        <f t="shared" si="15"/>
        <v>0</v>
      </c>
      <c r="P25" s="444">
        <f t="shared" si="16"/>
        <v>0</v>
      </c>
      <c r="Q25" s="442">
        <f t="shared" ca="1" si="17"/>
        <v>941.99437564021878</v>
      </c>
    </row>
    <row r="26" spans="1:17">
      <c r="A26" s="442" t="s">
        <v>621</v>
      </c>
      <c r="B26" s="443">
        <f t="shared" ca="1" si="2"/>
        <v>1051.1628017548514</v>
      </c>
      <c r="C26" s="443">
        <f t="shared" ca="1" si="3"/>
        <v>0</v>
      </c>
      <c r="D26" s="443">
        <f t="shared" si="4"/>
        <v>267.6502066154905</v>
      </c>
      <c r="E26" s="443">
        <f t="shared" si="5"/>
        <v>87.237970121207468</v>
      </c>
      <c r="F26" s="443">
        <f t="shared" si="6"/>
        <v>343.91537692994189</v>
      </c>
      <c r="G26" s="443">
        <f t="shared" si="7"/>
        <v>0</v>
      </c>
      <c r="H26" s="443">
        <f t="shared" si="8"/>
        <v>0</v>
      </c>
      <c r="I26" s="443">
        <f t="shared" si="9"/>
        <v>0</v>
      </c>
      <c r="J26" s="443">
        <f t="shared" si="10"/>
        <v>4.6147170575985434</v>
      </c>
      <c r="K26" s="443">
        <f t="shared" si="11"/>
        <v>0</v>
      </c>
      <c r="L26" s="443">
        <f t="shared" si="12"/>
        <v>0</v>
      </c>
      <c r="M26" s="443">
        <f t="shared" si="13"/>
        <v>0</v>
      </c>
      <c r="N26" s="443">
        <f t="shared" si="14"/>
        <v>0</v>
      </c>
      <c r="O26" s="443">
        <f t="shared" si="15"/>
        <v>0</v>
      </c>
      <c r="P26" s="444">
        <f t="shared" si="16"/>
        <v>0</v>
      </c>
      <c r="Q26" s="442">
        <f t="shared" ca="1" si="17"/>
        <v>1754.5810724790897</v>
      </c>
    </row>
    <row r="27" spans="1:17" s="448" customFormat="1">
      <c r="A27" s="446" t="s">
        <v>547</v>
      </c>
      <c r="B27" s="746">
        <f t="shared" ca="1" si="2"/>
        <v>6.8818005390507793</v>
      </c>
      <c r="C27" s="447">
        <f t="shared" ca="1" si="3"/>
        <v>0</v>
      </c>
      <c r="D27" s="447">
        <f t="shared" si="4"/>
        <v>13.071880069036096</v>
      </c>
      <c r="E27" s="447">
        <f t="shared" si="5"/>
        <v>25.232645406016719</v>
      </c>
      <c r="F27" s="447">
        <f t="shared" si="6"/>
        <v>0</v>
      </c>
      <c r="G27" s="447">
        <f t="shared" si="7"/>
        <v>12142.563690076422</v>
      </c>
      <c r="H27" s="447">
        <f t="shared" si="8"/>
        <v>2573.4055366234693</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14761.155552713995</v>
      </c>
    </row>
    <row r="28" spans="1:17">
      <c r="A28" s="442" t="s">
        <v>537</v>
      </c>
      <c r="B28" s="443">
        <f t="shared" ca="1" si="2"/>
        <v>3.507094093936332</v>
      </c>
      <c r="C28" s="443">
        <f t="shared" ca="1" si="3"/>
        <v>0</v>
      </c>
      <c r="D28" s="443">
        <f t="shared" si="4"/>
        <v>0</v>
      </c>
      <c r="E28" s="443">
        <f t="shared" si="5"/>
        <v>0</v>
      </c>
      <c r="F28" s="443">
        <f t="shared" si="6"/>
        <v>0</v>
      </c>
      <c r="G28" s="443">
        <f t="shared" si="7"/>
        <v>436.32678264658762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439.83387674052398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147.15209613964663</v>
      </c>
      <c r="C32" s="443">
        <f t="shared" ca="1" si="3"/>
        <v>0</v>
      </c>
      <c r="D32" s="443">
        <f t="shared" si="4"/>
        <v>406.26332771529394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553.41542385494063</v>
      </c>
    </row>
    <row r="33" spans="1:17" s="452" customFormat="1">
      <c r="A33" s="997" t="s">
        <v>541</v>
      </c>
      <c r="B33" s="945">
        <f ca="1">SUM(B22:B32)</f>
        <v>9614.142590045305</v>
      </c>
      <c r="C33" s="945">
        <f t="shared" ref="C33:Q33" ca="1" si="18">SUM(C22:C32)</f>
        <v>0</v>
      </c>
      <c r="D33" s="945">
        <f t="shared" ca="1" si="18"/>
        <v>10301.226407497868</v>
      </c>
      <c r="E33" s="945">
        <f t="shared" si="18"/>
        <v>605.4113512957199</v>
      </c>
      <c r="F33" s="945">
        <f t="shared" ca="1" si="18"/>
        <v>14976.932884923444</v>
      </c>
      <c r="G33" s="945">
        <f t="shared" si="18"/>
        <v>12578.890472723009</v>
      </c>
      <c r="H33" s="945">
        <f t="shared" si="18"/>
        <v>2573.4055366234693</v>
      </c>
      <c r="I33" s="945">
        <f t="shared" si="18"/>
        <v>0</v>
      </c>
      <c r="J33" s="945">
        <f t="shared" si="18"/>
        <v>124.38146788192643</v>
      </c>
      <c r="K33" s="945">
        <f t="shared" si="18"/>
        <v>0</v>
      </c>
      <c r="L33" s="945">
        <f t="shared" ca="1" si="18"/>
        <v>0</v>
      </c>
      <c r="M33" s="945">
        <f t="shared" si="18"/>
        <v>0</v>
      </c>
      <c r="N33" s="945">
        <f t="shared" ca="1" si="18"/>
        <v>0</v>
      </c>
      <c r="O33" s="945">
        <f t="shared" si="18"/>
        <v>0</v>
      </c>
      <c r="P33" s="945">
        <f t="shared" si="18"/>
        <v>0</v>
      </c>
      <c r="Q33" s="945">
        <f t="shared" ca="1" si="18"/>
        <v>50774.390710990738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4185.5034757371013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4185.5034757371013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0.20160333220681032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0.20160333220681032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0.20160333220681032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0.20160333220681032</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5754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1121.1300000000001</v>
      </c>
      <c r="C14" s="324"/>
      <c r="D14" s="324"/>
      <c r="E14" s="324"/>
      <c r="F14" s="324"/>
    </row>
    <row r="15" spans="1:6">
      <c r="A15" s="1289" t="s">
        <v>177</v>
      </c>
      <c r="B15" s="1290">
        <v>0</v>
      </c>
      <c r="C15" s="324"/>
      <c r="D15" s="324"/>
      <c r="E15" s="324"/>
      <c r="F15" s="324"/>
    </row>
    <row r="16" spans="1:6">
      <c r="A16" s="1289" t="s">
        <v>6</v>
      </c>
      <c r="B16" s="1290">
        <v>0</v>
      </c>
      <c r="C16" s="324"/>
      <c r="D16" s="324"/>
      <c r="E16" s="324"/>
      <c r="F16" s="324"/>
    </row>
    <row r="17" spans="1:6">
      <c r="A17" s="1289" t="s">
        <v>7</v>
      </c>
      <c r="B17" s="1290">
        <v>188</v>
      </c>
      <c r="C17" s="324"/>
      <c r="D17" s="324"/>
      <c r="E17" s="324"/>
      <c r="F17" s="324"/>
    </row>
    <row r="18" spans="1:6">
      <c r="A18" s="1289" t="s">
        <v>8</v>
      </c>
      <c r="B18" s="1290">
        <v>290</v>
      </c>
      <c r="C18" s="324"/>
      <c r="D18" s="324"/>
      <c r="E18" s="324"/>
      <c r="F18" s="324"/>
    </row>
    <row r="19" spans="1:6">
      <c r="A19" s="1289" t="s">
        <v>9</v>
      </c>
      <c r="B19" s="1290">
        <v>656</v>
      </c>
      <c r="C19" s="324"/>
      <c r="D19" s="324"/>
      <c r="E19" s="324"/>
      <c r="F19" s="324"/>
    </row>
    <row r="20" spans="1:6">
      <c r="A20" s="1289" t="s">
        <v>10</v>
      </c>
      <c r="B20" s="1290">
        <v>144</v>
      </c>
      <c r="C20" s="324"/>
      <c r="D20" s="324"/>
      <c r="E20" s="324"/>
      <c r="F20" s="324"/>
    </row>
    <row r="21" spans="1:6">
      <c r="A21" s="1289" t="s">
        <v>11</v>
      </c>
      <c r="B21" s="1290">
        <v>1396</v>
      </c>
      <c r="C21" s="324"/>
      <c r="D21" s="324"/>
      <c r="E21" s="324"/>
      <c r="F21" s="324"/>
    </row>
    <row r="22" spans="1:6">
      <c r="A22" s="1289" t="s">
        <v>12</v>
      </c>
      <c r="B22" s="1290">
        <v>3404</v>
      </c>
      <c r="C22" s="324"/>
      <c r="D22" s="324"/>
      <c r="E22" s="324"/>
      <c r="F22" s="324"/>
    </row>
    <row r="23" spans="1:6">
      <c r="A23" s="1289" t="s">
        <v>13</v>
      </c>
      <c r="B23" s="1290">
        <v>21</v>
      </c>
      <c r="C23" s="324"/>
      <c r="D23" s="324"/>
      <c r="E23" s="324"/>
      <c r="F23" s="324"/>
    </row>
    <row r="24" spans="1:6">
      <c r="A24" s="1289" t="s">
        <v>14</v>
      </c>
      <c r="B24" s="1290">
        <v>2</v>
      </c>
      <c r="C24" s="324"/>
      <c r="D24" s="324"/>
      <c r="E24" s="324"/>
      <c r="F24" s="324"/>
    </row>
    <row r="25" spans="1:6">
      <c r="A25" s="1289" t="s">
        <v>15</v>
      </c>
      <c r="B25" s="1290">
        <v>289</v>
      </c>
      <c r="C25" s="324"/>
      <c r="D25" s="324"/>
      <c r="E25" s="324"/>
      <c r="F25" s="324"/>
    </row>
    <row r="26" spans="1:6">
      <c r="A26" s="1289" t="s">
        <v>16</v>
      </c>
      <c r="B26" s="1290">
        <v>19</v>
      </c>
      <c r="C26" s="324"/>
      <c r="D26" s="324"/>
      <c r="E26" s="324"/>
      <c r="F26" s="324"/>
    </row>
    <row r="27" spans="1:6">
      <c r="A27" s="1289" t="s">
        <v>17</v>
      </c>
      <c r="B27" s="1290">
        <v>2</v>
      </c>
      <c r="C27" s="324"/>
      <c r="D27" s="324"/>
      <c r="E27" s="324"/>
      <c r="F27" s="324"/>
    </row>
    <row r="28" spans="1:6">
      <c r="A28" s="1289" t="s">
        <v>18</v>
      </c>
      <c r="B28" s="1291">
        <v>10</v>
      </c>
      <c r="C28" s="324"/>
      <c r="D28" s="324"/>
      <c r="E28" s="324"/>
      <c r="F28" s="324"/>
    </row>
    <row r="29" spans="1:6">
      <c r="A29" s="1289" t="s">
        <v>716</v>
      </c>
      <c r="B29" s="1291">
        <v>112</v>
      </c>
      <c r="C29" s="324"/>
      <c r="D29" s="324"/>
      <c r="E29" s="324"/>
      <c r="F29" s="324"/>
    </row>
    <row r="30" spans="1:6">
      <c r="A30" s="1284" t="s">
        <v>717</v>
      </c>
      <c r="B30" s="1292">
        <v>22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2</v>
      </c>
      <c r="D38" s="1290">
        <v>173453.91914462199</v>
      </c>
      <c r="E38" s="1290">
        <v>1</v>
      </c>
      <c r="F38" s="1290">
        <v>30444.759827041002</v>
      </c>
    </row>
    <row r="39" spans="1:6">
      <c r="A39" s="1289" t="s">
        <v>29</v>
      </c>
      <c r="B39" s="1289" t="s">
        <v>30</v>
      </c>
      <c r="C39" s="1290">
        <v>2438</v>
      </c>
      <c r="D39" s="1290">
        <v>41455753.531071603</v>
      </c>
      <c r="E39" s="1290">
        <v>5705</v>
      </c>
      <c r="F39" s="1290">
        <v>23469271.354655098</v>
      </c>
    </row>
    <row r="40" spans="1:6">
      <c r="A40" s="1289" t="s">
        <v>29</v>
      </c>
      <c r="B40" s="1289" t="s">
        <v>28</v>
      </c>
      <c r="C40" s="1290">
        <v>0</v>
      </c>
      <c r="D40" s="1290">
        <v>0</v>
      </c>
      <c r="E40" s="1290">
        <v>0</v>
      </c>
      <c r="F40" s="1290">
        <v>0</v>
      </c>
    </row>
    <row r="41" spans="1:6">
      <c r="A41" s="1289" t="s">
        <v>31</v>
      </c>
      <c r="B41" s="1289" t="s">
        <v>32</v>
      </c>
      <c r="C41" s="1290">
        <v>28</v>
      </c>
      <c r="D41" s="1290">
        <v>635095.89936420799</v>
      </c>
      <c r="E41" s="1290">
        <v>76</v>
      </c>
      <c r="F41" s="1290">
        <v>600744.144518991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14</v>
      </c>
      <c r="F44" s="1290">
        <v>808585.74398181203</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4</v>
      </c>
      <c r="F47" s="1290">
        <v>47028.252464871402</v>
      </c>
    </row>
    <row r="48" spans="1:6">
      <c r="A48" s="1289" t="s">
        <v>31</v>
      </c>
      <c r="B48" s="1289" t="s">
        <v>28</v>
      </c>
      <c r="C48" s="1290">
        <v>14</v>
      </c>
      <c r="D48" s="1290">
        <v>833863.10601158196</v>
      </c>
      <c r="E48" s="1290">
        <v>34</v>
      </c>
      <c r="F48" s="1290">
        <v>3639307.18839673</v>
      </c>
    </row>
    <row r="49" spans="1:6">
      <c r="A49" s="1289" t="s">
        <v>31</v>
      </c>
      <c r="B49" s="1289" t="s">
        <v>39</v>
      </c>
      <c r="C49" s="1290">
        <v>0</v>
      </c>
      <c r="D49" s="1290">
        <v>0</v>
      </c>
      <c r="E49" s="1290">
        <v>0</v>
      </c>
      <c r="F49" s="1290">
        <v>0</v>
      </c>
    </row>
    <row r="50" spans="1:6">
      <c r="A50" s="1289" t="s">
        <v>31</v>
      </c>
      <c r="B50" s="1289" t="s">
        <v>40</v>
      </c>
      <c r="C50" s="1290">
        <v>0</v>
      </c>
      <c r="D50" s="1290">
        <v>0</v>
      </c>
      <c r="E50" s="1290">
        <v>6</v>
      </c>
      <c r="F50" s="1290">
        <v>118349.68838809201</v>
      </c>
    </row>
    <row r="51" spans="1:6">
      <c r="A51" s="1289" t="s">
        <v>41</v>
      </c>
      <c r="B51" s="1289" t="s">
        <v>42</v>
      </c>
      <c r="C51" s="1290">
        <v>0</v>
      </c>
      <c r="D51" s="1290">
        <v>0</v>
      </c>
      <c r="E51" s="1290">
        <v>26</v>
      </c>
      <c r="F51" s="1290">
        <v>491683.90275487601</v>
      </c>
    </row>
    <row r="52" spans="1:6">
      <c r="A52" s="1289" t="s">
        <v>41</v>
      </c>
      <c r="B52" s="1289" t="s">
        <v>28</v>
      </c>
      <c r="C52" s="1290">
        <v>1</v>
      </c>
      <c r="D52" s="1290">
        <v>18959.292040462398</v>
      </c>
      <c r="E52" s="1290">
        <v>10</v>
      </c>
      <c r="F52" s="1290">
        <v>192447.852450317</v>
      </c>
    </row>
    <row r="53" spans="1:6">
      <c r="A53" s="1289" t="s">
        <v>43</v>
      </c>
      <c r="B53" s="1289" t="s">
        <v>44</v>
      </c>
      <c r="C53" s="1290">
        <v>72</v>
      </c>
      <c r="D53" s="1290">
        <v>2011204.59264997</v>
      </c>
      <c r="E53" s="1290">
        <v>175</v>
      </c>
      <c r="F53" s="1290">
        <v>729909.04728049797</v>
      </c>
    </row>
    <row r="54" spans="1:6">
      <c r="A54" s="1289" t="s">
        <v>45</v>
      </c>
      <c r="B54" s="1289" t="s">
        <v>46</v>
      </c>
      <c r="C54" s="1290">
        <v>0</v>
      </c>
      <c r="D54" s="1290">
        <v>0</v>
      </c>
      <c r="E54" s="1290">
        <v>1</v>
      </c>
      <c r="F54" s="1290">
        <v>1178425</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10</v>
      </c>
      <c r="D57" s="1290">
        <v>661499.78171191295</v>
      </c>
      <c r="E57" s="1290">
        <v>68</v>
      </c>
      <c r="F57" s="1290">
        <v>1000049.9731037</v>
      </c>
    </row>
    <row r="58" spans="1:6">
      <c r="A58" s="1289" t="s">
        <v>48</v>
      </c>
      <c r="B58" s="1289" t="s">
        <v>50</v>
      </c>
      <c r="C58" s="1290">
        <v>14</v>
      </c>
      <c r="D58" s="1290">
        <v>447625.28146462602</v>
      </c>
      <c r="E58" s="1290">
        <v>45</v>
      </c>
      <c r="F58" s="1290">
        <v>558147.20221770101</v>
      </c>
    </row>
    <row r="59" spans="1:6">
      <c r="A59" s="1289" t="s">
        <v>48</v>
      </c>
      <c r="B59" s="1289" t="s">
        <v>51</v>
      </c>
      <c r="C59" s="1290">
        <v>32</v>
      </c>
      <c r="D59" s="1290">
        <v>1181625.92630742</v>
      </c>
      <c r="E59" s="1290">
        <v>90</v>
      </c>
      <c r="F59" s="1290">
        <v>3579997.9923989102</v>
      </c>
    </row>
    <row r="60" spans="1:6">
      <c r="A60" s="1289" t="s">
        <v>48</v>
      </c>
      <c r="B60" s="1289" t="s">
        <v>52</v>
      </c>
      <c r="C60" s="1290">
        <v>27</v>
      </c>
      <c r="D60" s="1290">
        <v>1272879.51434182</v>
      </c>
      <c r="E60" s="1290">
        <v>54</v>
      </c>
      <c r="F60" s="1290">
        <v>1114591.38113643</v>
      </c>
    </row>
    <row r="61" spans="1:6">
      <c r="A61" s="1289" t="s">
        <v>48</v>
      </c>
      <c r="B61" s="1289" t="s">
        <v>53</v>
      </c>
      <c r="C61" s="1290">
        <v>66</v>
      </c>
      <c r="D61" s="1290">
        <v>3010119.9050720502</v>
      </c>
      <c r="E61" s="1290">
        <v>275</v>
      </c>
      <c r="F61" s="1290">
        <v>3334632.6359738698</v>
      </c>
    </row>
    <row r="62" spans="1:6">
      <c r="A62" s="1289" t="s">
        <v>48</v>
      </c>
      <c r="B62" s="1289" t="s">
        <v>54</v>
      </c>
      <c r="C62" s="1290">
        <v>4</v>
      </c>
      <c r="D62" s="1290">
        <v>430890.54256750603</v>
      </c>
      <c r="E62" s="1290">
        <v>9</v>
      </c>
      <c r="F62" s="1290">
        <v>531518.73909614503</v>
      </c>
    </row>
    <row r="63" spans="1:6">
      <c r="A63" s="1289" t="s">
        <v>48</v>
      </c>
      <c r="B63" s="1289" t="s">
        <v>28</v>
      </c>
      <c r="C63" s="1290">
        <v>83</v>
      </c>
      <c r="D63" s="1290">
        <v>4287001.4816082399</v>
      </c>
      <c r="E63" s="1290">
        <v>99</v>
      </c>
      <c r="F63" s="1290">
        <v>2774348.1436345298</v>
      </c>
    </row>
    <row r="64" spans="1:6">
      <c r="A64" s="1289" t="s">
        <v>55</v>
      </c>
      <c r="B64" s="1289" t="s">
        <v>56</v>
      </c>
      <c r="C64" s="1290">
        <v>0</v>
      </c>
      <c r="D64" s="1290">
        <v>0</v>
      </c>
      <c r="E64" s="1290">
        <v>0</v>
      </c>
      <c r="F64" s="1290">
        <v>0</v>
      </c>
    </row>
    <row r="65" spans="1:6">
      <c r="A65" s="1289" t="s">
        <v>55</v>
      </c>
      <c r="B65" s="1289" t="s">
        <v>28</v>
      </c>
      <c r="C65" s="1290">
        <v>3</v>
      </c>
      <c r="D65" s="1290">
        <v>80531.588672230995</v>
      </c>
      <c r="E65" s="1290">
        <v>0</v>
      </c>
      <c r="F65" s="1290">
        <v>0</v>
      </c>
    </row>
    <row r="66" spans="1:6">
      <c r="A66" s="1289" t="s">
        <v>55</v>
      </c>
      <c r="B66" s="1289" t="s">
        <v>57</v>
      </c>
      <c r="C66" s="1290">
        <v>0</v>
      </c>
      <c r="D66" s="1290">
        <v>0</v>
      </c>
      <c r="E66" s="1290">
        <v>4</v>
      </c>
      <c r="F66" s="1290">
        <v>13281</v>
      </c>
    </row>
    <row r="67" spans="1:6">
      <c r="A67" s="1289" t="s">
        <v>55</v>
      </c>
      <c r="B67" s="1289" t="s">
        <v>58</v>
      </c>
      <c r="C67" s="1290">
        <v>0</v>
      </c>
      <c r="D67" s="1290">
        <v>0</v>
      </c>
      <c r="E67" s="1290">
        <v>0</v>
      </c>
      <c r="F67" s="1290">
        <v>0</v>
      </c>
    </row>
    <row r="68" spans="1:6">
      <c r="A68" s="1284" t="s">
        <v>55</v>
      </c>
      <c r="B68" s="1284" t="s">
        <v>59</v>
      </c>
      <c r="C68" s="1292">
        <v>0</v>
      </c>
      <c r="D68" s="1292">
        <v>0</v>
      </c>
      <c r="E68" s="1292">
        <v>9</v>
      </c>
      <c r="F68" s="1292">
        <v>209533.248905902</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34751253</v>
      </c>
      <c r="E73" s="441"/>
      <c r="F73" s="324"/>
    </row>
    <row r="74" spans="1:6">
      <c r="A74" s="1289" t="s">
        <v>63</v>
      </c>
      <c r="B74" s="1289" t="s">
        <v>642</v>
      </c>
      <c r="C74" s="1302" t="s">
        <v>644</v>
      </c>
      <c r="D74" s="1290">
        <v>3040086.5</v>
      </c>
      <c r="E74" s="441"/>
      <c r="F74" s="324"/>
    </row>
    <row r="75" spans="1:6">
      <c r="A75" s="1289" t="s">
        <v>64</v>
      </c>
      <c r="B75" s="1289" t="s">
        <v>641</v>
      </c>
      <c r="C75" s="1302" t="s">
        <v>645</v>
      </c>
      <c r="D75" s="1290">
        <v>26096449</v>
      </c>
      <c r="E75" s="441"/>
      <c r="F75" s="324"/>
    </row>
    <row r="76" spans="1:6">
      <c r="A76" s="1289" t="s">
        <v>64</v>
      </c>
      <c r="B76" s="1289" t="s">
        <v>642</v>
      </c>
      <c r="C76" s="1302" t="s">
        <v>646</v>
      </c>
      <c r="D76" s="1290">
        <v>1742275.5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474803</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3467.8415168587367</v>
      </c>
      <c r="C91" s="324"/>
      <c r="D91" s="324"/>
      <c r="E91" s="324"/>
      <c r="F91" s="324"/>
    </row>
    <row r="92" spans="1:6">
      <c r="A92" s="1284" t="s">
        <v>68</v>
      </c>
      <c r="B92" s="1285">
        <v>717.66195887836432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689</v>
      </c>
      <c r="C97" s="324"/>
      <c r="D97" s="324"/>
      <c r="E97" s="324"/>
      <c r="F97" s="324"/>
    </row>
    <row r="98" spans="1:6">
      <c r="A98" s="1289" t="s">
        <v>71</v>
      </c>
      <c r="B98" s="1290">
        <v>1</v>
      </c>
      <c r="C98" s="324"/>
      <c r="D98" s="324"/>
      <c r="E98" s="324"/>
      <c r="F98" s="324"/>
    </row>
    <row r="99" spans="1:6">
      <c r="A99" s="1289" t="s">
        <v>72</v>
      </c>
      <c r="B99" s="1290">
        <v>140</v>
      </c>
      <c r="C99" s="324"/>
      <c r="D99" s="324"/>
      <c r="E99" s="324"/>
      <c r="F99" s="324"/>
    </row>
    <row r="100" spans="1:6">
      <c r="A100" s="1289" t="s">
        <v>73</v>
      </c>
      <c r="B100" s="1290">
        <v>474</v>
      </c>
      <c r="C100" s="324"/>
      <c r="D100" s="324"/>
      <c r="E100" s="324"/>
      <c r="F100" s="324"/>
    </row>
    <row r="101" spans="1:6">
      <c r="A101" s="1289" t="s">
        <v>74</v>
      </c>
      <c r="B101" s="1290">
        <v>57</v>
      </c>
      <c r="C101" s="324"/>
      <c r="D101" s="324"/>
      <c r="E101" s="324"/>
      <c r="F101" s="324"/>
    </row>
    <row r="102" spans="1:6">
      <c r="A102" s="1289" t="s">
        <v>75</v>
      </c>
      <c r="B102" s="1290">
        <v>47</v>
      </c>
      <c r="C102" s="324"/>
      <c r="D102" s="324"/>
      <c r="E102" s="324"/>
      <c r="F102" s="324"/>
    </row>
    <row r="103" spans="1:6">
      <c r="A103" s="1289" t="s">
        <v>76</v>
      </c>
      <c r="B103" s="1290">
        <v>149</v>
      </c>
      <c r="C103" s="324"/>
      <c r="D103" s="324"/>
      <c r="E103" s="324"/>
      <c r="F103" s="324"/>
    </row>
    <row r="104" spans="1:6">
      <c r="A104" s="1289" t="s">
        <v>77</v>
      </c>
      <c r="B104" s="1290">
        <v>3452</v>
      </c>
      <c r="C104" s="324"/>
      <c r="D104" s="324"/>
      <c r="E104" s="324"/>
      <c r="F104" s="324"/>
    </row>
    <row r="105" spans="1:6">
      <c r="A105" s="1284" t="s">
        <v>78</v>
      </c>
      <c r="B105" s="1292">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39</v>
      </c>
      <c r="C123" s="1290">
        <v>27</v>
      </c>
      <c r="D123" s="324"/>
      <c r="E123" s="324"/>
      <c r="F123" s="324"/>
    </row>
    <row r="124" spans="1:6">
      <c r="A124" s="1289" t="s">
        <v>88</v>
      </c>
      <c r="B124" s="1290">
        <v>1</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148</v>
      </c>
      <c r="C129" s="324"/>
      <c r="D129" s="324"/>
      <c r="E129" s="324"/>
      <c r="F129" s="324"/>
    </row>
    <row r="130" spans="1:6">
      <c r="A130" s="1289" t="s">
        <v>283</v>
      </c>
      <c r="B130" s="1290">
        <v>2</v>
      </c>
      <c r="C130" s="324"/>
      <c r="D130" s="324"/>
      <c r="E130" s="324"/>
      <c r="F130" s="324"/>
    </row>
    <row r="131" spans="1:6">
      <c r="A131" s="1289" t="s">
        <v>284</v>
      </c>
      <c r="B131" s="1290">
        <v>4</v>
      </c>
      <c r="C131" s="324"/>
      <c r="D131" s="324"/>
      <c r="E131" s="324"/>
      <c r="F131" s="324"/>
    </row>
    <row r="132" spans="1:6">
      <c r="A132" s="1284" t="s">
        <v>285</v>
      </c>
      <c r="B132" s="1285">
        <v>25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47688.411123000922</v>
      </c>
      <c r="C3" s="43" t="s">
        <v>163</v>
      </c>
      <c r="D3" s="43"/>
      <c r="E3" s="154"/>
      <c r="F3" s="43"/>
      <c r="G3" s="43"/>
      <c r="H3" s="43"/>
      <c r="I3" s="43"/>
      <c r="J3" s="43"/>
      <c r="K3" s="96"/>
    </row>
    <row r="4" spans="1:11">
      <c r="A4" s="350" t="s">
        <v>164</v>
      </c>
      <c r="B4" s="49">
        <f>IF(ISERROR('SEAP template'!B78+'SEAP template'!C78),0,'SEAP template'!B78+'SEAP template'!C78)</f>
        <v>4185.5034757371013</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0.20160333220681032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1178.425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1178.425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0.20160333220681032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237.57440675581043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23469.271354655099</v>
      </c>
      <c r="C5" s="17">
        <f>IF(ISERROR('Eigen informatie GS &amp; warmtenet'!B57),0,'Eigen informatie GS &amp; warmtenet'!B57)</f>
        <v>0</v>
      </c>
      <c r="D5" s="30">
        <f>(SUM(HH_hh_gas_kWh,HH_rest_gas_kWh)/1000)*0.902</f>
        <v>37393.089685026585</v>
      </c>
      <c r="E5" s="17">
        <f>B32*B41</f>
        <v>1961.9100832612844</v>
      </c>
      <c r="F5" s="17">
        <f>B36*B45</f>
        <v>49706.007210561293</v>
      </c>
      <c r="G5" s="18"/>
      <c r="H5" s="17"/>
      <c r="I5" s="17"/>
      <c r="J5" s="17">
        <f>B35*B44+C35*C44</f>
        <v>239.17973012049669</v>
      </c>
      <c r="K5" s="17"/>
      <c r="L5" s="17"/>
      <c r="M5" s="17"/>
      <c r="N5" s="17">
        <f>B34*B43+C34*C43</f>
        <v>8957.8622044220356</v>
      </c>
      <c r="O5" s="17">
        <f>B52*B53*B54</f>
        <v>275.1466666666667</v>
      </c>
      <c r="P5" s="17">
        <f>B60*B61*B62/1000-B60*B61*B62/1000/B63</f>
        <v>1239.3333333333333</v>
      </c>
    </row>
    <row r="6" spans="1:16">
      <c r="A6" s="16" t="s">
        <v>607</v>
      </c>
      <c r="B6" s="754">
        <f>kWh_PV_kleiner_dan_10kW</f>
        <v>3467.8415168587367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26937.112871513837</v>
      </c>
      <c r="C8" s="21">
        <f>C5</f>
        <v>0</v>
      </c>
      <c r="D8" s="21">
        <f>D5</f>
        <v>37393.089685026585</v>
      </c>
      <c r="E8" s="21">
        <f>E5</f>
        <v>1961.9100832612844</v>
      </c>
      <c r="F8" s="21">
        <f>F5</f>
        <v>49706.007210561293</v>
      </c>
      <c r="G8" s="21"/>
      <c r="H8" s="21"/>
      <c r="I8" s="21"/>
      <c r="J8" s="21">
        <f>J5</f>
        <v>239.17973012049669</v>
      </c>
      <c r="K8" s="21"/>
      <c r="L8" s="21">
        <f>L5</f>
        <v>0</v>
      </c>
      <c r="M8" s="21">
        <f>M5</f>
        <v>0</v>
      </c>
      <c r="N8" s="21">
        <f>N5</f>
        <v>8957.8622044220356</v>
      </c>
      <c r="O8" s="21">
        <f>O5</f>
        <v>275.1466666666667</v>
      </c>
      <c r="P8" s="21">
        <f>P5</f>
        <v>1239.3333333333333</v>
      </c>
    </row>
    <row r="9" spans="1:16">
      <c r="B9" s="19"/>
      <c r="C9" s="19"/>
      <c r="D9" s="254"/>
      <c r="E9" s="19"/>
      <c r="F9" s="19"/>
      <c r="G9" s="19"/>
      <c r="H9" s="19"/>
      <c r="I9" s="19"/>
      <c r="J9" s="19"/>
      <c r="K9" s="19"/>
      <c r="L9" s="19"/>
      <c r="M9" s="19"/>
      <c r="N9" s="19"/>
      <c r="O9" s="19"/>
      <c r="P9" s="19"/>
    </row>
    <row r="10" spans="1:16">
      <c r="A10" s="24" t="s">
        <v>207</v>
      </c>
      <c r="B10" s="25">
        <f ca="1">'EF ele_warmte'!B12</f>
        <v>0.20160333220681032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5430.6117149281499</v>
      </c>
      <c r="C12" s="23">
        <f ca="1">C10*C8</f>
        <v>0</v>
      </c>
      <c r="D12" s="23">
        <f>D8*D10</f>
        <v>7553.4041163753709</v>
      </c>
      <c r="E12" s="23">
        <f>E10*E8</f>
        <v>445.35358890031159</v>
      </c>
      <c r="F12" s="23">
        <f>F10*F8</f>
        <v>13271.503925219866</v>
      </c>
      <c r="G12" s="23"/>
      <c r="H12" s="23"/>
      <c r="I12" s="23"/>
      <c r="J12" s="23">
        <f>J10*J8</f>
        <v>84.669624462655818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5754</v>
      </c>
      <c r="C26" s="36"/>
      <c r="D26" s="225"/>
    </row>
    <row r="27" spans="1:5" s="15" customFormat="1">
      <c r="A27" s="227" t="s">
        <v>762</v>
      </c>
      <c r="B27" s="37">
        <f>SUM(HH_hh_gas_aantal,HH_rest_gas_aantal)</f>
        <v>2438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2316.1</v>
      </c>
      <c r="C31" s="34" t="s">
        <v>104</v>
      </c>
      <c r="D31" s="171"/>
    </row>
    <row r="32" spans="1:5">
      <c r="A32" s="168" t="s">
        <v>72</v>
      </c>
      <c r="B32" s="33">
        <f>IF((B21*($B$26-($B$27-0.05*$B$27)-$B$60))&lt;0,0,B21*($B$26-($B$27-0.05*$B$27)-$B$60))</f>
        <v>37.103567222406916</v>
      </c>
      <c r="C32" s="34" t="s">
        <v>104</v>
      </c>
      <c r="D32" s="171"/>
    </row>
    <row r="33" spans="1:6">
      <c r="A33" s="168" t="s">
        <v>73</v>
      </c>
      <c r="B33" s="33">
        <f>IF((B22*($B$26-($B$27-0.05*$B$27)-$B$60))&lt;0,0,B22*($B$26-($B$27-0.05*$B$27)-$B$60))</f>
        <v>771.41432098989799</v>
      </c>
      <c r="C33" s="34" t="s">
        <v>104</v>
      </c>
      <c r="D33" s="171"/>
    </row>
    <row r="34" spans="1:6">
      <c r="A34" s="168" t="s">
        <v>74</v>
      </c>
      <c r="B34" s="33">
        <f>IF((B24*($B$26-($B$27-0.05*$B$27)-$B$60))&lt;0,0,B24*($B$26-($B$27-0.05*$B$27)-$B$60))</f>
        <v>153.40688516973043</v>
      </c>
      <c r="C34" s="33">
        <f>B26*C24</f>
        <v>1177.8182069643901</v>
      </c>
      <c r="D34" s="230"/>
    </row>
    <row r="35" spans="1:6">
      <c r="A35" s="168" t="s">
        <v>76</v>
      </c>
      <c r="B35" s="33">
        <f>IF((B19*($B$26-($B$27-0.05*$B$27)-$B$60))&lt;0,0,B19*($B$26-($B$27-0.05*$B$27)-$B$60))</f>
        <v>28.083399484571316</v>
      </c>
      <c r="C35" s="33">
        <f>B35/2</f>
        <v>14.041699742285658</v>
      </c>
      <c r="D35" s="230"/>
    </row>
    <row r="36" spans="1:6">
      <c r="A36" s="168" t="s">
        <v>77</v>
      </c>
      <c r="B36" s="33">
        <f>IF((B18*($B$26-($B$27-0.05*$B$27)-$B$60))&lt;0,0,B18*($B$26-($B$27-0.05*$B$27)-$B$60))</f>
        <v>2382.8918271333937</v>
      </c>
      <c r="C36" s="34" t="s">
        <v>104</v>
      </c>
      <c r="D36" s="171"/>
    </row>
    <row r="37" spans="1:6">
      <c r="A37" s="168" t="s">
        <v>78</v>
      </c>
      <c r="B37" s="33">
        <f>B60</f>
        <v>65</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176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65</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12893.286067561286</v>
      </c>
      <c r="C5" s="17">
        <f>IF(ISERROR('Eigen informatie GS &amp; warmtenet'!B58),0,'Eigen informatie GS &amp; warmtenet'!B58)</f>
        <v>0</v>
      </c>
      <c r="D5" s="30">
        <f>SUM(D6:D12)</f>
        <v>10185.061474632364</v>
      </c>
      <c r="E5" s="17">
        <f>SUM(E6:E12)</f>
        <v>189.52628636484309</v>
      </c>
      <c r="F5" s="17">
        <f>SUM(F6:F12)</f>
        <v>2249.2458844957864</v>
      </c>
      <c r="G5" s="18"/>
      <c r="H5" s="17"/>
      <c r="I5" s="17"/>
      <c r="J5" s="17">
        <f>SUM(J6:J12)</f>
        <v>2.8425318873126309E-2</v>
      </c>
      <c r="K5" s="17"/>
      <c r="L5" s="17"/>
      <c r="M5" s="17"/>
      <c r="N5" s="17">
        <f>SUM(N6:N12)</f>
        <v>1136.4577451341781</v>
      </c>
      <c r="O5" s="17">
        <f>B38*B39*B40</f>
        <v>3.1266666666666669</v>
      </c>
      <c r="P5" s="17">
        <f>B46*B47*B48/1000-B46*B47*B48/1000/B49</f>
        <v>76.266666666666666</v>
      </c>
      <c r="R5" s="32"/>
    </row>
    <row r="6" spans="1:18">
      <c r="A6" s="32" t="s">
        <v>53</v>
      </c>
      <c r="B6" s="37">
        <f>B26</f>
        <v>3334.63263597387</v>
      </c>
      <c r="C6" s="33"/>
      <c r="D6" s="37">
        <f>IF(ISERROR(TER_kantoor_gas_kWh/1000),0,TER_kantoor_gas_kWh/1000)*0.902</f>
        <v>2715.1281543749892</v>
      </c>
      <c r="E6" s="33">
        <f>$C$26*'E Balans VL '!I12/100/3.6*1000000</f>
        <v>2.0900368280844819E-2</v>
      </c>
      <c r="F6" s="33">
        <f>$C$26*('E Balans VL '!L12+'E Balans VL '!N12)/100/3.6*1000000</f>
        <v>501.10210666423723</v>
      </c>
      <c r="G6" s="34"/>
      <c r="H6" s="33"/>
      <c r="I6" s="33"/>
      <c r="J6" s="33">
        <f>$C$26*('E Balans VL '!D12+'E Balans VL '!E12)/100/3.6*1000000</f>
        <v>0</v>
      </c>
      <c r="K6" s="33"/>
      <c r="L6" s="33"/>
      <c r="M6" s="33"/>
      <c r="N6" s="33">
        <f>$C$26*'E Balans VL '!Y12/100/3.6*1000000</f>
        <v>3.1890817027617215</v>
      </c>
      <c r="O6" s="33"/>
      <c r="P6" s="33"/>
      <c r="R6" s="32"/>
    </row>
    <row r="7" spans="1:18">
      <c r="A7" s="32" t="s">
        <v>52</v>
      </c>
      <c r="B7" s="37">
        <f t="shared" ref="B7:B12" si="0">B27</f>
        <v>1114.5913811364301</v>
      </c>
      <c r="C7" s="33"/>
      <c r="D7" s="37">
        <f>IF(ISERROR(TER_horeca_gas_kWh/1000),0,TER_horeca_gas_kWh/1000)*0.902</f>
        <v>1148.1373219363218</v>
      </c>
      <c r="E7" s="33">
        <f>$C$27*'E Balans VL '!I9/100/3.6*1000000</f>
        <v>15.960762922390863</v>
      </c>
      <c r="F7" s="33">
        <f>$C$27*('E Balans VL '!L9+'E Balans VL '!N9)/100/3.6*1000000</f>
        <v>141.14402949185737</v>
      </c>
      <c r="G7" s="34"/>
      <c r="H7" s="33"/>
      <c r="I7" s="33"/>
      <c r="J7" s="33">
        <f>$C$27*('E Balans VL '!D9+'E Balans VL '!E9)/100/3.6*1000000</f>
        <v>0</v>
      </c>
      <c r="K7" s="33"/>
      <c r="L7" s="33"/>
      <c r="M7" s="33"/>
      <c r="N7" s="33">
        <f>$C$27*'E Balans VL '!Y9/100/3.6*1000000</f>
        <v>0.3204204474462477</v>
      </c>
      <c r="O7" s="33"/>
      <c r="P7" s="33"/>
      <c r="R7" s="32"/>
    </row>
    <row r="8" spans="1:18">
      <c r="A8" s="6" t="s">
        <v>51</v>
      </c>
      <c r="B8" s="37">
        <f t="shared" si="0"/>
        <v>3579.9979923989104</v>
      </c>
      <c r="C8" s="33"/>
      <c r="D8" s="37">
        <f>IF(ISERROR(TER_handel_gas_kWh/1000),0,TER_handel_gas_kWh/1000)*0.902</f>
        <v>1065.826585529293</v>
      </c>
      <c r="E8" s="33">
        <f>$C$28*'E Balans VL '!I13/100/3.6*1000000</f>
        <v>129.8460857187344</v>
      </c>
      <c r="F8" s="33">
        <f>$C$28*('E Balans VL '!L13+'E Balans VL '!N13)/100/3.6*1000000</f>
        <v>689.54386312039242</v>
      </c>
      <c r="G8" s="34"/>
      <c r="H8" s="33"/>
      <c r="I8" s="33"/>
      <c r="J8" s="33">
        <f>$C$28*('E Balans VL '!D13+'E Balans VL '!E13)/100/3.6*1000000</f>
        <v>0</v>
      </c>
      <c r="K8" s="33"/>
      <c r="L8" s="33"/>
      <c r="M8" s="33"/>
      <c r="N8" s="33">
        <f>$C$28*'E Balans VL '!Y13/100/3.6*1000000</f>
        <v>4.959120940273694</v>
      </c>
      <c r="O8" s="33"/>
      <c r="P8" s="33"/>
      <c r="R8" s="32"/>
    </row>
    <row r="9" spans="1:18">
      <c r="A9" s="32" t="s">
        <v>50</v>
      </c>
      <c r="B9" s="37">
        <f t="shared" si="0"/>
        <v>558.14720221770096</v>
      </c>
      <c r="C9" s="33"/>
      <c r="D9" s="37">
        <f>IF(ISERROR(TER_gezond_gas_kWh/1000),0,TER_gezond_gas_kWh/1000)*0.902</f>
        <v>403.75800388109269</v>
      </c>
      <c r="E9" s="33">
        <f>$C$29*'E Balans VL '!I10/100/3.6*1000000</f>
        <v>3.4945525566883004E-2</v>
      </c>
      <c r="F9" s="33">
        <f>$C$29*('E Balans VL '!L10+'E Balans VL '!N10)/100/3.6*1000000</f>
        <v>82.914466285828269</v>
      </c>
      <c r="G9" s="34"/>
      <c r="H9" s="33"/>
      <c r="I9" s="33"/>
      <c r="J9" s="33">
        <f>$C$29*('E Balans VL '!D10+'E Balans VL '!E10)/100/3.6*1000000</f>
        <v>0</v>
      </c>
      <c r="K9" s="33"/>
      <c r="L9" s="33"/>
      <c r="M9" s="33"/>
      <c r="N9" s="33">
        <f>$C$29*'E Balans VL '!Y10/100/3.6*1000000</f>
        <v>8.6334747805047396</v>
      </c>
      <c r="O9" s="33"/>
      <c r="P9" s="33"/>
      <c r="R9" s="32"/>
    </row>
    <row r="10" spans="1:18">
      <c r="A10" s="32" t="s">
        <v>49</v>
      </c>
      <c r="B10" s="37">
        <f t="shared" si="0"/>
        <v>1000.0499731036999</v>
      </c>
      <c r="C10" s="33"/>
      <c r="D10" s="37">
        <f>IF(ISERROR(TER_ander_gas_kWh/1000),0,TER_ander_gas_kWh/1000)*0.902</f>
        <v>596.67280310414549</v>
      </c>
      <c r="E10" s="33">
        <f>$C$30*'E Balans VL '!I14/100/3.6*1000000</f>
        <v>1.1920238321918517</v>
      </c>
      <c r="F10" s="33">
        <f>$C$30*('E Balans VL '!L14+'E Balans VL '!N14)/100/3.6*1000000</f>
        <v>261.65753169380372</v>
      </c>
      <c r="G10" s="34"/>
      <c r="H10" s="33"/>
      <c r="I10" s="33"/>
      <c r="J10" s="33">
        <f>$C$30*('E Balans VL '!D14+'E Balans VL '!E14)/100/3.6*1000000</f>
        <v>2.170716482842806E-2</v>
      </c>
      <c r="K10" s="33"/>
      <c r="L10" s="33"/>
      <c r="M10" s="33"/>
      <c r="N10" s="33">
        <f>$C$30*'E Balans VL '!Y14/100/3.6*1000000</f>
        <v>849.2179662812722</v>
      </c>
      <c r="O10" s="33"/>
      <c r="P10" s="33"/>
      <c r="R10" s="32"/>
    </row>
    <row r="11" spans="1:18">
      <c r="A11" s="32" t="s">
        <v>54</v>
      </c>
      <c r="B11" s="37">
        <f t="shared" si="0"/>
        <v>531.51873909614505</v>
      </c>
      <c r="C11" s="33"/>
      <c r="D11" s="37">
        <f>IF(ISERROR(TER_onderwijs_gas_kWh/1000),0,TER_onderwijs_gas_kWh/1000)*0.902</f>
        <v>388.66326939589044</v>
      </c>
      <c r="E11" s="33">
        <f>$C$31*'E Balans VL '!I11/100/3.6*1000000</f>
        <v>8.0197616806259564</v>
      </c>
      <c r="F11" s="33">
        <f>$C$31*('E Balans VL '!L11+'E Balans VL '!N11)/100/3.6*1000000</f>
        <v>93.130574354113946</v>
      </c>
      <c r="G11" s="34"/>
      <c r="H11" s="33"/>
      <c r="I11" s="33"/>
      <c r="J11" s="33">
        <f>$C$31*('E Balans VL '!D11+'E Balans VL '!E11)/100/3.6*1000000</f>
        <v>0</v>
      </c>
      <c r="K11" s="33"/>
      <c r="L11" s="33"/>
      <c r="M11" s="33"/>
      <c r="N11" s="33">
        <f>$C$31*'E Balans VL '!Y11/100/3.6*1000000</f>
        <v>1.4957341394098951</v>
      </c>
      <c r="O11" s="33"/>
      <c r="P11" s="33"/>
      <c r="R11" s="32"/>
    </row>
    <row r="12" spans="1:18">
      <c r="A12" s="32" t="s">
        <v>248</v>
      </c>
      <c r="B12" s="37">
        <f t="shared" si="0"/>
        <v>2774.3481436345296</v>
      </c>
      <c r="C12" s="33"/>
      <c r="D12" s="37">
        <f>IF(ISERROR(TER_rest_gas_kWh/1000),0,TER_rest_gas_kWh/1000)*0.902</f>
        <v>3866.8753364106328</v>
      </c>
      <c r="E12" s="33">
        <f>$C$32*'E Balans VL '!I8/100/3.6*1000000</f>
        <v>34.451806317052288</v>
      </c>
      <c r="F12" s="33">
        <f>$C$32*('E Balans VL '!L8+'E Balans VL '!N8)/100/3.6*1000000</f>
        <v>479.75331288555327</v>
      </c>
      <c r="G12" s="34"/>
      <c r="H12" s="33"/>
      <c r="I12" s="33"/>
      <c r="J12" s="33">
        <f>$C$32*('E Balans VL '!D8+'E Balans VL '!E8)/100/3.6*1000000</f>
        <v>6.7181540446982499E-3</v>
      </c>
      <c r="K12" s="33"/>
      <c r="L12" s="33"/>
      <c r="M12" s="33"/>
      <c r="N12" s="33">
        <f>$C$32*'E Balans VL '!Y8/100/3.6*1000000</f>
        <v>268.64194684250958</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12893.286067561286</v>
      </c>
      <c r="C16" s="21">
        <f t="shared" ca="1" si="1"/>
        <v>0</v>
      </c>
      <c r="D16" s="21">
        <f t="shared" ca="1" si="1"/>
        <v>10185.061474632364</v>
      </c>
      <c r="E16" s="21">
        <f t="shared" si="1"/>
        <v>189.52628636484309</v>
      </c>
      <c r="F16" s="21">
        <f t="shared" ca="1" si="1"/>
        <v>2249.2458844957864</v>
      </c>
      <c r="G16" s="21">
        <f t="shared" si="1"/>
        <v>0</v>
      </c>
      <c r="H16" s="21">
        <f t="shared" si="1"/>
        <v>0</v>
      </c>
      <c r="I16" s="21">
        <f t="shared" si="1"/>
        <v>0</v>
      </c>
      <c r="J16" s="21">
        <f t="shared" si="1"/>
        <v>2.8425318873126309E-2</v>
      </c>
      <c r="K16" s="21">
        <f t="shared" si="1"/>
        <v>0</v>
      </c>
      <c r="L16" s="21">
        <f t="shared" ca="1" si="1"/>
        <v>0</v>
      </c>
      <c r="M16" s="21">
        <f t="shared" si="1"/>
        <v>0</v>
      </c>
      <c r="N16" s="21">
        <f t="shared" ca="1" si="1"/>
        <v>1136.4577451341781</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0.20160333220681032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2599.3294343159969</v>
      </c>
      <c r="C20" s="23">
        <f t="shared" ref="C20:P20" ca="1" si="2">C16*C18</f>
        <v>0</v>
      </c>
      <c r="D20" s="23">
        <f t="shared" ca="1" si="2"/>
        <v>2057.3824178757377</v>
      </c>
      <c r="E20" s="23">
        <f t="shared" si="2"/>
        <v>43.022467004819383</v>
      </c>
      <c r="F20" s="23">
        <f t="shared" ca="1" si="2"/>
        <v>600.54865116037502</v>
      </c>
      <c r="G20" s="23">
        <f t="shared" si="2"/>
        <v>0</v>
      </c>
      <c r="H20" s="23">
        <f t="shared" si="2"/>
        <v>0</v>
      </c>
      <c r="I20" s="23">
        <f t="shared" si="2"/>
        <v>0</v>
      </c>
      <c r="J20" s="23">
        <f t="shared" si="2"/>
        <v>1.0062562881086713E-2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3334.63263597387</v>
      </c>
      <c r="C26" s="39">
        <f>IF(ISERROR(B26*3.6/1000000/'E Balans VL '!Z12*100),0,B26*3.6/1000000/'E Balans VL '!Z12*100)</f>
        <v>7.0488851439699157E-2</v>
      </c>
      <c r="D26" s="233" t="s">
        <v>726</v>
      </c>
      <c r="F26" s="6"/>
    </row>
    <row r="27" spans="1:18">
      <c r="A27" s="228" t="s">
        <v>52</v>
      </c>
      <c r="B27" s="33">
        <f>IF(ISERROR(TER_horeca_ele_kWh/1000),0,TER_horeca_ele_kWh/1000)</f>
        <v>1114.5913811364301</v>
      </c>
      <c r="C27" s="39">
        <f>IF(ISERROR(B27*3.6/1000000/'E Balans VL '!Z9*100),0,B27*3.6/1000000/'E Balans VL '!Z9*100)</f>
        <v>8.7862823145568605E-2</v>
      </c>
      <c r="D27" s="233" t="s">
        <v>726</v>
      </c>
      <c r="F27" s="6"/>
    </row>
    <row r="28" spans="1:18">
      <c r="A28" s="168" t="s">
        <v>51</v>
      </c>
      <c r="B28" s="33">
        <f>IF(ISERROR(TER_handel_ele_kWh/1000),0,TER_handel_ele_kWh/1000)</f>
        <v>3579.9979923989104</v>
      </c>
      <c r="C28" s="39">
        <f>IF(ISERROR(B28*3.6/1000000/'E Balans VL '!Z13*100),0,B28*3.6/1000000/'E Balans VL '!Z13*100)</f>
        <v>0.10390600655217623</v>
      </c>
      <c r="D28" s="233" t="s">
        <v>726</v>
      </c>
      <c r="F28" s="6"/>
    </row>
    <row r="29" spans="1:18">
      <c r="A29" s="228" t="s">
        <v>50</v>
      </c>
      <c r="B29" s="33">
        <f>IF(ISERROR(TER_gezond_ele_kWh/1000),0,TER_gezond_ele_kWh/1000)</f>
        <v>558.14720221770096</v>
      </c>
      <c r="C29" s="39">
        <f>IF(ISERROR(B29*3.6/1000000/'E Balans VL '!Z10*100),0,B29*3.6/1000000/'E Balans VL '!Z10*100)</f>
        <v>5.8782065412505399E-2</v>
      </c>
      <c r="D29" s="233" t="s">
        <v>726</v>
      </c>
      <c r="F29" s="6"/>
    </row>
    <row r="30" spans="1:18">
      <c r="A30" s="228" t="s">
        <v>49</v>
      </c>
      <c r="B30" s="33">
        <f>IF(ISERROR(TER_ander_ele_kWh/1000),0,TER_ander_ele_kWh/1000)</f>
        <v>1000.0499731036999</v>
      </c>
      <c r="C30" s="39">
        <f>IF(ISERROR(B30*3.6/1000000/'E Balans VL '!Z14*100),0,B30*3.6/1000000/'E Balans VL '!Z14*100)</f>
        <v>7.376390322590258E-2</v>
      </c>
      <c r="D30" s="233" t="s">
        <v>726</v>
      </c>
      <c r="F30" s="6"/>
    </row>
    <row r="31" spans="1:18">
      <c r="A31" s="228" t="s">
        <v>54</v>
      </c>
      <c r="B31" s="33">
        <f>IF(ISERROR(TER_onderwijs_ele_kWh/1000),0,TER_onderwijs_ele_kWh/1000)</f>
        <v>531.51873909614505</v>
      </c>
      <c r="C31" s="39">
        <f>IF(ISERROR(B31*3.6/1000000/'E Balans VL '!Z11*100),0,B31*3.6/1000000/'E Balans VL '!Z11*100)</f>
        <v>0.13200100072159504</v>
      </c>
      <c r="D31" s="233" t="s">
        <v>726</v>
      </c>
    </row>
    <row r="32" spans="1:18">
      <c r="A32" s="228" t="s">
        <v>248</v>
      </c>
      <c r="B32" s="33">
        <f>IF(ISERROR(TER_rest_ele_kWh/1000),0,TER_rest_ele_kWh/1000)</f>
        <v>2774.3481436345296</v>
      </c>
      <c r="C32" s="39">
        <f>IF(ISERROR(B32*3.6/1000000/'E Balans VL '!Z8*100),0,B32*3.6/1000000/'E Balans VL '!Z8*100)</f>
        <v>2.282920264929475E-2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4</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5214.0150177504966</v>
      </c>
      <c r="C5" s="17">
        <f>IF(ISERROR('Eigen informatie GS &amp; warmtenet'!B59),0,'Eigen informatie GS &amp; warmtenet'!B59)</f>
        <v>0</v>
      </c>
      <c r="D5" s="30">
        <f>SUM(D6:D15)</f>
        <v>1325.0010228489627</v>
      </c>
      <c r="E5" s="17">
        <f>SUM(E6:E15)</f>
        <v>384.30823841941617</v>
      </c>
      <c r="F5" s="17">
        <f>SUM(F6:F15)</f>
        <v>1288.0725727713179</v>
      </c>
      <c r="G5" s="18"/>
      <c r="H5" s="17"/>
      <c r="I5" s="17"/>
      <c r="J5" s="17">
        <f>SUM(J6:J15)</f>
        <v>13.035923891521309</v>
      </c>
      <c r="K5" s="17"/>
      <c r="L5" s="17"/>
      <c r="M5" s="17"/>
      <c r="N5" s="17">
        <f>SUM(N6:N15)</f>
        <v>341.49941686301361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808.58574398181202</v>
      </c>
      <c r="C8" s="33"/>
      <c r="D8" s="37">
        <f>IF( ISERROR(IND_metaal_Gas_kWH/1000),0,IND_metaal_Gas_kWH/1000)*0.902</f>
        <v>0</v>
      </c>
      <c r="E8" s="33">
        <f>C30*'E Balans VL '!I18/100/3.6*1000000</f>
        <v>7.4341649763744657</v>
      </c>
      <c r="F8" s="33">
        <f>C30*'E Balans VL '!L18/100/3.6*1000000+C30*'E Balans VL '!N18/100/3.6*1000000</f>
        <v>75.818422241055885</v>
      </c>
      <c r="G8" s="34"/>
      <c r="H8" s="33"/>
      <c r="I8" s="33"/>
      <c r="J8" s="40">
        <f>C30*'E Balans VL '!D18/100/3.6*1000000+C30*'E Balans VL '!E18/100/3.6*1000000</f>
        <v>0</v>
      </c>
      <c r="K8" s="33"/>
      <c r="L8" s="33"/>
      <c r="M8" s="33"/>
      <c r="N8" s="33">
        <f>C30*'E Balans VL '!Y18/100/3.6*1000000</f>
        <v>11.535811882113123</v>
      </c>
      <c r="O8" s="33"/>
      <c r="P8" s="33"/>
      <c r="R8" s="32"/>
    </row>
    <row r="9" spans="1:18">
      <c r="A9" s="6" t="s">
        <v>32</v>
      </c>
      <c r="B9" s="37">
        <f t="shared" si="0"/>
        <v>600.74414451899099</v>
      </c>
      <c r="C9" s="33"/>
      <c r="D9" s="37">
        <f>IF( ISERROR(IND_andere_gas_kWh/1000),0,IND_andere_gas_kWh/1000)*0.902</f>
        <v>572.85650122651566</v>
      </c>
      <c r="E9" s="33">
        <f>C31*'E Balans VL '!I19/100/3.6*1000000</f>
        <v>175.60920855196468</v>
      </c>
      <c r="F9" s="33">
        <f>C31*'E Balans VL '!L19/100/3.6*1000000+C31*'E Balans VL '!N19/100/3.6*1000000</f>
        <v>482.74339227449855</v>
      </c>
      <c r="G9" s="34"/>
      <c r="H9" s="33"/>
      <c r="I9" s="33"/>
      <c r="J9" s="40">
        <f>C31*'E Balans VL '!D19/100/3.6*1000000+C31*'E Balans VL '!E19/100/3.6*1000000</f>
        <v>0</v>
      </c>
      <c r="K9" s="33"/>
      <c r="L9" s="33"/>
      <c r="M9" s="33"/>
      <c r="N9" s="33">
        <f>C31*'E Balans VL '!Y19/100/3.6*1000000</f>
        <v>47.121554784073631</v>
      </c>
      <c r="O9" s="33"/>
      <c r="P9" s="33"/>
      <c r="R9" s="32"/>
    </row>
    <row r="10" spans="1:18">
      <c r="A10" s="6" t="s">
        <v>40</v>
      </c>
      <c r="B10" s="37">
        <f t="shared" si="0"/>
        <v>118.34968838809201</v>
      </c>
      <c r="C10" s="33"/>
      <c r="D10" s="37">
        <f>IF( ISERROR(IND_voed_gas_kWh/1000),0,IND_voed_gas_kWh/1000)*0.902</f>
        <v>0</v>
      </c>
      <c r="E10" s="33">
        <f>C32*'E Balans VL '!I20/100/3.6*1000000</f>
        <v>0.25037060081866097</v>
      </c>
      <c r="F10" s="33">
        <f>C32*'E Balans VL '!L20/100/3.6*1000000+C32*'E Balans VL '!N20/100/3.6*1000000</f>
        <v>7.5247940783765142</v>
      </c>
      <c r="G10" s="34"/>
      <c r="H10" s="33"/>
      <c r="I10" s="33"/>
      <c r="J10" s="40">
        <f>C32*'E Balans VL '!D20/100/3.6*1000000+C32*'E Balans VL '!E20/100/3.6*1000000</f>
        <v>0</v>
      </c>
      <c r="K10" s="33"/>
      <c r="L10" s="33"/>
      <c r="M10" s="33"/>
      <c r="N10" s="33">
        <f>C32*'E Balans VL '!Y20/100/3.6*1000000</f>
        <v>8.1672964020405896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47.0282524648714</v>
      </c>
      <c r="C13" s="33"/>
      <c r="D13" s="37">
        <f>IF( ISERROR(IND_papier_gas_kWh/1000),0,IND_papier_gas_kWh/1000)*0.902</f>
        <v>0</v>
      </c>
      <c r="E13" s="33">
        <f>C35*'E Balans VL '!I23/100/3.6*1000000</f>
        <v>6.6722334969806812E-2</v>
      </c>
      <c r="F13" s="33">
        <f>C35*'E Balans VL '!L23/100/3.6*1000000+C35*'E Balans VL '!N23/100/3.6*1000000</f>
        <v>1.1481364802982805</v>
      </c>
      <c r="G13" s="34"/>
      <c r="H13" s="33"/>
      <c r="I13" s="33"/>
      <c r="J13" s="40">
        <f>C35*'E Balans VL '!D23/100/3.6*1000000+C35*'E Balans VL '!E23/100/3.6*1000000</f>
        <v>7.2733607718321021E-3</v>
      </c>
      <c r="K13" s="33"/>
      <c r="L13" s="33"/>
      <c r="M13" s="33"/>
      <c r="N13" s="33">
        <f>C35*'E Balans VL '!Y23/100/3.6*1000000</f>
        <v>19.215062093215622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3639.30718839673</v>
      </c>
      <c r="C15" s="33"/>
      <c r="D15" s="37">
        <f>IF( ISERROR(IND_rest_gas_kWh/1000),0,IND_rest_gas_kWh/1000)*0.902</f>
        <v>752.14452162244697</v>
      </c>
      <c r="E15" s="33">
        <f>C37*'E Balans VL '!I15/100/3.6*1000000</f>
        <v>200.94777195528854</v>
      </c>
      <c r="F15" s="33">
        <f>C37*'E Balans VL '!L15/100/3.6*1000000+C37*'E Balans VL '!N15/100/3.6*1000000</f>
        <v>720.83782769708876</v>
      </c>
      <c r="G15" s="34"/>
      <c r="H15" s="33"/>
      <c r="I15" s="33"/>
      <c r="J15" s="40">
        <f>C37*'E Balans VL '!D15/100/3.6*1000000+C37*'E Balans VL '!E15/100/3.6*1000000</f>
        <v>13.028650530749477</v>
      </c>
      <c r="K15" s="33"/>
      <c r="L15" s="33"/>
      <c r="M15" s="33"/>
      <c r="N15" s="33">
        <f>C37*'E Balans VL '!Y15/100/3.6*1000000</f>
        <v>255.45969170157062</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5214.0150177504966</v>
      </c>
      <c r="C18" s="21">
        <f>C5+C16</f>
        <v>0</v>
      </c>
      <c r="D18" s="21">
        <f>MAX((D5+D16),0)</f>
        <v>1325.0010228489627</v>
      </c>
      <c r="E18" s="21">
        <f>MAX((E5+E16),0)</f>
        <v>384.30823841941617</v>
      </c>
      <c r="F18" s="21">
        <f>MAX((F5+F16),0)</f>
        <v>1288.0725727713179</v>
      </c>
      <c r="G18" s="21"/>
      <c r="H18" s="21"/>
      <c r="I18" s="21"/>
      <c r="J18" s="21">
        <f>MAX((J5+J16),0)</f>
        <v>13.035923891521309</v>
      </c>
      <c r="K18" s="21"/>
      <c r="L18" s="21">
        <f>MAX((L5+L16),0)</f>
        <v>0</v>
      </c>
      <c r="M18" s="21"/>
      <c r="N18" s="21">
        <f>MAX((N5+N16),0)</f>
        <v>341.49941686301361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0.20160333220681032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1051.1628017548514</v>
      </c>
      <c r="C22" s="23">
        <f ca="1">C18*C20</f>
        <v>0</v>
      </c>
      <c r="D22" s="23">
        <f>D18*D20</f>
        <v>267.6502066154905</v>
      </c>
      <c r="E22" s="23">
        <f>E18*E20</f>
        <v>87.237970121207468</v>
      </c>
      <c r="F22" s="23">
        <f>F18*F20</f>
        <v>343.91537692994189</v>
      </c>
      <c r="G22" s="23"/>
      <c r="H22" s="23"/>
      <c r="I22" s="23"/>
      <c r="J22" s="23">
        <f>J18*J20</f>
        <v>4.6147170575985434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808.58574398181202</v>
      </c>
      <c r="C30" s="39">
        <f>IF(ISERROR(B30*3.6/1000000/'E Balans VL '!Z18*100),0,B30*3.6/1000000/'E Balans VL '!Z18*100)</f>
        <v>4.5824627460903947E-2</v>
      </c>
      <c r="D30" s="233" t="s">
        <v>726</v>
      </c>
    </row>
    <row r="31" spans="1:18">
      <c r="A31" s="6" t="s">
        <v>32</v>
      </c>
      <c r="B31" s="37">
        <f>IF( ISERROR(IND_ander_ele_kWh/1000),0,IND_ander_ele_kWh/1000)</f>
        <v>600.74414451899099</v>
      </c>
      <c r="C31" s="39">
        <f>IF(ISERROR(B31*3.6/1000000/'E Balans VL '!Z19*100),0,B31*3.6/1000000/'E Balans VL '!Z19*100)</f>
        <v>2.7247252940300712E-2</v>
      </c>
      <c r="D31" s="233" t="s">
        <v>726</v>
      </c>
    </row>
    <row r="32" spans="1:18">
      <c r="A32" s="168" t="s">
        <v>40</v>
      </c>
      <c r="B32" s="37">
        <f>IF( ISERROR(IND_voed_ele_kWh/1000),0,IND_voed_ele_kWh/1000)</f>
        <v>118.34968838809201</v>
      </c>
      <c r="C32" s="39">
        <f>IF(ISERROR(B32*3.6/1000000/'E Balans VL '!Z20*100),0,B32*3.6/1000000/'E Balans VL '!Z20*100)</f>
        <v>3.6610931240649669E-3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47.0282524648714</v>
      </c>
      <c r="C35" s="39">
        <f>IF(ISERROR(B35*3.6/1000000/'E Balans VL '!Z22*100),0,B35*3.6/1000000/'E Balans VL '!Z22*100)</f>
        <v>8.4589153538518237E-3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3639.30718839673</v>
      </c>
      <c r="C37" s="39">
        <f>IF(ISERROR(B37*3.6/1000000/'E Balans VL '!Z15*100),0,B37*3.6/1000000/'E Balans VL '!Z15*100)</f>
        <v>2.884597896234186E-2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684.13175520519303</v>
      </c>
      <c r="C5" s="17">
        <f>'Eigen informatie GS &amp; warmtenet'!B60</f>
        <v>0</v>
      </c>
      <c r="D5" s="30">
        <f>IF(ISERROR(SUM(LB_lb_gas_kWh,LB_rest_gas_kWh)/1000),0,SUM(LB_lb_gas_kWh,LB_rest_gas_kWh)/1000)*0.902</f>
        <v>17.101281420497084</v>
      </c>
      <c r="E5" s="17">
        <f>B17*'E Balans VL '!I25/3.6*1000000/100</f>
        <v>20.108721865043425</v>
      </c>
      <c r="F5" s="17">
        <f>B17*('E Balans VL '!L25/3.6*1000000+'E Balans VL '!N25/3.6*1000000)/100</f>
        <v>2850.055923645175</v>
      </c>
      <c r="G5" s="18"/>
      <c r="H5" s="17"/>
      <c r="I5" s="17"/>
      <c r="J5" s="17">
        <f>('E Balans VL '!D25+'E Balans VL '!E25)/3.6*1000000*landbouw!B17/100</f>
        <v>99.115999431612948</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684.13175520519303</v>
      </c>
      <c r="C8" s="21">
        <f>C5+C6</f>
        <v>0</v>
      </c>
      <c r="D8" s="21">
        <f>MAX((D5+D6),0)</f>
        <v>17.101281420497084</v>
      </c>
      <c r="E8" s="21">
        <f>MAX((E5+E6),0)</f>
        <v>20.108721865043425</v>
      </c>
      <c r="F8" s="21">
        <f>MAX((F5+F6),0)</f>
        <v>2850.055923645175</v>
      </c>
      <c r="G8" s="21"/>
      <c r="H8" s="21"/>
      <c r="I8" s="21"/>
      <c r="J8" s="21">
        <f>MAX((J5+J6),0)</f>
        <v>99.115999431612948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0.20160333220681032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137.92324151786076</v>
      </c>
      <c r="C12" s="23">
        <f ca="1">C8*C10</f>
        <v>0</v>
      </c>
      <c r="D12" s="23">
        <f>D8*D10</f>
        <v>3.4544588469404114</v>
      </c>
      <c r="E12" s="23">
        <f>E8*E10</f>
        <v>4.5646798633648578</v>
      </c>
      <c r="F12" s="23">
        <f>F8*F10</f>
        <v>760.9649316132618</v>
      </c>
      <c r="G12" s="23"/>
      <c r="H12" s="23"/>
      <c r="I12" s="23"/>
      <c r="J12" s="23">
        <f>J8*J10</f>
        <v>35.087063798790979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9.7080442461540378E-2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69.690157817284458</v>
      </c>
      <c r="C26" s="243">
        <f>B26*'GWP N2O_CH4'!B5</f>
        <v>1463.4933141629735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27.079564182830559</v>
      </c>
      <c r="C27" s="243">
        <f>B27*'GWP N2O_CH4'!B5</f>
        <v>568.67084783944176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1.3007634427812826</v>
      </c>
      <c r="C28" s="243">
        <f>B28*'GWP N2O_CH4'!B4</f>
        <v>403.23666726219761</v>
      </c>
      <c r="D28" s="50"/>
    </row>
    <row r="29" spans="1:4">
      <c r="A29" s="41" t="s">
        <v>265</v>
      </c>
      <c r="B29" s="243">
        <f>B34*'ha_N2O bodem landbouw'!B4</f>
        <v>7.2943412828566334</v>
      </c>
      <c r="C29" s="243">
        <f>B29*'GWP N2O_CH4'!B4</f>
        <v>2261.2457976855562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1.6645435433295327E-3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1.2288726416073546E-4</v>
      </c>
      <c r="C5" s="429" t="s">
        <v>204</v>
      </c>
      <c r="D5" s="414">
        <f>SUM(D6:D11)</f>
        <v>2.3296419925014826E-4</v>
      </c>
      <c r="E5" s="414">
        <f>SUM(E6:E11)</f>
        <v>4.0016530159321667E-4</v>
      </c>
      <c r="F5" s="427" t="s">
        <v>204</v>
      </c>
      <c r="G5" s="414">
        <f>SUM(G6:G11)</f>
        <v>0.16371995986619892</v>
      </c>
      <c r="H5" s="414">
        <f>SUM(H6:H11)</f>
        <v>3.7205863180098352E-2</v>
      </c>
      <c r="I5" s="429" t="s">
        <v>204</v>
      </c>
      <c r="J5" s="429" t="s">
        <v>204</v>
      </c>
      <c r="K5" s="429" t="s">
        <v>204</v>
      </c>
      <c r="L5" s="429" t="s">
        <v>204</v>
      </c>
      <c r="M5" s="414">
        <f>SUM(M6:M11)</f>
        <v>1.066076565406239E-2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6.0955300978725316E-5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1.0247657989259911E-4</v>
      </c>
      <c r="E6" s="857">
        <f>vkm_GW_PW*SUMIFS(TableVerdeelsleutelVkm[LPG],TableVerdeelsleutelVkm[Voertuigtype],"Lichte voertuigen")*SUMIFS(TableECFTransport[EnergieConsumptieFactor (PJ per km)],TableECFTransport[Index],CONCATENATE($A6,"_LPG_LPG"))</f>
        <v>1.8030842021735254E-4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5.349698622267185E-2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1.6556485458711485E-2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3.6130215644984676E-3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8.8918099802324385E-7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2.8560865870149072E-2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4.6598728388995565E-7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1.6686841218530122E-3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6.0533191990444238E-5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1.3048761935754915E-4</v>
      </c>
      <c r="E8" s="417">
        <f>vkm_NGW_PW*SUMIFS(TableVerdeelsleutelVkm[LPG],TableVerdeelsleutelVkm[Voertuigtype],"Lichte voertuigen")*SUMIFS(TableECFTransport[EnergieConsumptieFactor (PJ per km)],TableECFTransport[Index],CONCATENATE($A8,"_LPG_LPG"))</f>
        <v>2.1985688137586413E-4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6.0660558918593399E-2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2.0648589388759717E-2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4.1520336516509115E-3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5.0959019354266602E-7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2.1001548854784603E-2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3.2234534326106669E-7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1.2270263160599993E-3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34.135351155759849</v>
      </c>
      <c r="C14" s="21"/>
      <c r="D14" s="21">
        <f t="shared" ref="D14:M14" si="0">((D5)*10^9/3600)+D12</f>
        <v>64.712277569485622</v>
      </c>
      <c r="E14" s="21">
        <f t="shared" si="0"/>
        <v>111.15702822033796</v>
      </c>
      <c r="F14" s="21"/>
      <c r="G14" s="21">
        <f t="shared" si="0"/>
        <v>45477.766629499703</v>
      </c>
      <c r="H14" s="21">
        <f t="shared" si="0"/>
        <v>10334.961994471765</v>
      </c>
      <c r="I14" s="21"/>
      <c r="J14" s="21"/>
      <c r="K14" s="21"/>
      <c r="L14" s="21"/>
      <c r="M14" s="21">
        <f t="shared" si="0"/>
        <v>2961.3237927951086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0.20160333220681032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6.8818005390507793</v>
      </c>
      <c r="C18" s="23"/>
      <c r="D18" s="23">
        <f t="shared" ref="D18:M18" si="1">D14*D16</f>
        <v>13.071880069036096</v>
      </c>
      <c r="E18" s="23">
        <f t="shared" si="1"/>
        <v>25.232645406016719</v>
      </c>
      <c r="F18" s="23"/>
      <c r="G18" s="23">
        <f t="shared" si="1"/>
        <v>12142.563690076422</v>
      </c>
      <c r="H18" s="23">
        <f t="shared" si="1"/>
        <v>2573.4055366234693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6.2625645121873108E-5</v>
      </c>
      <c r="C50" s="313">
        <f t="shared" ref="C50:P50" si="2">SUM(C51:C52)</f>
        <v>0</v>
      </c>
      <c r="D50" s="313">
        <f t="shared" si="2"/>
        <v>0</v>
      </c>
      <c r="E50" s="313">
        <f t="shared" si="2"/>
        <v>0</v>
      </c>
      <c r="F50" s="313">
        <f t="shared" si="2"/>
        <v>0</v>
      </c>
      <c r="G50" s="313">
        <f t="shared" si="2"/>
        <v>5.883057743549496E-3</v>
      </c>
      <c r="H50" s="313">
        <f t="shared" si="2"/>
        <v>0</v>
      </c>
      <c r="I50" s="313">
        <f t="shared" si="2"/>
        <v>0</v>
      </c>
      <c r="J50" s="313">
        <f t="shared" si="2"/>
        <v>0</v>
      </c>
      <c r="K50" s="313">
        <f t="shared" si="2"/>
        <v>0</v>
      </c>
      <c r="L50" s="313">
        <f t="shared" si="2"/>
        <v>0</v>
      </c>
      <c r="M50" s="313">
        <f t="shared" si="2"/>
        <v>3.3878763147585875E-4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6.2625645121873108E-5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5.883057743549496E-3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3.3878763147585875E-4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17.396012533853643</v>
      </c>
      <c r="C54" s="21">
        <f t="shared" ref="C54:P54" si="3">(C50)*10^9/3600</f>
        <v>0</v>
      </c>
      <c r="D54" s="21">
        <f t="shared" si="3"/>
        <v>0</v>
      </c>
      <c r="E54" s="21">
        <f t="shared" si="3"/>
        <v>0</v>
      </c>
      <c r="F54" s="21">
        <f t="shared" si="3"/>
        <v>0</v>
      </c>
      <c r="G54" s="21">
        <f t="shared" si="3"/>
        <v>1634.1827065415266</v>
      </c>
      <c r="H54" s="21">
        <f t="shared" si="3"/>
        <v>0</v>
      </c>
      <c r="I54" s="21">
        <f t="shared" si="3"/>
        <v>0</v>
      </c>
      <c r="J54" s="21">
        <f t="shared" si="3"/>
        <v>0</v>
      </c>
      <c r="K54" s="21">
        <f t="shared" si="3"/>
        <v>0</v>
      </c>
      <c r="L54" s="21">
        <f t="shared" si="3"/>
        <v>0</v>
      </c>
      <c r="M54" s="21">
        <f t="shared" si="3"/>
        <v>94.107675409960763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0.20160333220681032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3.507094093936332</v>
      </c>
      <c r="C58" s="23">
        <f t="shared" ref="C58:P58" ca="1" si="4">C54*C56</f>
        <v>0</v>
      </c>
      <c r="D58" s="23">
        <f t="shared" si="4"/>
        <v>0</v>
      </c>
      <c r="E58" s="23">
        <f t="shared" si="4"/>
        <v>0</v>
      </c>
      <c r="F58" s="23">
        <f t="shared" si="4"/>
        <v>0</v>
      </c>
      <c r="G58" s="23">
        <f t="shared" si="4"/>
        <v>436.32678264658762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4185.5034757371013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4185.5034757371013</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2021-11-11T12:47:50Z</dcterms:modified>
</cp:coreProperties>
</file>