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9534C6D2-C740-4A28-B020-CAD33CAF4A1E}"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51" i="18"/>
  <c r="V51" i="18"/>
  <c r="U51" i="18"/>
  <c r="T51" i="18"/>
  <c r="S51" i="18"/>
  <c r="R51" i="18"/>
  <c r="Q51" i="18"/>
  <c r="P51" i="18"/>
  <c r="O51" i="18"/>
  <c r="N51" i="18"/>
  <c r="M51" i="18"/>
  <c r="W50" i="18"/>
  <c r="V50" i="18"/>
  <c r="U50" i="18"/>
  <c r="T50" i="18"/>
  <c r="S50" i="18"/>
  <c r="R50" i="18"/>
  <c r="Q50" i="18"/>
  <c r="P50" i="18"/>
  <c r="O50" i="18"/>
  <c r="N50" i="18"/>
  <c r="M50" i="18"/>
  <c r="W49" i="18"/>
  <c r="V49" i="18"/>
  <c r="U49" i="18"/>
  <c r="T49" i="18"/>
  <c r="S49" i="18"/>
  <c r="R49" i="18"/>
  <c r="Q49" i="18"/>
  <c r="P49" i="18"/>
  <c r="O49" i="18"/>
  <c r="N49" i="18"/>
  <c r="M49" i="18"/>
  <c r="W48" i="18"/>
  <c r="V48" i="18"/>
  <c r="U48" i="18"/>
  <c r="T48" i="18"/>
  <c r="I9" i="18" s="1"/>
  <c r="S48" i="18"/>
  <c r="E9" i="18" s="1"/>
  <c r="R48" i="18"/>
  <c r="Q48" i="18"/>
  <c r="P48" i="18"/>
  <c r="C9" i="18" s="1"/>
  <c r="O48" i="18"/>
  <c r="N48" i="18"/>
  <c r="B9" i="18" s="1"/>
  <c r="M48" i="18"/>
  <c r="W44" i="18"/>
  <c r="V44" i="18"/>
  <c r="U44" i="18"/>
  <c r="T44" i="18"/>
  <c r="S44" i="18"/>
  <c r="R44" i="18"/>
  <c r="Q44" i="18"/>
  <c r="P44" i="18"/>
  <c r="O44" i="18"/>
  <c r="C6" i="17" s="1"/>
  <c r="N44" i="18"/>
  <c r="M44" i="18"/>
  <c r="W43" i="18"/>
  <c r="V43" i="18"/>
  <c r="U43" i="18"/>
  <c r="T43" i="18"/>
  <c r="S43" i="18"/>
  <c r="F13" i="15" s="1"/>
  <c r="R43" i="18"/>
  <c r="Q43" i="18"/>
  <c r="P43" i="18"/>
  <c r="D13" i="15" s="1"/>
  <c r="O43" i="18"/>
  <c r="C13" i="15" s="1"/>
  <c r="N43" i="18"/>
  <c r="M43" i="18"/>
  <c r="W42" i="18"/>
  <c r="V42" i="18"/>
  <c r="U42" i="18"/>
  <c r="T42" i="18"/>
  <c r="S42" i="18"/>
  <c r="R42" i="18"/>
  <c r="Q42" i="18"/>
  <c r="P42" i="18"/>
  <c r="O42" i="18"/>
  <c r="N42" i="18"/>
  <c r="M42" i="18"/>
  <c r="W41" i="18"/>
  <c r="V41" i="18"/>
  <c r="U41" i="18"/>
  <c r="T41" i="18"/>
  <c r="S41" i="18"/>
  <c r="R41" i="18"/>
  <c r="Q41" i="18"/>
  <c r="P41" i="18"/>
  <c r="O41" i="18"/>
  <c r="N41" i="18"/>
  <c r="C57" i="18" s="1"/>
  <c r="M41" i="18"/>
  <c r="G22" i="18"/>
  <c r="F22" i="18"/>
  <c r="E22" i="18"/>
  <c r="D22" i="18"/>
  <c r="C22" i="18"/>
  <c r="B17" i="18"/>
  <c r="G12" i="18"/>
  <c r="F12" i="18"/>
  <c r="E12" i="18"/>
  <c r="D12" i="18"/>
  <c r="C12" i="18"/>
  <c r="L10" i="18"/>
  <c r="E77" i="14"/>
  <c r="E9" i="61" s="1"/>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B8" i="18" l="1"/>
  <c r="B57" i="18"/>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60" i="18"/>
  <c r="H8" i="18" s="1"/>
  <c r="E60" i="18"/>
  <c r="E8" i="18" s="1"/>
  <c r="G60" i="18"/>
  <c r="F60" i="18"/>
  <c r="H60" i="18"/>
  <c r="D60" i="18"/>
  <c r="C60" i="18"/>
  <c r="B60" i="18"/>
  <c r="C8" i="18" s="1"/>
  <c r="I61" i="18"/>
  <c r="H17" i="18" s="1"/>
  <c r="E61" i="18"/>
  <c r="E17" i="18" s="1"/>
  <c r="C61" i="18"/>
  <c r="B61" i="18"/>
  <c r="C17" i="18" s="1"/>
  <c r="H61" i="18"/>
  <c r="D61" i="18"/>
  <c r="G61" i="18"/>
  <c r="F61"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I76" i="14"/>
  <c r="I8" i="61" s="1"/>
  <c r="I10" i="61" s="1"/>
  <c r="Q88" i="14"/>
  <c r="P18" i="61" s="1"/>
  <c r="C77" i="14" l="1"/>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D8" i="22" s="1"/>
  <c r="A7" i="23"/>
  <c r="A8" i="23"/>
  <c r="B52" i="22" s="1"/>
  <c r="A9" i="23"/>
  <c r="A10" i="23"/>
  <c r="A11" i="23"/>
  <c r="A12" i="23"/>
  <c r="A13" i="23"/>
  <c r="A14" i="23"/>
  <c r="A15" i="23"/>
  <c r="A16" i="23"/>
  <c r="A17" i="23"/>
  <c r="A18" i="23"/>
  <c r="A19" i="23"/>
  <c r="A20" i="23"/>
  <c r="A21" i="23"/>
  <c r="A22" i="23"/>
  <c r="A23" i="23"/>
  <c r="A24" i="23"/>
  <c r="A25" i="23"/>
  <c r="A26" i="23"/>
  <c r="A27" i="23"/>
  <c r="A28" i="23"/>
  <c r="A29" i="23"/>
  <c r="A30" i="23"/>
  <c r="D6" i="22" l="1"/>
  <c r="B51" i="22"/>
  <c r="D10" i="22"/>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G51" i="22" l="1"/>
  <c r="Q11" i="14"/>
  <c r="P12" i="13"/>
  <c r="Q41" i="14" s="1"/>
  <c r="E8" i="13"/>
  <c r="N46" i="14"/>
  <c r="R9" i="14"/>
  <c r="Q11" i="48"/>
  <c r="I5" i="48"/>
  <c r="J10" i="14"/>
  <c r="J16" i="14" s="1"/>
  <c r="J27" i="14" s="1"/>
  <c r="J63" i="14" s="1"/>
  <c r="L46" i="14"/>
  <c r="L61" i="14" s="1"/>
  <c r="J7" i="48"/>
  <c r="J25" i="48" s="1"/>
  <c r="K24" i="14"/>
  <c r="K26" i="14" s="1"/>
  <c r="P8" i="48"/>
  <c r="P26" i="48" s="1"/>
  <c r="Q13" i="14"/>
  <c r="Q16" i="14" s="1"/>
  <c r="Q27"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Q46" i="14" l="1"/>
  <c r="Q61" i="14" s="1"/>
  <c r="N5" i="13"/>
  <c r="N8" i="13" s="1"/>
  <c r="N12" i="13" s="1"/>
  <c r="O41" i="14" s="1"/>
  <c r="L63" i="14"/>
  <c r="I15" i="48"/>
  <c r="I23" i="48"/>
  <c r="I33" i="48" s="1"/>
  <c r="P15" i="48"/>
  <c r="Q63" i="14"/>
  <c r="O8" i="48"/>
  <c r="O26" i="48" s="1"/>
  <c r="P13" i="14"/>
  <c r="P16" i="14" s="1"/>
  <c r="P27" i="14" s="1"/>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15" i="48" l="1"/>
  <c r="E33" i="48"/>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<sst xmlns="http://schemas.openxmlformats.org/spreadsheetml/2006/main" count="2534" uniqueCount="902">
  <si>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</si>
  <si>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</si>
  <si>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</si>
  <si>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</si>
  <si>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</si>
  <si>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</si>
  <si>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</si>
  <si>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</si>
  <si>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</si>
  <si>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</si>
  <si>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</si>
  <si>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</si>
  <si>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</si>
  <si>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</si>
  <si>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</si>
  <si>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</si>
  <si>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</si>
  <si>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</si>
  <si>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</si>
  <si>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</si>
  <si>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</si>
  <si>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</si>
  <si>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</si>
  <si>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</si>
  <si>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</si>
  <si>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</si>
  <si>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</si>
  <si>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</si>
  <si>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</si>
  <si>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</si>
  <si>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</si>
  <si>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</si>
  <si>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</si>
  <si>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</si>
  <si>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</si>
  <si>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</si>
  <si>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</si>
  <si>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</si>
  <si>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</si>
  <si>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</si>
  <si>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</si>
  <si>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</si>
  <si>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</si>
  <si>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</si>
  <si>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</si>
  <si>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</si>
  <si>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</si>
  <si>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</si>
  <si>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</si>
  <si>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</si>
  <si>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</si>
  <si>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</si>
  <si>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</si>
  <si>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</si>
  <si>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</si>
  <si>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</si>
  <si>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</si>
  <si>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</si>
  <si>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</si>
  <si>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</si>
  <si>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</si>
  <si>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</si>
  <si>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</si>
  <si>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</si>
  <si>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</si>
  <si>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</si>
  <si>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</si>
  <si>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</si>
  <si>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</si>
  <si>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</si>
  <si>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</si>
  <si>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</si>
  <si>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</si>
  <si>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</si>
  <si>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</si>
  <si>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</si>
  <si>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</si>
  <si>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</si>
  <si>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</si>
  <si>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</si>
  <si>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</si>
  <si>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</si>
  <si>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</si>
  <si>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</si>
  <si>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</si>
  <si>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</si>
  <si>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</si>
  <si>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</si>
  <si>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</si>
  <si>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</si>
  <si>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</si>
  <si>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</si>
  <si>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</si>
  <si>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</si>
  <si>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</si>
  <si>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</si>
  <si>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</si>
  <si>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</si>
  <si>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</si>
  <si>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</si>
  <si>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</si>
  <si>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</si>
  <si>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</si>
  <si>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</si>
  <si>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</si>
  <si>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</si>
  <si>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</si>
  <si>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</si>
  <si>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</si>
  <si>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</si>
  <si>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</si>
  <si>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</si>
  <si>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</si>
  <si>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</si>
  <si>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</si>
  <si>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</si>
  <si>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</si>
  <si>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</si>
  <si>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</si>
  <si>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</si>
  <si>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</si>
  <si>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</si>
  <si>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</si>
  <si>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</si>
  <si>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</si>
  <si>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</si>
  <si>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</si>
  <si>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</si>
  <si>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</si>
  <si>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</si>
  <si>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</si>
  <si>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</si>
  <si>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</si>
  <si>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</si>
  <si>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</si>
  <si>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</si>
  <si>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</si>
  <si>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</si>
  <si>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</si>
  <si>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</si>
  <si>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</si>
  <si>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</si>
  <si>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</si>
  <si>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</si>
  <si>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</si>
  <si>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</si>
  <si>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</si>
  <si>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</si>
  <si>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</si>
  <si>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</si>
  <si>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</si>
  <si>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</si>
  <si>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</si>
  <si>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</si>
  <si>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</si>
  <si>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</si>
  <si>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</si>
  <si>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</si>
  <si>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</si>
  <si>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</si>
  <si>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</si>
  <si>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</si>
  <si>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</si>
  <si>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</si>
  <si>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</si>
  <si>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</si>
  <si>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</si>
  <si>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</si>
  <si>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</si>
  <si>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</si>
  <si>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</si>
  <si>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</si>
  <si>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</si>
  <si>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</si>
  <si>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</si>
  <si>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</si>
  <si>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</si>
  <si>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</si>
  <si>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</si>
  <si>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</si>
  <si>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</si>
  <si>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</si>
  <si>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</si>
  <si>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</si>
  <si>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</si>
  <si>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</si>
  <si>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</si>
  <si>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</si>
  <si>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</si>
  <si>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</si>
  <si>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</si>
  <si>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</si>
  <si>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</si>
  <si>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</si>
  <si>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</si>
  <si>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</si>
  <si>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</si>
  <si>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</si>
  <si>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</si>
  <si>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</si>
  <si>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</si>
  <si>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</si>
  <si>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</si>
  <si>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</si>
  <si>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</si>
  <si>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</si>
  <si>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</si>
  <si>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</si>
  <si>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</si>
  <si>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</si>
  <si>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</si>
  <si>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</si>
  <si>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</si>
  <si>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</si>
  <si>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</si>
  <si>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</si>
  <si>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</si>
  <si>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</si>
  <si>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</si>
  <si>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</si>
  <si>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</si>
  <si>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</si>
  <si>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</si>
  <si>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</si>
  <si>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</si>
  <si>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</si>
  <si>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</si>
  <si>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</si>
  <si>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</si>
  <si>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</si>
  <si>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</si>
  <si>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</si>
  <si>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</si>
  <si>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</si>
  <si>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</si>
  <si>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</si>
  <si>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</si>
  <si>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</si>
  <si>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</si>
  <si>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</si>
  <si>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</si>
  <si>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</si>
  <si>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</si>
  <si>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</si>
  <si>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</si>
  <si>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</si>
  <si>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</si>
  <si>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</si>
  <si>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</si>
  <si>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</si>
  <si>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</si>
  <si>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</si>
  <si>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</si>
  <si>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</si>
  <si>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</si>
  <si>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</si>
  <si>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</si>
  <si>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</si>
  <si>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</si>
  <si>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</si>
  <si>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</si>
  <si>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</si>
  <si>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</si>
  <si>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</si>
  <si>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</si>
  <si>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</si>
  <si>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</si>
  <si>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</si>
  <si>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</si>
  <si>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</si>
  <si>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</si>
  <si>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</si>
  <si>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</si>
  <si>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</si>
  <si>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</si>
  <si>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</si>
  <si>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</si>
  <si>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</si>
  <si>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</si>
  <si>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</si>
  <si>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</si>
  <si>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</si>
  <si>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</si>
  <si>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</si>
  <si>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</si>
  <si>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</si>
  <si>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</si>
  <si>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</si>
  <si>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</si>
  <si>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</si>
  <si>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</si>
  <si>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</si>
  <si>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</si>
  <si>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</si>
  <si>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</si>
  <si>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</si>
  <si>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</si>
  <si>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</si>
  <si>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</si>
  <si>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</si>
  <si>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</si>
  <si>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</si>
  <si>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</si>
  <si>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</si>
  <si>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</si>
  <si>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</si>
  <si>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</si>
  <si>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</si>
  <si>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</si>
  <si>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</si>
  <si>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</si>
  <si>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</si>
  <si>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</si>
  <si>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</si>
  <si>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</si>
  <si>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</si>
  <si>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</si>
  <si>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</si>
  <si>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</si>
  <si>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</si>
  <si>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</si>
  <si>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</si>
  <si>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</si>
  <si>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</si>
  <si>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</si>
  <si>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</si>
  <si>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</si>
  <si>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</si>
  <si>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</si>
  <si>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</si>
  <si>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</si>
  <si>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</si>
  <si>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</si>
  <si>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</si>
  <si>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</si>
  <si>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</si>
  <si>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</si>
  <si>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</si>
  <si>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</si>
  <si>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</si>
  <si>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</si>
  <si>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</si>
  <si>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</si>
  <si>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</si>
  <si>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</si>
  <si>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</si>
  <si>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</si>
  <si>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</si>
  <si>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</si>
  <si>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</si>
  <si>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</si>
  <si>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</si>
  <si>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</si>
  <si>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</si>
  <si>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</si>
  <si>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</si>
  <si>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</si>
  <si>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</si>
  <si>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</si>
  <si>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</si>
  <si>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</si>
  <si>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</si>
  <si>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</si>
  <si>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</si>
  <si>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</si>
  <si>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</si>
  <si>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</si>
  <si>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</si>
  <si>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</si>
  <si>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</si>
  <si>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</si>
  <si>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</si>
  <si>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</si>
  <si>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</si>
  <si>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</si>
  <si>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</si>
  <si>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</si>
  <si>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</si>
  <si>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</si>
  <si>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</si>
  <si>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</si>
  <si>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</si>
  <si>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</si>
  <si>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</si>
  <si>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</si>
  <si>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</si>
  <si>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</si>
  <si>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</si>
  <si>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</si>
  <si>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</si>
  <si>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</si>
  <si>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</si>
  <si>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</si>
  <si>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</si>
  <si>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</si>
  <si>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</si>
  <si>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</si>
  <si>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</si>
  <si>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</si>
  <si>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</si>
  <si>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</si>
  <si>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</si>
  <si>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</si>
  <si>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</si>
  <si>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</si>
  <si>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</si>
  <si>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</si>
  <si>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</si>
  <si>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</si>
  <si>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</si>
  <si>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</si>
  <si>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</si>
  <si>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</si>
  <si>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</si>
  <si>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</si>
  <si>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</si>
  <si>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</si>
  <si>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</si>
  <si>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</si>
  <si>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</si>
  <si>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</si>
  <si>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</si>
  <si>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</si>
  <si>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</si>
  <si>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</si>
  <si>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</si>
  <si>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</si>
  <si>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</si>
  <si>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</si>
  <si>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</si>
  <si>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</si>
  <si>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</si>
  <si>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</si>
  <si>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</si>
  <si>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</si>
  <si>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</si>
  <si>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</si>
  <si>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</si>
  <si>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</si>
  <si>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</si>
  <si>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</si>
  <si>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</si>
  <si>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</si>
  <si>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</si>
  <si>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</si>
  <si>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</si>
  <si>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</si>
  <si>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</si>
  <si>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</si>
  <si>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</si>
  <si>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</si>
  <si>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</si>
  <si>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</si>
  <si>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</si>
  <si>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</si>
  <si>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</si>
  <si>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</si>
  <si>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</si>
  <si>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</si>
  <si>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</si>
  <si>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</si>
  <si>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</si>
  <si>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</si>
  <si>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</si>
  <si>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</si>
  <si>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</si>
  <si>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</si>
  <si>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</si>
  <si>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</si>
  <si>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</si>
  <si>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</si>
  <si>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</si>
  <si>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</si>
  <si>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</si>
  <si>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</si>
  <si>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</si>
  <si>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</si>
  <si>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</si>
  <si>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</si>
  <si>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</si>
  <si>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</si>
  <si>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</si>
  <si>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</si>
  <si>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</si>
  <si>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</si>
  <si>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</si>
  <si>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</si>
  <si>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</si>
  <si>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</si>
  <si>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</si>
  <si>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</si>
  <si>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</si>
  <si>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</si>
  <si>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</si>
  <si>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</si>
  <si>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</si>
  <si>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</si>
  <si>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</si>
  <si>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</si>
  <si>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</si>
  <si>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</si>
  <si>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</si>
  <si>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</si>
  <si>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</si>
  <si>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</si>
  <si>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</si>
  <si>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</si>
  <si>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</si>
  <si>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</si>
  <si>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</si>
  <si>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</si>
  <si>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</si>
  <si>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</si>
  <si>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</si>
  <si>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</si>
  <si>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</si>
  <si>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</si>
  <si>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</si>
  <si>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</si>
  <si>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</si>
  <si>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</si>
  <si>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</si>
  <si>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</si>
  <si>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</si>
  <si>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</si>
  <si>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</si>
  <si>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</si>
  <si>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</si>
  <si>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</si>
  <si>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</si>
  <si>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</si>
  <si>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</si>
  <si>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</si>
  <si>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</si>
  <si>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</si>
  <si>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</si>
  <si>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</si>
  <si>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</si>
  <si>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</si>
  <si>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</si>
  <si>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</si>
  <si>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</si>
  <si>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</si>
  <si>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</si>
  <si>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</si>
  <si>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</si>
  <si>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</si>
  <si>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</si>
  <si>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</si>
  <si>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</si>
  <si>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</si>
  <si>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</si>
  <si>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</si>
  <si>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</si>
  <si>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</si>
  <si>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</si>
  <si>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</si>
  <si>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</si>
  <si>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</si>
  <si>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</si>
  <si>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</si>
  <si>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</si>
  <si>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</si>
  <si>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</si>
  <si>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</si>
  <si>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</si>
  <si>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</si>
  <si>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</si>
  <si>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</si>
  <si>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</si>
  <si>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</si>
  <si>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</si>
  <si>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</si>
  <si>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</si>
  <si>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</si>
  <si>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</si>
  <si>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</si>
  <si>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</si>
  <si>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</si>
  <si>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</si>
  <si>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</si>
  <si>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</si>
  <si>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</si>
  <si>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</si>
  <si>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</si>
  <si>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</si>
  <si>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</si>
  <si>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</si>
  <si>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</si>
  <si>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</si>
  <si>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</si>
  <si>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</si>
  <si>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</si>
  <si>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</si>
  <si>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</si>
  <si>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</si>
  <si>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</si>
  <si>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</si>
  <si>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</si>
  <si>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</si>
  <si>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</si>
  <si>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</si>
  <si>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</si>
  <si>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</si>
  <si>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</si>
  <si>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</si>
  <si>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</si>
  <si>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</si>
  <si>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</si>
  <si>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</si>
  <si>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</si>
  <si>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</si>
  <si>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</si>
  <si>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</si>
  <si>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</si>
  <si>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</si>
  <si>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</si>
  <si>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</si>
  <si>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</si>
  <si>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</si>
  <si>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</si>
  <si>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</si>
  <si>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</si>
  <si>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</si>
  <si>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</si>
  <si>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</si>
  <si>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</si>
  <si>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</si>
  <si>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</si>
  <si>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</si>
  <si>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</si>
  <si>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</si>
  <si>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</si>
  <si>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</si>
  <si>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</si>
  <si>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</si>
  <si>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</si>
  <si>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</si>
  <si>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</si>
  <si>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</si>
  <si>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</si>
  <si>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</si>
  <si>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</si>
  <si>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</si>
  <si>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</si>
  <si>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</si>
  <si>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</si>
  <si>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</si>
  <si>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</si>
  <si>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</si>
  <si>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</si>
  <si>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</si>
  <si>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</si>
  <si>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</si>
  <si>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</si>
  <si>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</si>
  <si>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</si>
  <si>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</si>
  <si>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</si>
  <si>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</si>
  <si>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</si>
  <si>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</si>
  <si>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</si>
  <si>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</si>
  <si>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</si>
  <si>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</si>
  <si>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</si>
  <si>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</si>
  <si>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</si>
  <si>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</si>
  <si>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</si>
  <si>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</si>
  <si>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</si>
  <si>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</si>
  <si>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</si>
  <si>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</si>
  <si>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</si>
  <si>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</si>
  <si>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</si>
  <si>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</si>
  <si>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</si>
  <si>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</si>
  <si>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</si>
  <si>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</si>
  <si>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</si>
  <si>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</si>
  <si>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</si>
  <si>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</si>
  <si>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</si>
  <si>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</si>
  <si>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</si>
  <si>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</si>
  <si>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</si>
  <si>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</si>
  <si>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</si>
  <si>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</si>
  <si>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</si>
  <si>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</si>
  <si>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</si>
  <si>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</si>
  <si>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</si>
  <si>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</si>
  <si>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</si>
  <si>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</si>
  <si>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</si>
  <si>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</si>
  <si>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</si>
  <si>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</si>
  <si>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</si>
  <si>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</si>
  <si>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</si>
  <si>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</si>
  <si>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</si>
  <si>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</si>
  <si>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</si>
  <si>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</si>
  <si>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</si>
  <si>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</si>
  <si>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</si>
  <si>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</si>
  <si>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</si>
  <si>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</si>
  <si>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</si>
  <si>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</si>
  <si>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</si>
  <si>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</si>
  <si>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</si>
  <si>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</si>
  <si>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</si>
  <si>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</si>
  <si>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</si>
  <si>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</si>
  <si>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</si>
  <si>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</si>
  <si>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</si>
  <si>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</si>
  <si>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</si>
  <si>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</si>
  <si>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</si>
  <si>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</si>
  <si>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</si>
  <si>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</si>
  <si>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</si>
  <si>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</si>
  <si>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</si>
  <si>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</si>
  <si>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</si>
  <si>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</si>
  <si>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</si>
  <si>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</si>
  <si>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</si>
  <si>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</si>
  <si>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</si>
  <si>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</si>
  <si>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</si>
  <si>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</si>
  <si>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</si>
  <si>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</si>
  <si>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</si>
  <si>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</si>
  <si>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</si>
  <si>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</si>
  <si>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</si>
  <si>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</si>
  <si>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</si>
  <si>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</si>
  <si>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</si>
  <si>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</si>
  <si>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</si>
  <si>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</si>
  <si>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</si>
  <si>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</si>
  <si>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</si>
  <si>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</si>
  <si>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</si>
  <si>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</si>
  <si>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</si>
  <si>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</si>
  <si>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</si>
  <si>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</si>
  <si>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</si>
  <si>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</si>
  <si>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</si>
  <si>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</si>
  <si>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</si>
  <si>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</si>
  <si>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</si>
  <si>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</si>
  <si>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</si>
  <si>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</si>
  <si>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</si>
  <si>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</si>
  <si>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</si>
  <si>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</si>
  <si>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</si>
  <si>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</si>
  <si>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</si>
  <si>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</si>
  <si>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</si>
  <si>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</si>
  <si>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</si>
  <si>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</si>
  <si>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</si>
  <si>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</si>
  <si>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</si>
  <si>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</si>
  <si>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</si>
  <si>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</si>
  <si>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</si>
  <si>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</si>
  <si>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</si>
  <si>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</si>
  <si>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</si>
  <si>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</si>
  <si>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</si>
  <si>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</si>
  <si>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</si>
  <si>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</si>
  <si>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</si>
  <si>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</si>
  <si>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</si>
  <si>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</si>
  <si>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</si>
  <si>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</si>
  <si>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</si>
  <si>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</si>
  <si>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</si>
  <si>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</si>
  <si>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</si>
  <si>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</si>
  <si>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</si>
  <si>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</si>
  <si>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</si>
  <si>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</si>
  <si>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</si>
  <si>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</si>
  <si>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</si>
  <si>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</si>
  <si>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</si>
  <si>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</si>
  <si>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</si>
  <si>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</si>
  <si>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</si>
  <si>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</si>
  <si>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</si>
  <si>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</si>
  <si>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</si>
  <si>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</si>
  <si>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</si>
  <si>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</si>
  <si>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</si>
  <si>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</si>
  <si>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</si>
  <si>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</si>
  <si>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</si>
  <si>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</si>
  <si>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</si>
  <si>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</si>
  <si>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</si>
  <si>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</si>
  <si>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</si>
  <si>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</si>
  <si>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</si>
  <si>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</si>
  <si>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</si>
  <si>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</si>
  <si>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</si>
  <si>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</si>
  <si>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</si>
  <si>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</si>
  <si>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</si>
  <si>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</si>
  <si>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</si>
  <si>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</si>
  <si>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</si>
  <si>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</si>
  <si>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</si>
  <si>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</si>
  <si>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</si>
  <si>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</si>
  <si>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</si>
  <si>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</si>
  <si>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</si>
  <si>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</si>
  <si>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</si>
  <si>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</si>
  <si>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</si>
  <si>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</si>
  <si>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</si>
  <si>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</si>
  <si>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</si>
  <si>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</si>
  <si>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13023</t>
  </si>
  <si>
    <t>MERKSPLAS</t>
  </si>
  <si>
    <t>Fluvius</t>
  </si>
  <si>
    <t>referentietaak LNE (2017); Jaarverslag De Lijn</t>
  </si>
  <si>
    <t>interne verbrandingsmotor</t>
  </si>
  <si>
    <t>WKK interne verbrandinsgmotor (gas)</t>
  </si>
  <si>
    <t>IVEG</t>
  </si>
  <si>
    <t>IVEG (via INFRAX)</t>
  </si>
  <si>
    <t>biogas - stortgas</t>
  </si>
  <si>
    <t>niet WKK interne verbrandingsmotor (gas)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</si>
</sst>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D975E88D-3D25-4AC7-9E0E-BB8B5BAC458A}"/>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73662.033311057676</c:v>
                </c:pt>
                <c:pt idx="1">
                  <c:v>35709.975801854453</c:v>
                </c:pt>
                <c:pt idx="2">
                  <c:v>460.92899999999997</c:v>
                </c:pt>
                <c:pt idx="3">
                  <c:v>441230.24668011133</c:v>
                </c:pt>
                <c:pt idx="4">
                  <c:v>6300.3446883199767</c:v>
                </c:pt>
                <c:pt idx="5">
                  <c:v>44693.295719975096</c:v>
                </c:pt>
                <c:pt idx="6">
                  <c:v>876.08049117372059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73662.033311057676</c:v>
                </c:pt>
                <c:pt idx="1">
                  <c:v>35709.975801854453</c:v>
                </c:pt>
                <c:pt idx="2">
                  <c:v>460.92899999999997</c:v>
                </c:pt>
                <c:pt idx="3">
                  <c:v>441230.24668011133</c:v>
                </c:pt>
                <c:pt idx="4">
                  <c:v>6300.3446883199767</c:v>
                </c:pt>
                <c:pt idx="5">
                  <c:v>44693.295719975096</c:v>
                </c:pt>
                <c:pt idx="6">
                  <c:v>876.08049117372059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14903.615102554704</c:v>
                </c:pt>
                <c:pt idx="2">
                  <c:v>7436.5846249644419</c:v>
                </c:pt>
                <c:pt idx="3">
                  <c:v>95.144407116278899</c:v>
                </c:pt>
                <c:pt idx="4">
                  <c:v>96075.22483578934</c:v>
                </c:pt>
                <c:pt idx="5">
                  <c:v>1311.7400834904895</c:v>
                </c:pt>
                <c:pt idx="6">
                  <c:v>11184.044607005231</c:v>
                </c:pt>
                <c:pt idx="7">
                  <c:v>220.77463000520189</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14903.615102554704</c:v>
                </c:pt>
                <c:pt idx="2">
                  <c:v>7436.5846249644419</c:v>
                </c:pt>
                <c:pt idx="3">
                  <c:v>95.144407116278899</c:v>
                </c:pt>
                <c:pt idx="4">
                  <c:v>96075.22483578934</c:v>
                </c:pt>
                <c:pt idx="5">
                  <c:v>1311.7400834904895</c:v>
                </c:pt>
                <c:pt idx="6">
                  <c:v>11184.044607005231</c:v>
                </c:pt>
                <c:pt idx="7">
                  <c:v>220.77463000520189</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635</v>
      </c>
      <c r="B2" s="386"/>
      <c r="C2" s="387"/>
    </row>
    <row r="3" spans="1:7" s="11" customFormat="1" ht="15" customHeight="1">
      <c r="A3" s="93"/>
      <c r="B3" s="74"/>
      <c r="C3" s="94"/>
    </row>
    <row r="4" spans="1:7" s="11" customFormat="1" ht="15.75" customHeight="1" thickBot="1">
      <c r="A4" s="105" t="s">
        <v>855</v>
      </c>
      <c r="B4" s="106"/>
      <c r="C4" s="107"/>
    </row>
    <row r="5" spans="1:7" s="380" customFormat="1" ht="15.75" customHeight="1">
      <c r="A5" s="377" t="s">
        <v>0</v>
      </c>
      <c r="B5" s="378"/>
      <c r="C5" s="379"/>
    </row>
    <row r="6" spans="1:7" s="380" customFormat="1" ht="15" customHeight="1">
      <c r="A6" s="381" t="str">
        <f>txtNIS</f>
        <v>13023</v>
      </c>
      <c r="B6" s="382"/>
      <c r="C6" s="383"/>
    </row>
    <row r="7" spans="1:7" s="380" customFormat="1" ht="15.75" customHeight="1">
      <c r="A7" s="384" t="str">
        <f>txtMunicipality</f>
        <v>MERKSPLAS</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891</v>
      </c>
      <c r="B10" s="1059"/>
      <c r="C10" s="1060"/>
    </row>
    <row r="11" spans="1:7" s="374" customFormat="1" ht="15.75" thickBot="1">
      <c r="A11" s="397" t="s">
        <v>345</v>
      </c>
      <c r="B11" s="400"/>
      <c r="C11" s="401"/>
      <c r="G11" s="375"/>
    </row>
    <row r="12" spans="1:7">
      <c r="A12" s="44"/>
      <c r="B12" s="43"/>
      <c r="C12" s="96"/>
    </row>
    <row r="13" spans="1:7" s="374" customFormat="1">
      <c r="A13" s="744" t="s">
        <v>602</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704</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559</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640</v>
      </c>
      <c r="B6" s="406" t="s">
        <v>706</v>
      </c>
      <c r="C6" s="407" t="s">
        <v>344</v>
      </c>
    </row>
    <row r="7" spans="1:3" s="324" customFormat="1">
      <c r="A7" s="887" t="s">
        <v>705</v>
      </c>
      <c r="B7" s="408" t="s">
        <v>588</v>
      </c>
      <c r="C7" s="409" t="s">
        <v>587</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14735.552145</v>
      </c>
      <c r="D10" s="971">
        <f ca="1">tertiair!C16</f>
        <v>0</v>
      </c>
      <c r="E10" s="971">
        <f ca="1">tertiair!D16</f>
        <v>18861.902553259439</v>
      </c>
      <c r="F10" s="971">
        <f>tertiair!E16</f>
        <v>148.38927783459309</v>
      </c>
      <c r="G10" s="971">
        <f ca="1">tertiair!F16</f>
        <v>2420.2964014899731</v>
      </c>
      <c r="H10" s="971">
        <f>tertiair!G16</f>
        <v>0</v>
      </c>
      <c r="I10" s="971">
        <f>tertiair!H16</f>
        <v>0</v>
      </c>
      <c r="J10" s="971">
        <f>tertiair!I16</f>
        <v>0</v>
      </c>
      <c r="K10" s="971">
        <f>tertiair!J16</f>
        <v>7.4424270450577687E-2</v>
      </c>
      <c r="L10" s="971">
        <f>tertiair!K16</f>
        <v>0</v>
      </c>
      <c r="M10" s="971">
        <f ca="1">tertiair!L16</f>
        <v>0</v>
      </c>
      <c r="N10" s="971">
        <f>tertiair!M16</f>
        <v>0</v>
      </c>
      <c r="O10" s="971">
        <f ca="1">tertiair!N16</f>
        <v>0</v>
      </c>
      <c r="P10" s="971">
        <f>tertiair!O16</f>
        <v>4.6900000000000004</v>
      </c>
      <c r="Q10" s="972">
        <f>tertiair!P16</f>
        <v>0</v>
      </c>
      <c r="R10" s="666">
        <f ca="1">SUM(C10:Q10)</f>
        <v>36170.904801854456</v>
      </c>
      <c r="S10" s="67"/>
    </row>
    <row r="11" spans="1:19" s="439" customFormat="1">
      <c r="A11" s="775" t="s">
        <v>213</v>
      </c>
      <c r="B11" s="780"/>
      <c r="C11" s="971">
        <f>huishoudens!B8</f>
        <v>13958.557164380007</v>
      </c>
      <c r="D11" s="971">
        <f>huishoudens!C8</f>
        <v>0</v>
      </c>
      <c r="E11" s="971">
        <f>huishoudens!D8</f>
        <v>39536.007071159591</v>
      </c>
      <c r="F11" s="971">
        <f>huishoudens!E8</f>
        <v>573.72884183485064</v>
      </c>
      <c r="G11" s="971">
        <f>huishoudens!F8</f>
        <v>14535.717101644615</v>
      </c>
      <c r="H11" s="971">
        <f>huishoudens!G8</f>
        <v>0</v>
      </c>
      <c r="I11" s="971">
        <f>huishoudens!H8</f>
        <v>0</v>
      </c>
      <c r="J11" s="971">
        <f>huishoudens!I8</f>
        <v>0</v>
      </c>
      <c r="K11" s="971">
        <f>huishoudens!J8</f>
        <v>69.944239913531916</v>
      </c>
      <c r="L11" s="971">
        <f>huishoudens!K8</f>
        <v>0</v>
      </c>
      <c r="M11" s="971">
        <f>huishoudens!L8</f>
        <v>0</v>
      </c>
      <c r="N11" s="971">
        <f>huishoudens!M8</f>
        <v>0</v>
      </c>
      <c r="O11" s="971">
        <f>huishoudens!N8</f>
        <v>4573.5788921250733</v>
      </c>
      <c r="P11" s="971">
        <f>huishoudens!O8</f>
        <v>109.43333333333334</v>
      </c>
      <c r="Q11" s="972">
        <f>huishoudens!P8</f>
        <v>305.06666666666666</v>
      </c>
      <c r="R11" s="666">
        <f>SUM(C11:Q11)</f>
        <v>73662.033311057676</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624</v>
      </c>
      <c r="B13" s="784" t="s">
        <v>622</v>
      </c>
      <c r="C13" s="971">
        <f>industrie!B18</f>
        <v>2974.5663329999998</v>
      </c>
      <c r="D13" s="971">
        <f>industrie!C18</f>
        <v>0</v>
      </c>
      <c r="E13" s="971">
        <f>industrie!D18</f>
        <v>2027.6597137066731</v>
      </c>
      <c r="F13" s="971">
        <f>industrie!E18</f>
        <v>264.2404392701701</v>
      </c>
      <c r="G13" s="971">
        <f>industrie!F18</f>
        <v>854.41044922847891</v>
      </c>
      <c r="H13" s="971">
        <f>industrie!G18</f>
        <v>0</v>
      </c>
      <c r="I13" s="971">
        <f>industrie!H18</f>
        <v>0</v>
      </c>
      <c r="J13" s="971">
        <f>industrie!I18</f>
        <v>0</v>
      </c>
      <c r="K13" s="971">
        <f>industrie!J18</f>
        <v>0.10244115586781148</v>
      </c>
      <c r="L13" s="971">
        <f>industrie!K18</f>
        <v>0</v>
      </c>
      <c r="M13" s="971">
        <f>industrie!L18</f>
        <v>0</v>
      </c>
      <c r="N13" s="971">
        <f>industrie!M18</f>
        <v>0</v>
      </c>
      <c r="O13" s="971">
        <f>industrie!N18</f>
        <v>179.36531195878806</v>
      </c>
      <c r="P13" s="971">
        <f>industrie!O18</f>
        <v>0</v>
      </c>
      <c r="Q13" s="972">
        <f>industrie!P18</f>
        <v>0</v>
      </c>
      <c r="R13" s="666">
        <f>SUM(C13:Q13)</f>
        <v>6300.3446883199767</v>
      </c>
      <c r="S13" s="67"/>
    </row>
    <row r="14" spans="1:19" s="439" customFormat="1">
      <c r="A14" s="775"/>
      <c r="B14" s="784" t="s">
        <v>623</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800</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31668.675642380007</v>
      </c>
      <c r="D16" s="698">
        <f t="shared" ref="D16:R16" ca="1" si="0">SUM(D9:D15)</f>
        <v>0</v>
      </c>
      <c r="E16" s="698">
        <f t="shared" ca="1" si="0"/>
        <v>60425.569338125701</v>
      </c>
      <c r="F16" s="698">
        <f t="shared" si="0"/>
        <v>986.35855893961389</v>
      </c>
      <c r="G16" s="698">
        <f t="shared" ca="1" si="0"/>
        <v>17810.423952363068</v>
      </c>
      <c r="H16" s="698">
        <f t="shared" si="0"/>
        <v>0</v>
      </c>
      <c r="I16" s="698">
        <f t="shared" si="0"/>
        <v>0</v>
      </c>
      <c r="J16" s="698">
        <f t="shared" si="0"/>
        <v>0</v>
      </c>
      <c r="K16" s="698">
        <f t="shared" si="0"/>
        <v>70.121105339850303</v>
      </c>
      <c r="L16" s="698">
        <f t="shared" si="0"/>
        <v>0</v>
      </c>
      <c r="M16" s="698">
        <f t="shared" ca="1" si="0"/>
        <v>0</v>
      </c>
      <c r="N16" s="698">
        <f t="shared" si="0"/>
        <v>0</v>
      </c>
      <c r="O16" s="698">
        <f t="shared" ca="1" si="0"/>
        <v>4752.9442040838612</v>
      </c>
      <c r="P16" s="698">
        <f t="shared" si="0"/>
        <v>114.12333333333333</v>
      </c>
      <c r="Q16" s="698">
        <f t="shared" si="0"/>
        <v>305.06666666666666</v>
      </c>
      <c r="R16" s="698">
        <f t="shared" ca="1" si="0"/>
        <v>116133.28280123211</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8.7302663601361257</v>
      </c>
      <c r="D19" s="971">
        <f>transport!C54</f>
        <v>0</v>
      </c>
      <c r="E19" s="971">
        <f>transport!D54</f>
        <v>0</v>
      </c>
      <c r="F19" s="971">
        <f>transport!E54</f>
        <v>0</v>
      </c>
      <c r="G19" s="971">
        <f>transport!F54</f>
        <v>0</v>
      </c>
      <c r="H19" s="971">
        <f>transport!G54</f>
        <v>820.12186881744231</v>
      </c>
      <c r="I19" s="971">
        <f>transport!H54</f>
        <v>0</v>
      </c>
      <c r="J19" s="971">
        <f>transport!I54</f>
        <v>0</v>
      </c>
      <c r="K19" s="971">
        <f>transport!J54</f>
        <v>0</v>
      </c>
      <c r="L19" s="971">
        <f>transport!K54</f>
        <v>0</v>
      </c>
      <c r="M19" s="971">
        <f>transport!L54</f>
        <v>0</v>
      </c>
      <c r="N19" s="971">
        <f>transport!M54</f>
        <v>47.228355996142135</v>
      </c>
      <c r="O19" s="971">
        <f>transport!N54</f>
        <v>0</v>
      </c>
      <c r="P19" s="971">
        <f>transport!O54</f>
        <v>0</v>
      </c>
      <c r="Q19" s="972">
        <f>transport!P54</f>
        <v>0</v>
      </c>
      <c r="R19" s="666">
        <f>SUM(C19:Q19)</f>
        <v>876.08049117372059</v>
      </c>
      <c r="S19" s="67"/>
    </row>
    <row r="20" spans="1:19" s="439" customFormat="1">
      <c r="A20" s="775" t="s">
        <v>295</v>
      </c>
      <c r="B20" s="780"/>
      <c r="C20" s="971">
        <f>transport!B14</f>
        <v>28.000664506980662</v>
      </c>
      <c r="D20" s="971">
        <f>transport!C14</f>
        <v>0</v>
      </c>
      <c r="E20" s="971">
        <f>transport!D14</f>
        <v>49.134821934929803</v>
      </c>
      <c r="F20" s="971">
        <f>transport!E14</f>
        <v>85.590486185414349</v>
      </c>
      <c r="G20" s="971">
        <f>transport!F14</f>
        <v>0</v>
      </c>
      <c r="H20" s="971">
        <f>transport!G14</f>
        <v>34388.663660280923</v>
      </c>
      <c r="I20" s="971">
        <f>transport!H14</f>
        <v>7900.149686700539</v>
      </c>
      <c r="J20" s="971">
        <f>transport!I14</f>
        <v>0</v>
      </c>
      <c r="K20" s="971">
        <f>transport!J14</f>
        <v>0</v>
      </c>
      <c r="L20" s="971">
        <f>transport!K14</f>
        <v>0</v>
      </c>
      <c r="M20" s="971">
        <f>transport!L14</f>
        <v>0</v>
      </c>
      <c r="N20" s="971">
        <f>transport!M14</f>
        <v>2241.7564003663056</v>
      </c>
      <c r="O20" s="971">
        <f>transport!N14</f>
        <v>0</v>
      </c>
      <c r="P20" s="971">
        <f>transport!O14</f>
        <v>0</v>
      </c>
      <c r="Q20" s="972">
        <f>transport!P14</f>
        <v>0</v>
      </c>
      <c r="R20" s="666">
        <f>SUM(C20:Q20)</f>
        <v>44693.295719975096</v>
      </c>
      <c r="S20" s="67"/>
    </row>
    <row r="21" spans="1:19" s="439" customFormat="1" ht="15" thickBot="1">
      <c r="A21" s="797" t="s">
        <v>801</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36.73093086711679</v>
      </c>
      <c r="D22" s="778">
        <f t="shared" ref="D22:R22" si="1">SUM(D18:D21)</f>
        <v>0</v>
      </c>
      <c r="E22" s="778">
        <f t="shared" si="1"/>
        <v>49.134821934929803</v>
      </c>
      <c r="F22" s="778">
        <f t="shared" si="1"/>
        <v>85.590486185414349</v>
      </c>
      <c r="G22" s="778">
        <f t="shared" si="1"/>
        <v>0</v>
      </c>
      <c r="H22" s="778">
        <f t="shared" si="1"/>
        <v>35208.785529098364</v>
      </c>
      <c r="I22" s="778">
        <f t="shared" si="1"/>
        <v>7900.149686700539</v>
      </c>
      <c r="J22" s="778">
        <f t="shared" si="1"/>
        <v>0</v>
      </c>
      <c r="K22" s="778">
        <f t="shared" si="1"/>
        <v>0</v>
      </c>
      <c r="L22" s="778">
        <f t="shared" si="1"/>
        <v>0</v>
      </c>
      <c r="M22" s="778">
        <f t="shared" si="1"/>
        <v>0</v>
      </c>
      <c r="N22" s="778">
        <f t="shared" si="1"/>
        <v>2288.9847563624476</v>
      </c>
      <c r="O22" s="778">
        <f t="shared" si="1"/>
        <v>0</v>
      </c>
      <c r="P22" s="778">
        <f t="shared" si="1"/>
        <v>0</v>
      </c>
      <c r="Q22" s="778">
        <f t="shared" si="1"/>
        <v>0</v>
      </c>
      <c r="R22" s="778">
        <f t="shared" si="1"/>
        <v>45569.376211148818</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619</v>
      </c>
      <c r="B24" s="780"/>
      <c r="C24" s="971">
        <f>+landbouw!B8</f>
        <v>12429.408756999999</v>
      </c>
      <c r="D24" s="971">
        <f>+landbouw!C8</f>
        <v>374854.5</v>
      </c>
      <c r="E24" s="971">
        <f>+landbouw!D8</f>
        <v>0</v>
      </c>
      <c r="F24" s="971">
        <f>+landbouw!E8</f>
        <v>365.33828716441218</v>
      </c>
      <c r="G24" s="971">
        <f>+landbouw!F8</f>
        <v>51780.245231666115</v>
      </c>
      <c r="H24" s="971">
        <f>+landbouw!G8</f>
        <v>0</v>
      </c>
      <c r="I24" s="971">
        <f>+landbouw!H8</f>
        <v>0</v>
      </c>
      <c r="J24" s="971">
        <f>+landbouw!I8</f>
        <v>0</v>
      </c>
      <c r="K24" s="971">
        <f>+landbouw!J8</f>
        <v>1800.7544042807876</v>
      </c>
      <c r="L24" s="971">
        <f>+landbouw!K8</f>
        <v>0</v>
      </c>
      <c r="M24" s="971">
        <f>+landbouw!L8</f>
        <v>0</v>
      </c>
      <c r="N24" s="971">
        <f>+landbouw!M8</f>
        <v>0</v>
      </c>
      <c r="O24" s="971">
        <f>+landbouw!N8</f>
        <v>0</v>
      </c>
      <c r="P24" s="971">
        <f>+landbouw!O8</f>
        <v>0</v>
      </c>
      <c r="Q24" s="972">
        <f>+landbouw!P8</f>
        <v>0</v>
      </c>
      <c r="R24" s="666">
        <f>SUM(C24:Q24)</f>
        <v>441230.24668011133</v>
      </c>
      <c r="S24" s="67"/>
    </row>
    <row r="25" spans="1:19" s="439" customFormat="1" ht="15" thickBot="1">
      <c r="A25" s="797" t="s">
        <v>802</v>
      </c>
      <c r="B25" s="974"/>
      <c r="C25" s="975">
        <f>IF(Onbekend_ele_kWh="---",0,Onbekend_ele_kWh)/1000+IF(REST_rest_ele_kWh="---",0,REST_rest_ele_kWh)/1000</f>
        <v>504.59714299999996</v>
      </c>
      <c r="D25" s="975"/>
      <c r="E25" s="975">
        <f>IF(onbekend_gas_kWh="---",0,onbekend_gas_kWh)/1000+IF(REST_rest_gas_kWh="---",0,REST_rest_gas_kWh)/1000</f>
        <v>374.63578537629598</v>
      </c>
      <c r="F25" s="975"/>
      <c r="G25" s="975"/>
      <c r="H25" s="975"/>
      <c r="I25" s="975"/>
      <c r="J25" s="975"/>
      <c r="K25" s="975"/>
      <c r="L25" s="975"/>
      <c r="M25" s="975"/>
      <c r="N25" s="975"/>
      <c r="O25" s="975"/>
      <c r="P25" s="975"/>
      <c r="Q25" s="976"/>
      <c r="R25" s="666">
        <f>SUM(C25:Q25)</f>
        <v>879.23292837629594</v>
      </c>
      <c r="S25" s="67"/>
    </row>
    <row r="26" spans="1:19" s="439" customFormat="1" ht="15.75" thickBot="1">
      <c r="A26" s="671" t="s">
        <v>803</v>
      </c>
      <c r="B26" s="783"/>
      <c r="C26" s="778">
        <f>SUM(C24:C25)</f>
        <v>12934.0059</v>
      </c>
      <c r="D26" s="778">
        <f t="shared" ref="D26:R26" si="2">SUM(D24:D25)</f>
        <v>374854.5</v>
      </c>
      <c r="E26" s="778">
        <f t="shared" si="2"/>
        <v>374.63578537629598</v>
      </c>
      <c r="F26" s="778">
        <f t="shared" si="2"/>
        <v>365.33828716441218</v>
      </c>
      <c r="G26" s="778">
        <f t="shared" si="2"/>
        <v>51780.245231666115</v>
      </c>
      <c r="H26" s="778">
        <f t="shared" si="2"/>
        <v>0</v>
      </c>
      <c r="I26" s="778">
        <f t="shared" si="2"/>
        <v>0</v>
      </c>
      <c r="J26" s="778">
        <f t="shared" si="2"/>
        <v>0</v>
      </c>
      <c r="K26" s="778">
        <f t="shared" si="2"/>
        <v>1800.7544042807876</v>
      </c>
      <c r="L26" s="778">
        <f t="shared" si="2"/>
        <v>0</v>
      </c>
      <c r="M26" s="778">
        <f t="shared" si="2"/>
        <v>0</v>
      </c>
      <c r="N26" s="778">
        <f t="shared" si="2"/>
        <v>0</v>
      </c>
      <c r="O26" s="778">
        <f t="shared" si="2"/>
        <v>0</v>
      </c>
      <c r="P26" s="778">
        <f t="shared" si="2"/>
        <v>0</v>
      </c>
      <c r="Q26" s="778">
        <f t="shared" si="2"/>
        <v>0</v>
      </c>
      <c r="R26" s="778">
        <f t="shared" si="2"/>
        <v>442109.47960848763</v>
      </c>
      <c r="S26" s="67"/>
    </row>
    <row r="27" spans="1:19" s="439" customFormat="1" ht="17.25" thickTop="1" thickBot="1">
      <c r="A27" s="672" t="s">
        <v>109</v>
      </c>
      <c r="B27" s="771"/>
      <c r="C27" s="673">
        <f ca="1">C22+C16+C26</f>
        <v>44639.412473247125</v>
      </c>
      <c r="D27" s="673">
        <f t="shared" ref="D27:R27" ca="1" si="3">D22+D16+D26</f>
        <v>374854.5</v>
      </c>
      <c r="E27" s="673">
        <f t="shared" ca="1" si="3"/>
        <v>60849.339945436928</v>
      </c>
      <c r="F27" s="673">
        <f t="shared" si="3"/>
        <v>1437.2873322894404</v>
      </c>
      <c r="G27" s="673">
        <f t="shared" ca="1" si="3"/>
        <v>69590.66918402919</v>
      </c>
      <c r="H27" s="673">
        <f t="shared" si="3"/>
        <v>35208.785529098364</v>
      </c>
      <c r="I27" s="673">
        <f t="shared" si="3"/>
        <v>7900.149686700539</v>
      </c>
      <c r="J27" s="673">
        <f t="shared" si="3"/>
        <v>0</v>
      </c>
      <c r="K27" s="673">
        <f t="shared" si="3"/>
        <v>1870.875509620638</v>
      </c>
      <c r="L27" s="673">
        <f t="shared" si="3"/>
        <v>0</v>
      </c>
      <c r="M27" s="673">
        <f t="shared" ca="1" si="3"/>
        <v>0</v>
      </c>
      <c r="N27" s="673">
        <f t="shared" si="3"/>
        <v>2288.9847563624476</v>
      </c>
      <c r="O27" s="673">
        <f t="shared" ca="1" si="3"/>
        <v>4752.9442040838612</v>
      </c>
      <c r="P27" s="673">
        <f t="shared" si="3"/>
        <v>114.12333333333333</v>
      </c>
      <c r="Q27" s="673">
        <f t="shared" si="3"/>
        <v>305.06666666666666</v>
      </c>
      <c r="R27" s="673">
        <f t="shared" ca="1" si="3"/>
        <v>603812.13862086856</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3041.6948648642992</v>
      </c>
      <c r="D40" s="971">
        <f ca="1">tertiair!C20</f>
        <v>0</v>
      </c>
      <c r="E40" s="971">
        <f ca="1">tertiair!D20</f>
        <v>3810.1043157584068</v>
      </c>
      <c r="F40" s="971">
        <f>tertiair!E20</f>
        <v>33.684366068452633</v>
      </c>
      <c r="G40" s="971">
        <f ca="1">tertiair!F20</f>
        <v>646.21913919782287</v>
      </c>
      <c r="H40" s="971">
        <f>tertiair!G20</f>
        <v>0</v>
      </c>
      <c r="I40" s="971">
        <f>tertiair!H20</f>
        <v>0</v>
      </c>
      <c r="J40" s="971">
        <f>tertiair!I20</f>
        <v>0</v>
      </c>
      <c r="K40" s="971">
        <f>tertiair!J20</f>
        <v>2.6346191739504501E-2</v>
      </c>
      <c r="L40" s="971">
        <f>tertiair!K20</f>
        <v>0</v>
      </c>
      <c r="M40" s="971">
        <f ca="1">tertiair!L20</f>
        <v>0</v>
      </c>
      <c r="N40" s="971">
        <f>tertiair!M20</f>
        <v>0</v>
      </c>
      <c r="O40" s="971">
        <f ca="1">tertiair!N20</f>
        <v>0</v>
      </c>
      <c r="P40" s="971">
        <f>tertiair!O20</f>
        <v>0</v>
      </c>
      <c r="Q40" s="740">
        <f>tertiair!P20</f>
        <v>0</v>
      </c>
      <c r="R40" s="816">
        <f t="shared" ca="1" si="4"/>
        <v>7531.7290320807206</v>
      </c>
    </row>
    <row r="41" spans="1:18">
      <c r="A41" s="788" t="s">
        <v>213</v>
      </c>
      <c r="B41" s="795"/>
      <c r="C41" s="971">
        <f ca="1">huishoudens!B12</f>
        <v>2881.3085000154533</v>
      </c>
      <c r="D41" s="971">
        <f ca="1">huishoudens!C12</f>
        <v>0</v>
      </c>
      <c r="E41" s="971">
        <f>huishoudens!D12</f>
        <v>7986.2734283742375</v>
      </c>
      <c r="F41" s="971">
        <f>huishoudens!E12</f>
        <v>130.23644709651111</v>
      </c>
      <c r="G41" s="971">
        <f>huishoudens!F12</f>
        <v>3881.0364661391127</v>
      </c>
      <c r="H41" s="971">
        <f>huishoudens!G12</f>
        <v>0</v>
      </c>
      <c r="I41" s="971">
        <f>huishoudens!H12</f>
        <v>0</v>
      </c>
      <c r="J41" s="971">
        <f>huishoudens!I12</f>
        <v>0</v>
      </c>
      <c r="K41" s="971">
        <f>huishoudens!J12</f>
        <v>24.760260929390299</v>
      </c>
      <c r="L41" s="971">
        <f>huishoudens!K12</f>
        <v>0</v>
      </c>
      <c r="M41" s="971">
        <f>huishoudens!L12</f>
        <v>0</v>
      </c>
      <c r="N41" s="971">
        <f>huishoudens!M12</f>
        <v>0</v>
      </c>
      <c r="O41" s="971">
        <f>huishoudens!N12</f>
        <v>0</v>
      </c>
      <c r="P41" s="971">
        <f>huishoudens!O12</f>
        <v>0</v>
      </c>
      <c r="Q41" s="740">
        <f>huishoudens!P12</f>
        <v>0</v>
      </c>
      <c r="R41" s="816">
        <f t="shared" ca="1" si="4"/>
        <v>14903.615102554704</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625</v>
      </c>
      <c r="B43" s="803" t="s">
        <v>622</v>
      </c>
      <c r="C43" s="971">
        <f ca="1">industrie!B22</f>
        <v>614.00638749423183</v>
      </c>
      <c r="D43" s="971">
        <f ca="1">industrie!C22</f>
        <v>0</v>
      </c>
      <c r="E43" s="971">
        <f>industrie!D22</f>
        <v>409.587262168748</v>
      </c>
      <c r="F43" s="971">
        <f>industrie!E22</f>
        <v>59.982579714328615</v>
      </c>
      <c r="G43" s="971">
        <f>industrie!F22</f>
        <v>228.12758994400389</v>
      </c>
      <c r="H43" s="971">
        <f>industrie!G22</f>
        <v>0</v>
      </c>
      <c r="I43" s="971">
        <f>industrie!H22</f>
        <v>0</v>
      </c>
      <c r="J43" s="971">
        <f>industrie!I22</f>
        <v>0</v>
      </c>
      <c r="K43" s="971">
        <f>industrie!J22</f>
        <v>3.6264169177205263E-2</v>
      </c>
      <c r="L43" s="971">
        <f>industrie!K22</f>
        <v>0</v>
      </c>
      <c r="M43" s="971">
        <f>industrie!L22</f>
        <v>0</v>
      </c>
      <c r="N43" s="971">
        <f>industrie!M22</f>
        <v>0</v>
      </c>
      <c r="O43" s="971">
        <f>industrie!N22</f>
        <v>0</v>
      </c>
      <c r="P43" s="971">
        <f>industrie!O22</f>
        <v>0</v>
      </c>
      <c r="Q43" s="740">
        <f>industrie!P22</f>
        <v>0</v>
      </c>
      <c r="R43" s="815">
        <f t="shared" ca="1" si="4"/>
        <v>1311.7400834904895</v>
      </c>
    </row>
    <row r="44" spans="1:18">
      <c r="A44" s="788"/>
      <c r="B44" s="795" t="s">
        <v>623</v>
      </c>
      <c r="C44" s="971"/>
      <c r="D44" s="971"/>
      <c r="E44" s="971"/>
      <c r="F44" s="971"/>
      <c r="G44" s="971"/>
      <c r="H44" s="971"/>
      <c r="I44" s="971"/>
      <c r="J44" s="971"/>
      <c r="K44" s="971"/>
      <c r="L44" s="971"/>
      <c r="M44" s="971"/>
      <c r="N44" s="971"/>
      <c r="O44" s="971"/>
      <c r="P44" s="971"/>
      <c r="Q44" s="740"/>
      <c r="R44" s="816">
        <f t="shared" si="4"/>
        <v>0</v>
      </c>
    </row>
    <row r="45" spans="1:18" ht="15" thickBot="1">
      <c r="A45" s="973" t="s">
        <v>800</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6537.0097523739842</v>
      </c>
      <c r="D46" s="698">
        <f t="shared" ref="D46:Q46" ca="1" si="5">SUM(D39:D45)</f>
        <v>0</v>
      </c>
      <c r="E46" s="698">
        <f t="shared" ca="1" si="5"/>
        <v>12205.965006301392</v>
      </c>
      <c r="F46" s="698">
        <f t="shared" si="5"/>
        <v>223.90339287929237</v>
      </c>
      <c r="G46" s="698">
        <f t="shared" ca="1" si="5"/>
        <v>4755.3831952809396</v>
      </c>
      <c r="H46" s="698">
        <f t="shared" si="5"/>
        <v>0</v>
      </c>
      <c r="I46" s="698">
        <f t="shared" si="5"/>
        <v>0</v>
      </c>
      <c r="J46" s="698">
        <f t="shared" si="5"/>
        <v>0</v>
      </c>
      <c r="K46" s="698">
        <f t="shared" si="5"/>
        <v>24.82287129030701</v>
      </c>
      <c r="L46" s="698">
        <f t="shared" si="5"/>
        <v>0</v>
      </c>
      <c r="M46" s="698">
        <f t="shared" ca="1" si="5"/>
        <v>0</v>
      </c>
      <c r="N46" s="698">
        <f t="shared" si="5"/>
        <v>0</v>
      </c>
      <c r="O46" s="698">
        <f t="shared" ca="1" si="5"/>
        <v>0</v>
      </c>
      <c r="P46" s="698">
        <f t="shared" si="5"/>
        <v>0</v>
      </c>
      <c r="Q46" s="698">
        <f t="shared" si="5"/>
        <v>0</v>
      </c>
      <c r="R46" s="698">
        <f ca="1">SUM(R39:R45)</f>
        <v>23747.084218125914</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1.8020910309447786</v>
      </c>
      <c r="D49" s="971">
        <f ca="1">transport!C58</f>
        <v>0</v>
      </c>
      <c r="E49" s="971">
        <f>transport!D58</f>
        <v>0</v>
      </c>
      <c r="F49" s="971">
        <f>transport!E58</f>
        <v>0</v>
      </c>
      <c r="G49" s="971">
        <f>transport!F58</f>
        <v>0</v>
      </c>
      <c r="H49" s="971">
        <f>transport!G58</f>
        <v>218.97253897425711</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220.77463000520189</v>
      </c>
    </row>
    <row r="50" spans="1:18">
      <c r="A50" s="791" t="s">
        <v>295</v>
      </c>
      <c r="B50" s="801"/>
      <c r="C50" s="669">
        <f ca="1">transport!B18</f>
        <v>5.7798633268431994</v>
      </c>
      <c r="D50" s="669">
        <f>transport!C18</f>
        <v>0</v>
      </c>
      <c r="E50" s="669">
        <f>transport!D18</f>
        <v>9.9252340308558207</v>
      </c>
      <c r="F50" s="669">
        <f>transport!E18</f>
        <v>19.429040364089058</v>
      </c>
      <c r="G50" s="669">
        <f>transport!F18</f>
        <v>0</v>
      </c>
      <c r="H50" s="669">
        <f>transport!G18</f>
        <v>9181.7731972950078</v>
      </c>
      <c r="I50" s="669">
        <f>transport!H18</f>
        <v>1967.1372719884341</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11184.044607005231</v>
      </c>
    </row>
    <row r="51" spans="1:18" ht="15" thickBot="1">
      <c r="A51" s="788" t="s">
        <v>801</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7.5819543577879784</v>
      </c>
      <c r="D52" s="698">
        <f t="shared" ref="D52:Q52" ca="1" si="6">SUM(D48:D51)</f>
        <v>0</v>
      </c>
      <c r="E52" s="698">
        <f t="shared" si="6"/>
        <v>9.9252340308558207</v>
      </c>
      <c r="F52" s="698">
        <f t="shared" si="6"/>
        <v>19.429040364089058</v>
      </c>
      <c r="G52" s="698">
        <f t="shared" si="6"/>
        <v>0</v>
      </c>
      <c r="H52" s="698">
        <f t="shared" si="6"/>
        <v>9400.7457362692658</v>
      </c>
      <c r="I52" s="698">
        <f t="shared" si="6"/>
        <v>1967.1372719884341</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11404.819237010433</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619</v>
      </c>
      <c r="B54" s="801"/>
      <c r="C54" s="669">
        <f ca="1">+landbouw!B12</f>
        <v>2565.6635338428478</v>
      </c>
      <c r="D54" s="669">
        <f ca="1">+landbouw!C12</f>
        <v>78963.836974789927</v>
      </c>
      <c r="E54" s="669">
        <f>+landbouw!D12</f>
        <v>0</v>
      </c>
      <c r="F54" s="669">
        <f>+landbouw!E12</f>
        <v>82.931791186321561</v>
      </c>
      <c r="G54" s="669">
        <f>+landbouw!F12</f>
        <v>13825.325476854854</v>
      </c>
      <c r="H54" s="669">
        <f>+landbouw!G12</f>
        <v>0</v>
      </c>
      <c r="I54" s="669">
        <f>+landbouw!H12</f>
        <v>0</v>
      </c>
      <c r="J54" s="669">
        <f>+landbouw!I12</f>
        <v>0</v>
      </c>
      <c r="K54" s="669">
        <f>+landbouw!J12</f>
        <v>637.4670591153988</v>
      </c>
      <c r="L54" s="669">
        <f>+landbouw!K12</f>
        <v>0</v>
      </c>
      <c r="M54" s="669">
        <f>+landbouw!L12</f>
        <v>0</v>
      </c>
      <c r="N54" s="669">
        <f>+landbouw!M12</f>
        <v>0</v>
      </c>
      <c r="O54" s="669">
        <f>+landbouw!N12</f>
        <v>0</v>
      </c>
      <c r="P54" s="669">
        <f>+landbouw!O12</f>
        <v>0</v>
      </c>
      <c r="Q54" s="670">
        <f>+landbouw!P12</f>
        <v>0</v>
      </c>
      <c r="R54" s="697">
        <f ca="1">SUM(C54:Q54)</f>
        <v>96075.22483578934</v>
      </c>
    </row>
    <row r="55" spans="1:18" ht="15" thickBot="1">
      <c r="A55" s="791" t="s">
        <v>802</v>
      </c>
      <c r="B55" s="801"/>
      <c r="C55" s="669">
        <f ca="1">C25*'EF ele_warmte'!B12</f>
        <v>104.15833241844882</v>
      </c>
      <c r="D55" s="669"/>
      <c r="E55" s="669">
        <f>E25*EF_CO2_aardgas</f>
        <v>75.6764286460118</v>
      </c>
      <c r="F55" s="669"/>
      <c r="G55" s="669"/>
      <c r="H55" s="669"/>
      <c r="I55" s="669"/>
      <c r="J55" s="669"/>
      <c r="K55" s="669"/>
      <c r="L55" s="669"/>
      <c r="M55" s="669"/>
      <c r="N55" s="669"/>
      <c r="O55" s="669"/>
      <c r="P55" s="669"/>
      <c r="Q55" s="670"/>
      <c r="R55" s="697">
        <f ca="1">SUM(C55:Q55)</f>
        <v>179.83476106446062</v>
      </c>
    </row>
    <row r="56" spans="1:18" ht="15.75" thickBot="1">
      <c r="A56" s="789" t="s">
        <v>803</v>
      </c>
      <c r="B56" s="802"/>
      <c r="C56" s="698">
        <f ca="1">SUM(C54:C55)</f>
        <v>2669.8218662612967</v>
      </c>
      <c r="D56" s="698">
        <f t="shared" ref="D56:Q56" ca="1" si="7">SUM(D54:D55)</f>
        <v>78963.836974789927</v>
      </c>
      <c r="E56" s="698">
        <f t="shared" si="7"/>
        <v>75.6764286460118</v>
      </c>
      <c r="F56" s="698">
        <f t="shared" si="7"/>
        <v>82.931791186321561</v>
      </c>
      <c r="G56" s="698">
        <f t="shared" si="7"/>
        <v>13825.325476854854</v>
      </c>
      <c r="H56" s="698">
        <f t="shared" si="7"/>
        <v>0</v>
      </c>
      <c r="I56" s="698">
        <f t="shared" si="7"/>
        <v>0</v>
      </c>
      <c r="J56" s="698">
        <f t="shared" si="7"/>
        <v>0</v>
      </c>
      <c r="K56" s="698">
        <f t="shared" si="7"/>
        <v>637.4670591153988</v>
      </c>
      <c r="L56" s="698">
        <f t="shared" si="7"/>
        <v>0</v>
      </c>
      <c r="M56" s="698">
        <f t="shared" si="7"/>
        <v>0</v>
      </c>
      <c r="N56" s="698">
        <f t="shared" si="7"/>
        <v>0</v>
      </c>
      <c r="O56" s="698">
        <f t="shared" si="7"/>
        <v>0</v>
      </c>
      <c r="P56" s="698">
        <f t="shared" si="7"/>
        <v>0</v>
      </c>
      <c r="Q56" s="699">
        <f t="shared" si="7"/>
        <v>0</v>
      </c>
      <c r="R56" s="700">
        <f ca="1">SUM(R54:R55)</f>
        <v>96255.059596853796</v>
      </c>
    </row>
    <row r="57" spans="1:18" ht="15.75">
      <c r="A57" s="770" t="s">
        <v>620</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9214.4135729930695</v>
      </c>
      <c r="D61" s="706">
        <f t="shared" ref="D61:Q61" ca="1" si="8">D46+D52+D56</f>
        <v>78963.836974789927</v>
      </c>
      <c r="E61" s="706">
        <f t="shared" ca="1" si="8"/>
        <v>12291.566668978259</v>
      </c>
      <c r="F61" s="706">
        <f t="shared" si="8"/>
        <v>326.26422442970295</v>
      </c>
      <c r="G61" s="706">
        <f t="shared" ca="1" si="8"/>
        <v>18580.708672135792</v>
      </c>
      <c r="H61" s="706">
        <f t="shared" si="8"/>
        <v>9400.7457362692658</v>
      </c>
      <c r="I61" s="706">
        <f t="shared" si="8"/>
        <v>1967.1372719884341</v>
      </c>
      <c r="J61" s="706">
        <f t="shared" si="8"/>
        <v>0</v>
      </c>
      <c r="K61" s="706">
        <f t="shared" si="8"/>
        <v>662.28993040570583</v>
      </c>
      <c r="L61" s="706">
        <f t="shared" si="8"/>
        <v>0</v>
      </c>
      <c r="M61" s="706">
        <f t="shared" ca="1" si="8"/>
        <v>0</v>
      </c>
      <c r="N61" s="706">
        <f t="shared" si="8"/>
        <v>0</v>
      </c>
      <c r="O61" s="706">
        <f t="shared" ca="1" si="8"/>
        <v>0</v>
      </c>
      <c r="P61" s="706">
        <f t="shared" si="8"/>
        <v>0</v>
      </c>
      <c r="Q61" s="706">
        <f t="shared" si="8"/>
        <v>0</v>
      </c>
      <c r="R61" s="706">
        <f ca="1">R46+R52+R56</f>
        <v>131406.96305199014</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0.20641879143269115</v>
      </c>
      <c r="D63" s="747">
        <f t="shared" ca="1" si="9"/>
        <v>0.21065196489515245</v>
      </c>
      <c r="E63" s="982">
        <f t="shared" ca="1" si="9"/>
        <v>0.20199999999999999</v>
      </c>
      <c r="F63" s="747">
        <f t="shared" si="9"/>
        <v>0.22699999999999998</v>
      </c>
      <c r="G63" s="747">
        <f t="shared" ca="1" si="9"/>
        <v>0.26699999999999996</v>
      </c>
      <c r="H63" s="747">
        <f t="shared" si="9"/>
        <v>0.26700000000000007</v>
      </c>
      <c r="I63" s="747">
        <f t="shared" si="9"/>
        <v>0.249</v>
      </c>
      <c r="J63" s="747">
        <f t="shared" si="9"/>
        <v>0</v>
      </c>
      <c r="K63" s="747">
        <f t="shared" si="9"/>
        <v>0.35399999999999998</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628</v>
      </c>
      <c r="Q69" s="1084" t="s">
        <v>627</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626</v>
      </c>
      <c r="C71" s="957" t="s">
        <v>804</v>
      </c>
      <c r="D71" s="985" t="s">
        <v>192</v>
      </c>
      <c r="E71" s="986" t="s">
        <v>193</v>
      </c>
      <c r="F71" s="963" t="s">
        <v>194</v>
      </c>
      <c r="G71" s="960" t="s">
        <v>196</v>
      </c>
      <c r="H71" s="987" t="s">
        <v>197</v>
      </c>
      <c r="I71" s="954"/>
      <c r="J71" s="954"/>
      <c r="K71" s="954"/>
      <c r="L71" s="954"/>
      <c r="M71" s="961"/>
      <c r="N71" s="954"/>
      <c r="O71" s="959"/>
      <c r="P71" s="988"/>
      <c r="Q71" s="953" t="s">
        <v>629</v>
      </c>
      <c r="R71" s="959" t="s">
        <v>630</v>
      </c>
    </row>
    <row r="72" spans="1:18" ht="15.75" thickTop="1">
      <c r="A72" s="716" t="s">
        <v>237</v>
      </c>
      <c r="B72" s="809">
        <f>'lokale energieproductie'!B4</f>
        <v>0</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0</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3734.1810323535783</v>
      </c>
      <c r="C74" s="1068"/>
      <c r="D74" s="1068"/>
      <c r="E74" s="1071"/>
      <c r="F74" s="1071"/>
      <c r="G74" s="1132"/>
      <c r="H74" s="1135"/>
      <c r="I74" s="1068"/>
      <c r="J74" s="956"/>
      <c r="K74" s="1071"/>
      <c r="L74" s="1071"/>
      <c r="M74" s="1071"/>
      <c r="N74" s="1071"/>
      <c r="O74" s="1091"/>
      <c r="P74" s="818">
        <v>0</v>
      </c>
      <c r="Q74" s="824"/>
      <c r="R74" s="818">
        <v>0</v>
      </c>
    </row>
    <row r="75" spans="1:18" ht="15.75" thickBot="1">
      <c r="A75" s="717" t="s">
        <v>805</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29806.65</v>
      </c>
      <c r="C76" s="716">
        <f>'lokale energieproductie'!B8*IFERROR(SUM(D76:H76)/SUM(D76:O76),0)</f>
        <v>232591.5</v>
      </c>
      <c r="D76" s="992">
        <f>'lokale energieproductie'!C8</f>
        <v>273637.05882352946</v>
      </c>
      <c r="E76" s="993">
        <f>'lokale energieproductie'!D8</f>
        <v>0</v>
      </c>
      <c r="F76" s="993">
        <f>'lokale energieproductie'!E8</f>
        <v>0</v>
      </c>
      <c r="G76" s="993">
        <f>'lokale energieproductie'!F8</f>
        <v>0</v>
      </c>
      <c r="H76" s="993">
        <f>'lokale energieproductie'!G8</f>
        <v>0</v>
      </c>
      <c r="I76" s="993">
        <f>'lokale energieproductie'!I8</f>
        <v>0</v>
      </c>
      <c r="J76" s="993">
        <f>'lokale energieproductie'!J8</f>
        <v>35066.647058823539</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55274.685882352955</v>
      </c>
      <c r="R76" s="818">
        <v>0</v>
      </c>
    </row>
    <row r="77" spans="1:18" ht="30.75" thickBot="1">
      <c r="A77" s="719" t="s">
        <v>339</v>
      </c>
      <c r="B77" s="716">
        <f>'lokale energieproductie'!B9*IFERROR(SUM(I77:O77)/SUM(D77:O77),0)</f>
        <v>1647</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0</v>
      </c>
      <c r="J77" s="993">
        <f>'lokale energieproductie'!J9</f>
        <v>4705.7142857142862</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35187.831032353577</v>
      </c>
      <c r="C78" s="721">
        <f>SUM(C72:C77)</f>
        <v>232591.5</v>
      </c>
      <c r="D78" s="722">
        <f t="shared" ref="D78:H78" si="10">SUM(D76:D77)</f>
        <v>273637.05882352946</v>
      </c>
      <c r="E78" s="722">
        <f t="shared" si="10"/>
        <v>0</v>
      </c>
      <c r="F78" s="722">
        <f t="shared" si="10"/>
        <v>0</v>
      </c>
      <c r="G78" s="722">
        <f t="shared" si="10"/>
        <v>0</v>
      </c>
      <c r="H78" s="722">
        <f t="shared" si="10"/>
        <v>0</v>
      </c>
      <c r="I78" s="722">
        <f>SUM(I76:I77)</f>
        <v>0</v>
      </c>
      <c r="J78" s="722">
        <f>SUM(J76:J77)</f>
        <v>39772.361344537829</v>
      </c>
      <c r="K78" s="722">
        <f t="shared" ref="K78:L78" si="11">SUM(K76:K77)</f>
        <v>0</v>
      </c>
      <c r="L78" s="722">
        <f t="shared" si="11"/>
        <v>0</v>
      </c>
      <c r="M78" s="722">
        <f>SUM(M76:M77)</f>
        <v>0</v>
      </c>
      <c r="N78" s="722">
        <f>SUM(N76:N77)</f>
        <v>0</v>
      </c>
      <c r="O78" s="826">
        <f>SUM(O76:O77)</f>
        <v>0</v>
      </c>
      <c r="P78" s="723">
        <v>0</v>
      </c>
      <c r="Q78" s="723">
        <f>SUM(Q76:Q77)</f>
        <v>55274.685882352955</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628</v>
      </c>
      <c r="Q84" s="1077" t="s">
        <v>627</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626</v>
      </c>
      <c r="C86" s="810" t="s">
        <v>804</v>
      </c>
      <c r="D86" s="953" t="s">
        <v>192</v>
      </c>
      <c r="E86" s="954" t="s">
        <v>193</v>
      </c>
      <c r="F86" s="962" t="s">
        <v>194</v>
      </c>
      <c r="G86" s="954" t="s">
        <v>196</v>
      </c>
      <c r="H86" s="730" t="s">
        <v>197</v>
      </c>
      <c r="I86" s="1145"/>
      <c r="J86" s="1146"/>
      <c r="K86" s="1121"/>
      <c r="L86" s="1121"/>
      <c r="M86" s="1149"/>
      <c r="N86" s="1121"/>
      <c r="O86" s="1151"/>
      <c r="P86" s="988"/>
      <c r="Q86" s="953" t="s">
        <v>629</v>
      </c>
      <c r="R86" s="959" t="s">
        <v>630</v>
      </c>
    </row>
    <row r="87" spans="1:19" ht="15.75" thickTop="1">
      <c r="A87" s="731" t="s">
        <v>240</v>
      </c>
      <c r="B87" s="732">
        <f>'lokale energieproductie'!B17*IFERROR(SUM(I87:O87)/SUM(D87:O87),0)</f>
        <v>42580.928571428587</v>
      </c>
      <c r="C87" s="732">
        <f>'lokale energieproductie'!B17*IFERROR(SUM(D87:H87)/SUM(D87:O87),0)</f>
        <v>332273.57142857148</v>
      </c>
      <c r="D87" s="743">
        <f>'lokale energieproductie'!C17</f>
        <v>390910.08403361344</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50095.210084033628</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78963.836974789927</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42580.928571428587</v>
      </c>
      <c r="C90" s="721">
        <f>SUM(C87:C89)</f>
        <v>332273.57142857148</v>
      </c>
      <c r="D90" s="721">
        <f t="shared" ref="D90:H90" si="12">SUM(D87:D89)</f>
        <v>390910.08403361344</v>
      </c>
      <c r="E90" s="721">
        <f t="shared" si="12"/>
        <v>0</v>
      </c>
      <c r="F90" s="721">
        <f t="shared" si="12"/>
        <v>0</v>
      </c>
      <c r="G90" s="721">
        <f t="shared" si="12"/>
        <v>0</v>
      </c>
      <c r="H90" s="721">
        <f t="shared" si="12"/>
        <v>0</v>
      </c>
      <c r="I90" s="721">
        <f>SUM(I87:I89)</f>
        <v>0</v>
      </c>
      <c r="J90" s="721">
        <f>SUM(J87:J89)</f>
        <v>50095.210084033628</v>
      </c>
      <c r="K90" s="721">
        <f t="shared" ref="K90:L90" si="13">SUM(K87:K89)</f>
        <v>0</v>
      </c>
      <c r="L90" s="721">
        <f t="shared" si="13"/>
        <v>0</v>
      </c>
      <c r="M90" s="721">
        <f>SUM(M87:M89)</f>
        <v>0</v>
      </c>
      <c r="N90" s="721">
        <f>SUM(N87:N89)</f>
        <v>0</v>
      </c>
      <c r="O90" s="721">
        <f>SUM(O87:O89)</f>
        <v>0</v>
      </c>
      <c r="P90" s="721">
        <v>0</v>
      </c>
      <c r="Q90" s="721">
        <f>SUM(Q87:Q89)</f>
        <v>78963.836974789927</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536</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13958.557164380007</v>
      </c>
      <c r="C4" s="443">
        <f>huishoudens!C8</f>
        <v>0</v>
      </c>
      <c r="D4" s="443">
        <f>huishoudens!D8</f>
        <v>39536.007071159591</v>
      </c>
      <c r="E4" s="443">
        <f>huishoudens!E8</f>
        <v>573.72884183485064</v>
      </c>
      <c r="F4" s="443">
        <f>huishoudens!F8</f>
        <v>14535.717101644615</v>
      </c>
      <c r="G4" s="443">
        <f>huishoudens!G8</f>
        <v>0</v>
      </c>
      <c r="H4" s="443">
        <f>huishoudens!H8</f>
        <v>0</v>
      </c>
      <c r="I4" s="443">
        <f>huishoudens!I8</f>
        <v>0</v>
      </c>
      <c r="J4" s="443">
        <f>huishoudens!J8</f>
        <v>69.944239913531916</v>
      </c>
      <c r="K4" s="443">
        <f>huishoudens!K8</f>
        <v>0</v>
      </c>
      <c r="L4" s="443">
        <f>huishoudens!L8</f>
        <v>0</v>
      </c>
      <c r="M4" s="443">
        <f>huishoudens!M8</f>
        <v>0</v>
      </c>
      <c r="N4" s="443">
        <f>huishoudens!N8</f>
        <v>4573.5788921250733</v>
      </c>
      <c r="O4" s="443">
        <f>huishoudens!O8</f>
        <v>109.43333333333334</v>
      </c>
      <c r="P4" s="444">
        <f>huishoudens!P8</f>
        <v>305.06666666666666</v>
      </c>
      <c r="Q4" s="445">
        <f>SUM(B4:P4)</f>
        <v>73662.033311057676</v>
      </c>
    </row>
    <row r="5" spans="1:17">
      <c r="A5" s="442" t="s">
        <v>149</v>
      </c>
      <c r="B5" s="443">
        <f ca="1">tertiair!B16</f>
        <v>14274.623145</v>
      </c>
      <c r="C5" s="443">
        <f ca="1">tertiair!C16</f>
        <v>0</v>
      </c>
      <c r="D5" s="443">
        <f ca="1">tertiair!D16</f>
        <v>18861.902553259439</v>
      </c>
      <c r="E5" s="443">
        <f>tertiair!E16</f>
        <v>148.38927783459309</v>
      </c>
      <c r="F5" s="443">
        <f ca="1">tertiair!F16</f>
        <v>2420.2964014899731</v>
      </c>
      <c r="G5" s="443">
        <f>tertiair!G16</f>
        <v>0</v>
      </c>
      <c r="H5" s="443">
        <f>tertiair!H16</f>
        <v>0</v>
      </c>
      <c r="I5" s="443">
        <f>tertiair!I16</f>
        <v>0</v>
      </c>
      <c r="J5" s="443">
        <f>tertiair!J16</f>
        <v>7.4424270450577687E-2</v>
      </c>
      <c r="K5" s="443">
        <f>tertiair!K16</f>
        <v>0</v>
      </c>
      <c r="L5" s="443">
        <f ca="1">tertiair!L16</f>
        <v>0</v>
      </c>
      <c r="M5" s="443">
        <f>tertiair!M16</f>
        <v>0</v>
      </c>
      <c r="N5" s="443">
        <f ca="1">tertiair!N16</f>
        <v>0</v>
      </c>
      <c r="O5" s="443">
        <f>tertiair!O16</f>
        <v>4.6900000000000004</v>
      </c>
      <c r="P5" s="444">
        <f>tertiair!P16</f>
        <v>0</v>
      </c>
      <c r="Q5" s="442">
        <f t="shared" ref="Q5:Q14" ca="1" si="0">SUM(B5:P5)</f>
        <v>35709.975801854453</v>
      </c>
    </row>
    <row r="6" spans="1:17">
      <c r="A6" s="442" t="s">
        <v>187</v>
      </c>
      <c r="B6" s="443">
        <f>'openbare verlichting'!B8</f>
        <v>460.92899999999997</v>
      </c>
      <c r="C6" s="443"/>
      <c r="D6" s="443"/>
      <c r="E6" s="443"/>
      <c r="F6" s="443"/>
      <c r="G6" s="443"/>
      <c r="H6" s="443"/>
      <c r="I6" s="443"/>
      <c r="J6" s="443"/>
      <c r="K6" s="443"/>
      <c r="L6" s="443"/>
      <c r="M6" s="443"/>
      <c r="N6" s="443"/>
      <c r="O6" s="443"/>
      <c r="P6" s="444"/>
      <c r="Q6" s="442">
        <f t="shared" si="0"/>
        <v>460.92899999999997</v>
      </c>
    </row>
    <row r="7" spans="1:17">
      <c r="A7" s="442" t="s">
        <v>105</v>
      </c>
      <c r="B7" s="443">
        <f>landbouw!B8</f>
        <v>12429.408756999999</v>
      </c>
      <c r="C7" s="443">
        <f>landbouw!C8</f>
        <v>374854.5</v>
      </c>
      <c r="D7" s="443">
        <f>landbouw!D8</f>
        <v>0</v>
      </c>
      <c r="E7" s="443">
        <f>landbouw!E8</f>
        <v>365.33828716441218</v>
      </c>
      <c r="F7" s="443">
        <f>landbouw!F8</f>
        <v>51780.245231666115</v>
      </c>
      <c r="G7" s="443">
        <f>landbouw!G8</f>
        <v>0</v>
      </c>
      <c r="H7" s="443">
        <f>landbouw!H8</f>
        <v>0</v>
      </c>
      <c r="I7" s="443">
        <f>landbouw!I8</f>
        <v>0</v>
      </c>
      <c r="J7" s="443">
        <f>landbouw!J8</f>
        <v>1800.7544042807876</v>
      </c>
      <c r="K7" s="443">
        <f>landbouw!K8</f>
        <v>0</v>
      </c>
      <c r="L7" s="443">
        <f>landbouw!L8</f>
        <v>0</v>
      </c>
      <c r="M7" s="443">
        <f>landbouw!M8</f>
        <v>0</v>
      </c>
      <c r="N7" s="443">
        <f>landbouw!N8</f>
        <v>0</v>
      </c>
      <c r="O7" s="443">
        <f>landbouw!O8</f>
        <v>0</v>
      </c>
      <c r="P7" s="444">
        <f>landbouw!P8</f>
        <v>0</v>
      </c>
      <c r="Q7" s="442">
        <f t="shared" si="0"/>
        <v>441230.24668011133</v>
      </c>
    </row>
    <row r="8" spans="1:17">
      <c r="A8" s="442" t="s">
        <v>621</v>
      </c>
      <c r="B8" s="443">
        <f>industrie!B18</f>
        <v>2974.5663329999998</v>
      </c>
      <c r="C8" s="443">
        <f>industrie!C18</f>
        <v>0</v>
      </c>
      <c r="D8" s="443">
        <f>industrie!D18</f>
        <v>2027.6597137066731</v>
      </c>
      <c r="E8" s="443">
        <f>industrie!E18</f>
        <v>264.2404392701701</v>
      </c>
      <c r="F8" s="443">
        <f>industrie!F18</f>
        <v>854.41044922847891</v>
      </c>
      <c r="G8" s="443">
        <f>industrie!G18</f>
        <v>0</v>
      </c>
      <c r="H8" s="443">
        <f>industrie!H18</f>
        <v>0</v>
      </c>
      <c r="I8" s="443">
        <f>industrie!I18</f>
        <v>0</v>
      </c>
      <c r="J8" s="443">
        <f>industrie!J18</f>
        <v>0.10244115586781148</v>
      </c>
      <c r="K8" s="443">
        <f>industrie!K18</f>
        <v>0</v>
      </c>
      <c r="L8" s="443">
        <f>industrie!L18</f>
        <v>0</v>
      </c>
      <c r="M8" s="443">
        <f>industrie!M18</f>
        <v>0</v>
      </c>
      <c r="N8" s="443">
        <f>industrie!N18</f>
        <v>179.36531195878806</v>
      </c>
      <c r="O8" s="443">
        <f>industrie!O18</f>
        <v>0</v>
      </c>
      <c r="P8" s="444">
        <f>industrie!P18</f>
        <v>0</v>
      </c>
      <c r="Q8" s="442">
        <f t="shared" si="0"/>
        <v>6300.3446883199767</v>
      </c>
    </row>
    <row r="9" spans="1:17" s="448" customFormat="1">
      <c r="A9" s="446" t="s">
        <v>547</v>
      </c>
      <c r="B9" s="447">
        <f>transport!B14</f>
        <v>28.000664506980662</v>
      </c>
      <c r="C9" s="447">
        <f>transport!C14</f>
        <v>0</v>
      </c>
      <c r="D9" s="447">
        <f>transport!D14</f>
        <v>49.134821934929803</v>
      </c>
      <c r="E9" s="447">
        <f>transport!E14</f>
        <v>85.590486185414349</v>
      </c>
      <c r="F9" s="447">
        <f>transport!F14</f>
        <v>0</v>
      </c>
      <c r="G9" s="447">
        <f>transport!G14</f>
        <v>34388.663660280923</v>
      </c>
      <c r="H9" s="447">
        <f>transport!H14</f>
        <v>7900.149686700539</v>
      </c>
      <c r="I9" s="447">
        <f>transport!I14</f>
        <v>0</v>
      </c>
      <c r="J9" s="447">
        <f>transport!J14</f>
        <v>0</v>
      </c>
      <c r="K9" s="447">
        <f>transport!K14</f>
        <v>0</v>
      </c>
      <c r="L9" s="447">
        <f>transport!L14</f>
        <v>0</v>
      </c>
      <c r="M9" s="447">
        <f>transport!M14</f>
        <v>2241.7564003663056</v>
      </c>
      <c r="N9" s="447">
        <f>transport!N14</f>
        <v>0</v>
      </c>
      <c r="O9" s="447">
        <f>transport!O14</f>
        <v>0</v>
      </c>
      <c r="P9" s="447">
        <f>transport!P14</f>
        <v>0</v>
      </c>
      <c r="Q9" s="446">
        <f>SUM(B9:P9)</f>
        <v>44693.295719975096</v>
      </c>
    </row>
    <row r="10" spans="1:17">
      <c r="A10" s="442" t="s">
        <v>537</v>
      </c>
      <c r="B10" s="443">
        <f>transport!B54</f>
        <v>8.7302663601361257</v>
      </c>
      <c r="C10" s="443">
        <f>transport!C54</f>
        <v>0</v>
      </c>
      <c r="D10" s="443">
        <f>transport!D54</f>
        <v>0</v>
      </c>
      <c r="E10" s="443">
        <f>transport!E54</f>
        <v>0</v>
      </c>
      <c r="F10" s="443">
        <f>transport!F54</f>
        <v>0</v>
      </c>
      <c r="G10" s="443">
        <f>transport!G54</f>
        <v>820.12186881744231</v>
      </c>
      <c r="H10" s="443">
        <f>transport!H54</f>
        <v>0</v>
      </c>
      <c r="I10" s="443">
        <f>transport!I54</f>
        <v>0</v>
      </c>
      <c r="J10" s="443">
        <f>transport!J54</f>
        <v>0</v>
      </c>
      <c r="K10" s="443">
        <f>transport!K54</f>
        <v>0</v>
      </c>
      <c r="L10" s="443">
        <f>transport!L54</f>
        <v>0</v>
      </c>
      <c r="M10" s="443">
        <f>transport!M54</f>
        <v>47.228355996142135</v>
      </c>
      <c r="N10" s="443">
        <f>transport!N54</f>
        <v>0</v>
      </c>
      <c r="O10" s="443">
        <f>transport!O54</f>
        <v>0</v>
      </c>
      <c r="P10" s="444">
        <f>transport!P54</f>
        <v>0</v>
      </c>
      <c r="Q10" s="442">
        <f t="shared" si="0"/>
        <v>876.08049117372059</v>
      </c>
    </row>
    <row r="11" spans="1:17">
      <c r="A11" s="442" t="s">
        <v>538</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539</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540</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806</v>
      </c>
      <c r="B14" s="450">
        <f>'SEAP template'!C25</f>
        <v>504.59714299999996</v>
      </c>
      <c r="C14" s="450"/>
      <c r="D14" s="450">
        <f>'SEAP template'!E25</f>
        <v>374.63578537629598</v>
      </c>
      <c r="E14" s="450"/>
      <c r="F14" s="450"/>
      <c r="G14" s="450"/>
      <c r="H14" s="450"/>
      <c r="I14" s="450"/>
      <c r="J14" s="450"/>
      <c r="K14" s="450"/>
      <c r="L14" s="450"/>
      <c r="M14" s="450"/>
      <c r="N14" s="450"/>
      <c r="O14" s="450"/>
      <c r="P14" s="451"/>
      <c r="Q14" s="442">
        <f t="shared" si="0"/>
        <v>879.23292837629594</v>
      </c>
    </row>
    <row r="15" spans="1:17" s="452" customFormat="1">
      <c r="A15" s="997" t="s">
        <v>541</v>
      </c>
      <c r="B15" s="945">
        <f ca="1">SUM(B4:B14)</f>
        <v>44639.412473247125</v>
      </c>
      <c r="C15" s="945">
        <f t="shared" ref="C15:Q15" ca="1" si="1">SUM(C4:C14)</f>
        <v>374854.5</v>
      </c>
      <c r="D15" s="945">
        <f t="shared" ca="1" si="1"/>
        <v>60849.339945436928</v>
      </c>
      <c r="E15" s="945">
        <f t="shared" si="1"/>
        <v>1437.2873322894404</v>
      </c>
      <c r="F15" s="945">
        <f t="shared" ca="1" si="1"/>
        <v>69590.66918402919</v>
      </c>
      <c r="G15" s="945">
        <f t="shared" si="1"/>
        <v>35208.785529098364</v>
      </c>
      <c r="H15" s="945">
        <f t="shared" si="1"/>
        <v>7900.149686700539</v>
      </c>
      <c r="I15" s="945">
        <f t="shared" si="1"/>
        <v>0</v>
      </c>
      <c r="J15" s="945">
        <f t="shared" si="1"/>
        <v>1870.875509620638</v>
      </c>
      <c r="K15" s="945">
        <f t="shared" si="1"/>
        <v>0</v>
      </c>
      <c r="L15" s="945">
        <f t="shared" ca="1" si="1"/>
        <v>0</v>
      </c>
      <c r="M15" s="945">
        <f t="shared" si="1"/>
        <v>2288.9847563624476</v>
      </c>
      <c r="N15" s="945">
        <f t="shared" ca="1" si="1"/>
        <v>4752.9442040838612</v>
      </c>
      <c r="O15" s="945">
        <f t="shared" si="1"/>
        <v>114.12333333333333</v>
      </c>
      <c r="P15" s="945">
        <f t="shared" si="1"/>
        <v>305.06666666666666</v>
      </c>
      <c r="Q15" s="945">
        <f t="shared" ca="1" si="1"/>
        <v>603812.13862086856</v>
      </c>
    </row>
    <row r="17" spans="1:17">
      <c r="A17" s="453" t="s">
        <v>542</v>
      </c>
      <c r="B17" s="752">
        <f ca="1">huishoudens!B10</f>
        <v>0.20641879143269115</v>
      </c>
      <c r="C17" s="752">
        <f ca="1">huishoudens!C10</f>
        <v>0.21065196489515245</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544</v>
      </c>
      <c r="B19" s="1153" t="s">
        <v>543</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2881.3085000154533</v>
      </c>
      <c r="C22" s="443">
        <f t="shared" ref="C22:C32" ca="1" si="3">C4*$C$17</f>
        <v>0</v>
      </c>
      <c r="D22" s="443">
        <f t="shared" ref="D22:D32" si="4">D4*$D$17</f>
        <v>7986.2734283742375</v>
      </c>
      <c r="E22" s="443">
        <f t="shared" ref="E22:E32" si="5">E4*$E$17</f>
        <v>130.23644709651111</v>
      </c>
      <c r="F22" s="443">
        <f t="shared" ref="F22:F32" si="6">F4*$F$17</f>
        <v>3881.0364661391127</v>
      </c>
      <c r="G22" s="443">
        <f t="shared" ref="G22:G32" si="7">G4*$G$17</f>
        <v>0</v>
      </c>
      <c r="H22" s="443">
        <f t="shared" ref="H22:H32" si="8">H4*$H$17</f>
        <v>0</v>
      </c>
      <c r="I22" s="443">
        <f t="shared" ref="I22:I32" si="9">I4*$I$17</f>
        <v>0</v>
      </c>
      <c r="J22" s="443">
        <f t="shared" ref="J22:J32" si="10">J4*$J$17</f>
        <v>24.760260929390299</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14903.615102554704</v>
      </c>
    </row>
    <row r="23" spans="1:17">
      <c r="A23" s="442" t="s">
        <v>149</v>
      </c>
      <c r="B23" s="443">
        <f t="shared" ca="1" si="2"/>
        <v>2946.5504577480206</v>
      </c>
      <c r="C23" s="443">
        <f t="shared" ca="1" si="3"/>
        <v>0</v>
      </c>
      <c r="D23" s="443">
        <f t="shared" ca="1" si="4"/>
        <v>3810.1043157584068</v>
      </c>
      <c r="E23" s="443">
        <f t="shared" si="5"/>
        <v>33.684366068452633</v>
      </c>
      <c r="F23" s="443">
        <f t="shared" ca="1" si="6"/>
        <v>646.21913919782287</v>
      </c>
      <c r="G23" s="443">
        <f t="shared" si="7"/>
        <v>0</v>
      </c>
      <c r="H23" s="443">
        <f t="shared" si="8"/>
        <v>0</v>
      </c>
      <c r="I23" s="443">
        <f t="shared" si="9"/>
        <v>0</v>
      </c>
      <c r="J23" s="443">
        <f t="shared" si="10"/>
        <v>2.6346191739504501E-2</v>
      </c>
      <c r="K23" s="443">
        <f t="shared" si="11"/>
        <v>0</v>
      </c>
      <c r="L23" s="443">
        <f t="shared" ca="1" si="12"/>
        <v>0</v>
      </c>
      <c r="M23" s="443">
        <f t="shared" si="13"/>
        <v>0</v>
      </c>
      <c r="N23" s="443">
        <f t="shared" ca="1" si="14"/>
        <v>0</v>
      </c>
      <c r="O23" s="443">
        <f t="shared" si="15"/>
        <v>0</v>
      </c>
      <c r="P23" s="444">
        <f t="shared" si="16"/>
        <v>0</v>
      </c>
      <c r="Q23" s="442">
        <f t="shared" ref="Q23:Q32" ca="1" si="17">SUM(B23:P23)</f>
        <v>7436.5846249644419</v>
      </c>
    </row>
    <row r="24" spans="1:17">
      <c r="A24" s="442" t="s">
        <v>187</v>
      </c>
      <c r="B24" s="443">
        <f t="shared" ca="1" si="2"/>
        <v>95.144407116278899</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95.144407116278899</v>
      </c>
    </row>
    <row r="25" spans="1:17">
      <c r="A25" s="442" t="s">
        <v>105</v>
      </c>
      <c r="B25" s="443">
        <f t="shared" ca="1" si="2"/>
        <v>2565.6635338428478</v>
      </c>
      <c r="C25" s="443">
        <f t="shared" ca="1" si="3"/>
        <v>78963.836974789927</v>
      </c>
      <c r="D25" s="443">
        <f t="shared" si="4"/>
        <v>0</v>
      </c>
      <c r="E25" s="443">
        <f t="shared" si="5"/>
        <v>82.931791186321561</v>
      </c>
      <c r="F25" s="443">
        <f t="shared" si="6"/>
        <v>13825.325476854854</v>
      </c>
      <c r="G25" s="443">
        <f t="shared" si="7"/>
        <v>0</v>
      </c>
      <c r="H25" s="443">
        <f t="shared" si="8"/>
        <v>0</v>
      </c>
      <c r="I25" s="443">
        <f t="shared" si="9"/>
        <v>0</v>
      </c>
      <c r="J25" s="443">
        <f t="shared" si="10"/>
        <v>637.4670591153988</v>
      </c>
      <c r="K25" s="443">
        <f t="shared" si="11"/>
        <v>0</v>
      </c>
      <c r="L25" s="443">
        <f t="shared" si="12"/>
        <v>0</v>
      </c>
      <c r="M25" s="443">
        <f t="shared" si="13"/>
        <v>0</v>
      </c>
      <c r="N25" s="443">
        <f t="shared" si="14"/>
        <v>0</v>
      </c>
      <c r="O25" s="443">
        <f t="shared" si="15"/>
        <v>0</v>
      </c>
      <c r="P25" s="444">
        <f t="shared" si="16"/>
        <v>0</v>
      </c>
      <c r="Q25" s="442">
        <f t="shared" ca="1" si="17"/>
        <v>96075.22483578934</v>
      </c>
    </row>
    <row r="26" spans="1:17">
      <c r="A26" s="442" t="s">
        <v>621</v>
      </c>
      <c r="B26" s="443">
        <f t="shared" ca="1" si="2"/>
        <v>614.00638749423183</v>
      </c>
      <c r="C26" s="443">
        <f t="shared" ca="1" si="3"/>
        <v>0</v>
      </c>
      <c r="D26" s="443">
        <f t="shared" si="4"/>
        <v>409.587262168748</v>
      </c>
      <c r="E26" s="443">
        <f t="shared" si="5"/>
        <v>59.982579714328615</v>
      </c>
      <c r="F26" s="443">
        <f t="shared" si="6"/>
        <v>228.12758994400389</v>
      </c>
      <c r="G26" s="443">
        <f t="shared" si="7"/>
        <v>0</v>
      </c>
      <c r="H26" s="443">
        <f t="shared" si="8"/>
        <v>0</v>
      </c>
      <c r="I26" s="443">
        <f t="shared" si="9"/>
        <v>0</v>
      </c>
      <c r="J26" s="443">
        <f t="shared" si="10"/>
        <v>3.6264169177205263E-2</v>
      </c>
      <c r="K26" s="443">
        <f t="shared" si="11"/>
        <v>0</v>
      </c>
      <c r="L26" s="443">
        <f t="shared" si="12"/>
        <v>0</v>
      </c>
      <c r="M26" s="443">
        <f t="shared" si="13"/>
        <v>0</v>
      </c>
      <c r="N26" s="443">
        <f t="shared" si="14"/>
        <v>0</v>
      </c>
      <c r="O26" s="443">
        <f t="shared" si="15"/>
        <v>0</v>
      </c>
      <c r="P26" s="444">
        <f t="shared" si="16"/>
        <v>0</v>
      </c>
      <c r="Q26" s="442">
        <f t="shared" ca="1" si="17"/>
        <v>1311.7400834904895</v>
      </c>
    </row>
    <row r="27" spans="1:17" s="448" customFormat="1">
      <c r="A27" s="446" t="s">
        <v>547</v>
      </c>
      <c r="B27" s="746">
        <f t="shared" ca="1" si="2"/>
        <v>5.7798633268431994</v>
      </c>
      <c r="C27" s="447">
        <f t="shared" ca="1" si="3"/>
        <v>0</v>
      </c>
      <c r="D27" s="447">
        <f t="shared" si="4"/>
        <v>9.9252340308558207</v>
      </c>
      <c r="E27" s="447">
        <f t="shared" si="5"/>
        <v>19.429040364089058</v>
      </c>
      <c r="F27" s="447">
        <f t="shared" si="6"/>
        <v>0</v>
      </c>
      <c r="G27" s="447">
        <f t="shared" si="7"/>
        <v>9181.7731972950078</v>
      </c>
      <c r="H27" s="447">
        <f t="shared" si="8"/>
        <v>1967.1372719884341</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11184.044607005231</v>
      </c>
    </row>
    <row r="28" spans="1:17">
      <c r="A28" s="442" t="s">
        <v>537</v>
      </c>
      <c r="B28" s="443">
        <f t="shared" ca="1" si="2"/>
        <v>1.8020910309447786</v>
      </c>
      <c r="C28" s="443">
        <f t="shared" ca="1" si="3"/>
        <v>0</v>
      </c>
      <c r="D28" s="443">
        <f t="shared" si="4"/>
        <v>0</v>
      </c>
      <c r="E28" s="443">
        <f t="shared" si="5"/>
        <v>0</v>
      </c>
      <c r="F28" s="443">
        <f t="shared" si="6"/>
        <v>0</v>
      </c>
      <c r="G28" s="443">
        <f t="shared" si="7"/>
        <v>218.97253897425711</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220.77463000520189</v>
      </c>
    </row>
    <row r="29" spans="1:17">
      <c r="A29" s="442" t="s">
        <v>538</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539</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540</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806</v>
      </c>
      <c r="B32" s="443">
        <f t="shared" ca="1" si="2"/>
        <v>104.15833241844882</v>
      </c>
      <c r="C32" s="443">
        <f t="shared" ca="1" si="3"/>
        <v>0</v>
      </c>
      <c r="D32" s="443">
        <f t="shared" si="4"/>
        <v>75.6764286460118</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179.83476106446062</v>
      </c>
    </row>
    <row r="33" spans="1:17" s="452" customFormat="1">
      <c r="A33" s="997" t="s">
        <v>541</v>
      </c>
      <c r="B33" s="945">
        <f ca="1">SUM(B22:B32)</f>
        <v>9214.4135729930676</v>
      </c>
      <c r="C33" s="945">
        <f t="shared" ref="C33:Q33" ca="1" si="18">SUM(C22:C32)</f>
        <v>78963.836974789927</v>
      </c>
      <c r="D33" s="945">
        <f t="shared" ca="1" si="18"/>
        <v>12291.566668978259</v>
      </c>
      <c r="E33" s="945">
        <f t="shared" si="18"/>
        <v>326.26422442970301</v>
      </c>
      <c r="F33" s="945">
        <f t="shared" ca="1" si="18"/>
        <v>18580.708672135795</v>
      </c>
      <c r="G33" s="945">
        <f t="shared" si="18"/>
        <v>9400.7457362692658</v>
      </c>
      <c r="H33" s="945">
        <f t="shared" si="18"/>
        <v>1967.1372719884341</v>
      </c>
      <c r="I33" s="945">
        <f t="shared" si="18"/>
        <v>0</v>
      </c>
      <c r="J33" s="945">
        <f t="shared" si="18"/>
        <v>662.28993040570583</v>
      </c>
      <c r="K33" s="945">
        <f t="shared" si="18"/>
        <v>0</v>
      </c>
      <c r="L33" s="945">
        <f t="shared" ca="1" si="18"/>
        <v>0</v>
      </c>
      <c r="M33" s="945">
        <f t="shared" si="18"/>
        <v>0</v>
      </c>
      <c r="N33" s="945">
        <f t="shared" ca="1" si="18"/>
        <v>0</v>
      </c>
      <c r="O33" s="945">
        <f t="shared" si="18"/>
        <v>0</v>
      </c>
      <c r="P33" s="945">
        <f t="shared" si="18"/>
        <v>0</v>
      </c>
      <c r="Q33" s="945">
        <f t="shared" ca="1" si="18"/>
        <v>131406.96305199014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536</v>
      </c>
      <c r="B1" s="1162" t="s">
        <v>783</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766</v>
      </c>
      <c r="C4" s="931" t="s">
        <v>787</v>
      </c>
      <c r="D4" s="932" t="s">
        <v>767</v>
      </c>
      <c r="E4" s="933" t="s">
        <v>765</v>
      </c>
      <c r="F4" s="933" t="s">
        <v>769</v>
      </c>
      <c r="G4" s="934" t="s">
        <v>789</v>
      </c>
      <c r="H4" s="934" t="s">
        <v>789</v>
      </c>
      <c r="I4" s="934" t="s">
        <v>789</v>
      </c>
      <c r="J4" s="933" t="s">
        <v>768</v>
      </c>
      <c r="K4" s="934" t="s">
        <v>789</v>
      </c>
      <c r="L4" s="934" t="s">
        <v>789</v>
      </c>
      <c r="M4" s="934" t="s">
        <v>789</v>
      </c>
      <c r="N4" s="933" t="s">
        <v>770</v>
      </c>
      <c r="O4" s="935" t="s">
        <v>771</v>
      </c>
      <c r="P4" s="936" t="s">
        <v>772</v>
      </c>
      <c r="Q4" s="939"/>
    </row>
    <row r="5" spans="1:17" ht="124.15" customHeight="1">
      <c r="A5" s="912" t="s">
        <v>149</v>
      </c>
      <c r="B5" s="913" t="s">
        <v>778</v>
      </c>
      <c r="C5" s="919" t="s">
        <v>788</v>
      </c>
      <c r="D5" s="919" t="s">
        <v>779</v>
      </c>
      <c r="E5" s="915" t="s">
        <v>777</v>
      </c>
      <c r="F5" s="915" t="s">
        <v>776</v>
      </c>
      <c r="G5" s="916" t="s">
        <v>789</v>
      </c>
      <c r="H5" s="916" t="s">
        <v>789</v>
      </c>
      <c r="I5" s="916" t="s">
        <v>789</v>
      </c>
      <c r="J5" s="915" t="s">
        <v>775</v>
      </c>
      <c r="K5" s="913" t="s">
        <v>774</v>
      </c>
      <c r="L5" s="916" t="s">
        <v>789</v>
      </c>
      <c r="M5" s="916" t="s">
        <v>789</v>
      </c>
      <c r="N5" s="915" t="s">
        <v>773</v>
      </c>
      <c r="O5" s="917" t="s">
        <v>771</v>
      </c>
      <c r="P5" s="918" t="s">
        <v>772</v>
      </c>
      <c r="Q5" s="940"/>
    </row>
    <row r="6" spans="1:17" ht="124.15" customHeight="1">
      <c r="A6" s="912" t="s">
        <v>187</v>
      </c>
      <c r="B6" s="920" t="s">
        <v>780</v>
      </c>
      <c r="C6" s="914" t="s">
        <v>786</v>
      </c>
      <c r="D6" s="916" t="s">
        <v>786</v>
      </c>
      <c r="E6" s="916" t="s">
        <v>786</v>
      </c>
      <c r="F6" s="916" t="s">
        <v>786</v>
      </c>
      <c r="G6" s="916" t="s">
        <v>786</v>
      </c>
      <c r="H6" s="916" t="s">
        <v>786</v>
      </c>
      <c r="I6" s="916" t="s">
        <v>786</v>
      </c>
      <c r="J6" s="916" t="s">
        <v>786</v>
      </c>
      <c r="K6" s="916" t="s">
        <v>786</v>
      </c>
      <c r="L6" s="916" t="s">
        <v>786</v>
      </c>
      <c r="M6" s="916" t="s">
        <v>786</v>
      </c>
      <c r="N6" s="916" t="s">
        <v>786</v>
      </c>
      <c r="O6" s="921" t="s">
        <v>786</v>
      </c>
      <c r="P6" s="922" t="s">
        <v>786</v>
      </c>
      <c r="Q6" s="941"/>
    </row>
    <row r="7" spans="1:17" ht="124.15" customHeight="1">
      <c r="A7" s="912" t="s">
        <v>105</v>
      </c>
      <c r="B7" s="920" t="s">
        <v>780</v>
      </c>
      <c r="C7" s="919" t="s">
        <v>788</v>
      </c>
      <c r="D7" s="919" t="s">
        <v>779</v>
      </c>
      <c r="E7" s="915" t="s">
        <v>777</v>
      </c>
      <c r="F7" s="915" t="s">
        <v>776</v>
      </c>
      <c r="G7" s="916" t="s">
        <v>789</v>
      </c>
      <c r="H7" s="916" t="s">
        <v>789</v>
      </c>
      <c r="I7" s="916" t="s">
        <v>789</v>
      </c>
      <c r="J7" s="915" t="s">
        <v>775</v>
      </c>
      <c r="K7" s="916" t="s">
        <v>789</v>
      </c>
      <c r="L7" s="916" t="s">
        <v>789</v>
      </c>
      <c r="M7" s="916" t="s">
        <v>789</v>
      </c>
      <c r="N7" s="923" t="s">
        <v>789</v>
      </c>
      <c r="O7" s="914" t="s">
        <v>789</v>
      </c>
      <c r="P7" s="924" t="s">
        <v>789</v>
      </c>
      <c r="Q7" s="940"/>
    </row>
    <row r="8" spans="1:17" ht="124.15" customHeight="1">
      <c r="A8" s="912" t="s">
        <v>621</v>
      </c>
      <c r="B8" s="913" t="s">
        <v>781</v>
      </c>
      <c r="C8" s="919" t="s">
        <v>788</v>
      </c>
      <c r="D8" s="919" t="s">
        <v>779</v>
      </c>
      <c r="E8" s="915" t="s">
        <v>777</v>
      </c>
      <c r="F8" s="915" t="s">
        <v>776</v>
      </c>
      <c r="G8" s="916" t="s">
        <v>789</v>
      </c>
      <c r="H8" s="916" t="s">
        <v>789</v>
      </c>
      <c r="I8" s="916" t="s">
        <v>789</v>
      </c>
      <c r="J8" s="915" t="s">
        <v>775</v>
      </c>
      <c r="K8" s="913" t="s">
        <v>774</v>
      </c>
      <c r="L8" s="916" t="s">
        <v>789</v>
      </c>
      <c r="M8" s="916" t="s">
        <v>789</v>
      </c>
      <c r="N8" s="915" t="s">
        <v>773</v>
      </c>
      <c r="O8" s="917" t="s">
        <v>771</v>
      </c>
      <c r="P8" s="918" t="s">
        <v>772</v>
      </c>
      <c r="Q8" s="940"/>
    </row>
    <row r="9" spans="1:17" s="448" customFormat="1" ht="124.15" customHeight="1">
      <c r="A9" s="925" t="s">
        <v>547</v>
      </c>
      <c r="B9" s="915" t="s">
        <v>791</v>
      </c>
      <c r="C9" s="921" t="s">
        <v>786</v>
      </c>
      <c r="D9" s="915" t="s">
        <v>792</v>
      </c>
      <c r="E9" s="915" t="s">
        <v>793</v>
      </c>
      <c r="F9" s="916" t="s">
        <v>786</v>
      </c>
      <c r="G9" s="915" t="s">
        <v>794</v>
      </c>
      <c r="H9" s="915" t="s">
        <v>795</v>
      </c>
      <c r="I9" s="916" t="s">
        <v>786</v>
      </c>
      <c r="J9" s="916" t="s">
        <v>786</v>
      </c>
      <c r="K9" s="916" t="s">
        <v>786</v>
      </c>
      <c r="L9" s="916" t="s">
        <v>786</v>
      </c>
      <c r="M9" s="915" t="s">
        <v>791</v>
      </c>
      <c r="N9" s="916" t="s">
        <v>786</v>
      </c>
      <c r="O9" s="916" t="s">
        <v>786</v>
      </c>
      <c r="P9" s="926" t="s">
        <v>786</v>
      </c>
      <c r="Q9" s="942"/>
    </row>
    <row r="10" spans="1:17" ht="124.15" customHeight="1">
      <c r="A10" s="912" t="s">
        <v>537</v>
      </c>
      <c r="B10" s="913" t="s">
        <v>799</v>
      </c>
      <c r="C10" s="921" t="s">
        <v>786</v>
      </c>
      <c r="D10" s="921" t="s">
        <v>786</v>
      </c>
      <c r="E10" s="921" t="s">
        <v>786</v>
      </c>
      <c r="F10" s="916" t="s">
        <v>786</v>
      </c>
      <c r="G10" s="913" t="s">
        <v>796</v>
      </c>
      <c r="H10" s="916" t="s">
        <v>786</v>
      </c>
      <c r="I10" s="916" t="s">
        <v>786</v>
      </c>
      <c r="J10" s="916" t="s">
        <v>786</v>
      </c>
      <c r="K10" s="916" t="s">
        <v>786</v>
      </c>
      <c r="L10" s="916" t="s">
        <v>786</v>
      </c>
      <c r="M10" s="913" t="s">
        <v>782</v>
      </c>
      <c r="N10" s="916" t="s">
        <v>786</v>
      </c>
      <c r="O10" s="916" t="s">
        <v>786</v>
      </c>
      <c r="P10" s="926" t="s">
        <v>786</v>
      </c>
      <c r="Q10" s="940"/>
    </row>
    <row r="11" spans="1:17" ht="21">
      <c r="A11" s="912" t="s">
        <v>538</v>
      </c>
      <c r="B11" s="927" t="s">
        <v>790</v>
      </c>
      <c r="C11" s="927" t="s">
        <v>790</v>
      </c>
      <c r="D11" s="927" t="s">
        <v>790</v>
      </c>
      <c r="E11" s="927" t="s">
        <v>790</v>
      </c>
      <c r="F11" s="927" t="s">
        <v>790</v>
      </c>
      <c r="G11" s="927" t="s">
        <v>790</v>
      </c>
      <c r="H11" s="927" t="s">
        <v>790</v>
      </c>
      <c r="I11" s="927" t="s">
        <v>790</v>
      </c>
      <c r="J11" s="927" t="s">
        <v>790</v>
      </c>
      <c r="K11" s="927" t="s">
        <v>790</v>
      </c>
      <c r="L11" s="927" t="s">
        <v>790</v>
      </c>
      <c r="M11" s="927" t="s">
        <v>790</v>
      </c>
      <c r="N11" s="927" t="s">
        <v>790</v>
      </c>
      <c r="O11" s="927" t="s">
        <v>790</v>
      </c>
      <c r="P11" s="949" t="s">
        <v>790</v>
      </c>
      <c r="Q11" s="950"/>
    </row>
    <row r="12" spans="1:17" ht="21">
      <c r="A12" s="912" t="s">
        <v>539</v>
      </c>
      <c r="B12" s="927" t="s">
        <v>790</v>
      </c>
      <c r="C12" s="927" t="s">
        <v>786</v>
      </c>
      <c r="D12" s="927" t="s">
        <v>786</v>
      </c>
      <c r="E12" s="927" t="s">
        <v>786</v>
      </c>
      <c r="F12" s="927" t="s">
        <v>786</v>
      </c>
      <c r="G12" s="927" t="s">
        <v>786</v>
      </c>
      <c r="H12" s="927" t="s">
        <v>786</v>
      </c>
      <c r="I12" s="927" t="s">
        <v>786</v>
      </c>
      <c r="J12" s="927" t="s">
        <v>786</v>
      </c>
      <c r="K12" s="927" t="s">
        <v>786</v>
      </c>
      <c r="L12" s="927" t="s">
        <v>786</v>
      </c>
      <c r="M12" s="927" t="s">
        <v>786</v>
      </c>
      <c r="N12" s="927" t="s">
        <v>786</v>
      </c>
      <c r="O12" s="927" t="s">
        <v>786</v>
      </c>
      <c r="P12" s="928" t="s">
        <v>786</v>
      </c>
      <c r="Q12" s="444"/>
    </row>
    <row r="13" spans="1:17" ht="21">
      <c r="A13" s="912" t="s">
        <v>540</v>
      </c>
      <c r="B13" s="927" t="s">
        <v>790</v>
      </c>
      <c r="C13" s="927" t="s">
        <v>786</v>
      </c>
      <c r="D13" s="927" t="s">
        <v>790</v>
      </c>
      <c r="E13" s="927" t="s">
        <v>790</v>
      </c>
      <c r="F13" s="927" t="s">
        <v>786</v>
      </c>
      <c r="G13" s="927" t="s">
        <v>790</v>
      </c>
      <c r="H13" s="927" t="s">
        <v>790</v>
      </c>
      <c r="I13" s="927" t="s">
        <v>786</v>
      </c>
      <c r="J13" s="927" t="s">
        <v>786</v>
      </c>
      <c r="K13" s="927" t="s">
        <v>786</v>
      </c>
      <c r="L13" s="927" t="s">
        <v>786</v>
      </c>
      <c r="M13" s="927" t="s">
        <v>790</v>
      </c>
      <c r="N13" s="927" t="s">
        <v>786</v>
      </c>
      <c r="O13" s="927" t="s">
        <v>786</v>
      </c>
      <c r="P13" s="928" t="s">
        <v>786</v>
      </c>
      <c r="Q13" s="444"/>
    </row>
    <row r="14" spans="1:17" ht="30">
      <c r="A14" s="943" t="s">
        <v>806</v>
      </c>
      <c r="B14" s="920" t="s">
        <v>780</v>
      </c>
      <c r="C14" s="927" t="s">
        <v>786</v>
      </c>
      <c r="D14" s="920" t="s">
        <v>780</v>
      </c>
      <c r="E14" s="927" t="s">
        <v>786</v>
      </c>
      <c r="F14" s="927" t="s">
        <v>786</v>
      </c>
      <c r="G14" s="927" t="s">
        <v>786</v>
      </c>
      <c r="H14" s="927" t="s">
        <v>786</v>
      </c>
      <c r="I14" s="927" t="s">
        <v>786</v>
      </c>
      <c r="J14" s="927" t="s">
        <v>786</v>
      </c>
      <c r="K14" s="927" t="s">
        <v>786</v>
      </c>
      <c r="L14" s="927" t="s">
        <v>786</v>
      </c>
      <c r="M14" s="927" t="s">
        <v>786</v>
      </c>
      <c r="N14" s="927" t="s">
        <v>786</v>
      </c>
      <c r="O14" s="927" t="s">
        <v>786</v>
      </c>
      <c r="P14" s="949" t="s">
        <v>786</v>
      </c>
      <c r="Q14" s="998"/>
    </row>
    <row r="15" spans="1:17" s="452" customFormat="1" ht="21">
      <c r="A15" s="944" t="s">
        <v>541</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784</v>
      </c>
      <c r="B18" s="906" t="s">
        <v>785</v>
      </c>
      <c r="C18" s="905" t="s">
        <v>797</v>
      </c>
      <c r="D18" s="908"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60">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0</v>
      </c>
      <c r="C4" s="1014"/>
      <c r="D4" s="1014"/>
      <c r="E4" s="1014"/>
      <c r="F4" s="1014"/>
      <c r="G4" s="1014"/>
      <c r="H4" s="1014"/>
      <c r="I4" s="1014"/>
      <c r="J4" s="1014"/>
      <c r="K4" s="1014"/>
      <c r="L4" s="1014"/>
      <c r="M4" s="1014"/>
      <c r="N4" s="1014"/>
      <c r="O4" s="1014"/>
      <c r="P4" s="1015">
        <f>'SEAP template'!Q72</f>
        <v>0</v>
      </c>
    </row>
    <row r="5" spans="1:16">
      <c r="A5" s="1016" t="s">
        <v>238</v>
      </c>
      <c r="B5" s="1014">
        <f>'SEAP template'!B73</f>
        <v>0</v>
      </c>
      <c r="C5" s="1014"/>
      <c r="D5" s="1014"/>
      <c r="E5" s="1014"/>
      <c r="F5" s="1014"/>
      <c r="G5" s="1014"/>
      <c r="H5" s="1014"/>
      <c r="I5" s="1014"/>
      <c r="J5" s="1014"/>
      <c r="K5" s="1014"/>
      <c r="L5" s="1014"/>
      <c r="M5" s="1014"/>
      <c r="N5" s="1014"/>
      <c r="O5" s="1014"/>
      <c r="P5" s="1015">
        <f>'SEAP template'!Q73</f>
        <v>0</v>
      </c>
    </row>
    <row r="6" spans="1:16">
      <c r="A6" s="1016" t="s">
        <v>239</v>
      </c>
      <c r="B6" s="1014">
        <f>'SEAP template'!B74</f>
        <v>3734.1810323535783</v>
      </c>
      <c r="C6" s="1014"/>
      <c r="D6" s="1014"/>
      <c r="E6" s="1014"/>
      <c r="F6" s="1014"/>
      <c r="G6" s="1014"/>
      <c r="H6" s="1014"/>
      <c r="I6" s="1014"/>
      <c r="J6" s="1014"/>
      <c r="K6" s="1014"/>
      <c r="L6" s="1014"/>
      <c r="M6" s="1014"/>
      <c r="N6" s="1014"/>
      <c r="O6" s="1014"/>
      <c r="P6" s="1015">
        <f>'SEAP template'!Q74</f>
        <v>0</v>
      </c>
    </row>
    <row r="7" spans="1:16">
      <c r="A7" s="1016" t="s">
        <v>805</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29806.65</v>
      </c>
      <c r="C8" s="1014">
        <f>'SEAP template'!C76</f>
        <v>232591.5</v>
      </c>
      <c r="D8" s="1014">
        <f>'SEAP template'!D76</f>
        <v>273637.05882352946</v>
      </c>
      <c r="E8" s="1014">
        <f>'SEAP template'!E76</f>
        <v>0</v>
      </c>
      <c r="F8" s="1014">
        <f>'SEAP template'!F76</f>
        <v>0</v>
      </c>
      <c r="G8" s="1014">
        <f>'SEAP template'!G76</f>
        <v>0</v>
      </c>
      <c r="H8" s="1014">
        <f>'SEAP template'!H76</f>
        <v>0</v>
      </c>
      <c r="I8" s="1014">
        <f>'SEAP template'!I76</f>
        <v>0</v>
      </c>
      <c r="J8" s="1014">
        <f>'SEAP template'!J76</f>
        <v>35066.647058823539</v>
      </c>
      <c r="K8" s="1014">
        <f>'SEAP template'!K76</f>
        <v>0</v>
      </c>
      <c r="L8" s="1014">
        <f>'SEAP template'!L76</f>
        <v>0</v>
      </c>
      <c r="M8" s="1014">
        <f>'SEAP template'!M76</f>
        <v>0</v>
      </c>
      <c r="N8" s="1014">
        <f>'SEAP template'!N76</f>
        <v>0</v>
      </c>
      <c r="O8" s="1014">
        <f>'SEAP template'!O76</f>
        <v>0</v>
      </c>
      <c r="P8" s="1015">
        <f>'SEAP template'!Q76</f>
        <v>55274.685882352955</v>
      </c>
    </row>
    <row r="9" spans="1:16">
      <c r="A9" s="1017" t="s">
        <v>819</v>
      </c>
      <c r="B9" s="1014">
        <f>'SEAP template'!B77</f>
        <v>1647</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4705.7142857142862</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35187.831032353577</v>
      </c>
      <c r="C10" s="1018">
        <f>SUM(C4:C9)</f>
        <v>232591.5</v>
      </c>
      <c r="D10" s="1018">
        <f t="shared" ref="D10:H10" si="0">SUM(D8:D9)</f>
        <v>273637.05882352946</v>
      </c>
      <c r="E10" s="1018">
        <f t="shared" si="0"/>
        <v>0</v>
      </c>
      <c r="F10" s="1018">
        <f t="shared" si="0"/>
        <v>0</v>
      </c>
      <c r="G10" s="1018">
        <f t="shared" si="0"/>
        <v>0</v>
      </c>
      <c r="H10" s="1018">
        <f t="shared" si="0"/>
        <v>0</v>
      </c>
      <c r="I10" s="1018">
        <f>SUM(I8:I9)</f>
        <v>0</v>
      </c>
      <c r="J10" s="1018">
        <f>SUM(J8:J9)</f>
        <v>39772.361344537829</v>
      </c>
      <c r="K10" s="1018">
        <f t="shared" ref="K10:L10" si="1">SUM(K8:K9)</f>
        <v>0</v>
      </c>
      <c r="L10" s="1018">
        <f t="shared" si="1"/>
        <v>0</v>
      </c>
      <c r="M10" s="1018">
        <f>SUM(M8:M9)</f>
        <v>0</v>
      </c>
      <c r="N10" s="1018">
        <f>SUM(N8:N9)</f>
        <v>0</v>
      </c>
      <c r="O10" s="1018">
        <f>SUM(O8:O9)</f>
        <v>0</v>
      </c>
      <c r="P10" s="1018">
        <f>SUM(P8:P9)</f>
        <v>55274.685882352955</v>
      </c>
    </row>
    <row r="11" spans="1:16">
      <c r="A11" s="861"/>
      <c r="B11" s="861"/>
      <c r="C11" s="861"/>
      <c r="D11" s="861"/>
      <c r="E11" s="861"/>
      <c r="F11" s="861"/>
      <c r="G11" s="861"/>
      <c r="H11" s="861"/>
      <c r="I11" s="861"/>
      <c r="J11" s="861"/>
      <c r="K11" s="861"/>
      <c r="L11" s="861"/>
      <c r="M11" s="861"/>
      <c r="N11" s="861"/>
      <c r="O11" s="861"/>
      <c r="P11" s="861"/>
    </row>
    <row r="12" spans="1:16">
      <c r="A12" s="453" t="s">
        <v>820</v>
      </c>
      <c r="B12" s="752" t="s">
        <v>821</v>
      </c>
      <c r="C12" s="752">
        <f ca="1">'EF ele_warmte'!B12</f>
        <v>0.20641879143269115</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42580.928571428587</v>
      </c>
      <c r="C17" s="1020">
        <f>'SEAP template'!C87</f>
        <v>332273.57142857148</v>
      </c>
      <c r="D17" s="1015">
        <f>'SEAP template'!D87</f>
        <v>390910.08403361344</v>
      </c>
      <c r="E17" s="1015">
        <f>'SEAP template'!E87</f>
        <v>0</v>
      </c>
      <c r="F17" s="1015">
        <f>'SEAP template'!F87</f>
        <v>0</v>
      </c>
      <c r="G17" s="1015">
        <f>'SEAP template'!G87</f>
        <v>0</v>
      </c>
      <c r="H17" s="1015">
        <f>'SEAP template'!H87</f>
        <v>0</v>
      </c>
      <c r="I17" s="1015">
        <f>'SEAP template'!I87</f>
        <v>0</v>
      </c>
      <c r="J17" s="1015">
        <f>'SEAP template'!J87</f>
        <v>50095.210084033628</v>
      </c>
      <c r="K17" s="1015">
        <f>'SEAP template'!K87</f>
        <v>0</v>
      </c>
      <c r="L17" s="1015">
        <f>'SEAP template'!L87</f>
        <v>0</v>
      </c>
      <c r="M17" s="1015">
        <f>'SEAP template'!M87</f>
        <v>0</v>
      </c>
      <c r="N17" s="1015">
        <f>'SEAP template'!N87</f>
        <v>0</v>
      </c>
      <c r="O17" s="1015">
        <f>'SEAP template'!O87</f>
        <v>0</v>
      </c>
      <c r="P17" s="1015">
        <f>'SEAP template'!Q87</f>
        <v>78963.836974789927</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826</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42580.928571428587</v>
      </c>
      <c r="C20" s="1018">
        <f>SUM(C17:C19)</f>
        <v>332273.57142857148</v>
      </c>
      <c r="D20" s="1018">
        <f t="shared" ref="D20:H20" si="2">SUM(D17:D19)</f>
        <v>390910.08403361344</v>
      </c>
      <c r="E20" s="1018">
        <f t="shared" si="2"/>
        <v>0</v>
      </c>
      <c r="F20" s="1018">
        <f t="shared" si="2"/>
        <v>0</v>
      </c>
      <c r="G20" s="1018">
        <f t="shared" si="2"/>
        <v>0</v>
      </c>
      <c r="H20" s="1018">
        <f t="shared" si="2"/>
        <v>0</v>
      </c>
      <c r="I20" s="1018">
        <f>SUM(I17:I19)</f>
        <v>0</v>
      </c>
      <c r="J20" s="1018">
        <f>SUM(J17:J19)</f>
        <v>50095.210084033628</v>
      </c>
      <c r="K20" s="1018">
        <f t="shared" ref="K20:L20" si="3">SUM(K17:K19)</f>
        <v>0</v>
      </c>
      <c r="L20" s="1018">
        <f t="shared" si="3"/>
        <v>0</v>
      </c>
      <c r="M20" s="1018">
        <f>SUM(M17:M19)</f>
        <v>0</v>
      </c>
      <c r="N20" s="1018">
        <f>SUM(N17:N19)</f>
        <v>0</v>
      </c>
      <c r="O20" s="1018">
        <f>SUM(O17:O19)</f>
        <v>0</v>
      </c>
      <c r="P20" s="1018">
        <f>SUM(P17:P19)</f>
        <v>78963.836974789927</v>
      </c>
    </row>
    <row r="22" spans="1:16">
      <c r="A22" s="453" t="s">
        <v>827</v>
      </c>
      <c r="B22" s="752" t="s">
        <v>821</v>
      </c>
      <c r="C22" s="752">
        <f ca="1">'EF ele_warmte'!B22</f>
        <v>0.21065196489515245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15.75">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828</v>
      </c>
      <c r="C4" s="1025" t="s">
        <v>786</v>
      </c>
      <c r="D4" s="1025" t="s">
        <v>786</v>
      </c>
      <c r="E4" s="1025" t="s">
        <v>786</v>
      </c>
      <c r="F4" s="1025" t="s">
        <v>786</v>
      </c>
      <c r="G4" s="1025" t="s">
        <v>786</v>
      </c>
      <c r="H4" s="1025" t="s">
        <v>786</v>
      </c>
      <c r="I4" s="1025" t="s">
        <v>786</v>
      </c>
      <c r="J4" s="1025" t="s">
        <v>786</v>
      </c>
      <c r="K4" s="1025" t="s">
        <v>786</v>
      </c>
      <c r="L4" s="1025" t="s">
        <v>786</v>
      </c>
      <c r="M4" s="1025" t="s">
        <v>786</v>
      </c>
      <c r="N4" s="1025" t="s">
        <v>786</v>
      </c>
      <c r="O4" s="1025" t="s">
        <v>786</v>
      </c>
      <c r="P4" s="1026" t="s">
        <v>829</v>
      </c>
    </row>
    <row r="5" spans="1:16" ht="135">
      <c r="A5" s="1027" t="s">
        <v>238</v>
      </c>
      <c r="B5" s="1024" t="s">
        <v>828</v>
      </c>
      <c r="C5" s="1025" t="s">
        <v>786</v>
      </c>
      <c r="D5" s="1025" t="s">
        <v>786</v>
      </c>
      <c r="E5" s="1025" t="s">
        <v>786</v>
      </c>
      <c r="F5" s="1025" t="s">
        <v>786</v>
      </c>
      <c r="G5" s="1025" t="s">
        <v>786</v>
      </c>
      <c r="H5" s="1025" t="s">
        <v>786</v>
      </c>
      <c r="I5" s="1025" t="s">
        <v>786</v>
      </c>
      <c r="J5" s="1025" t="s">
        <v>786</v>
      </c>
      <c r="K5" s="1025" t="s">
        <v>786</v>
      </c>
      <c r="L5" s="1025" t="s">
        <v>786</v>
      </c>
      <c r="M5" s="1025" t="s">
        <v>786</v>
      </c>
      <c r="N5" s="1025" t="s">
        <v>786</v>
      </c>
      <c r="O5" s="1025" t="s">
        <v>786</v>
      </c>
      <c r="P5" s="1026" t="s">
        <v>829</v>
      </c>
    </row>
    <row r="6" spans="1:16" ht="135">
      <c r="A6" s="1027" t="s">
        <v>239</v>
      </c>
      <c r="B6" s="1024" t="s">
        <v>828</v>
      </c>
      <c r="C6" s="1025" t="s">
        <v>786</v>
      </c>
      <c r="D6" s="1025" t="s">
        <v>786</v>
      </c>
      <c r="E6" s="1025" t="s">
        <v>786</v>
      </c>
      <c r="F6" s="1025" t="s">
        <v>786</v>
      </c>
      <c r="G6" s="1025" t="s">
        <v>786</v>
      </c>
      <c r="H6" s="1025" t="s">
        <v>786</v>
      </c>
      <c r="I6" s="1025" t="s">
        <v>786</v>
      </c>
      <c r="J6" s="1025" t="s">
        <v>786</v>
      </c>
      <c r="K6" s="1025" t="s">
        <v>786</v>
      </c>
      <c r="L6" s="1025" t="s">
        <v>786</v>
      </c>
      <c r="M6" s="1025" t="s">
        <v>786</v>
      </c>
      <c r="N6" s="1025" t="s">
        <v>786</v>
      </c>
      <c r="O6" s="1025" t="s">
        <v>786</v>
      </c>
      <c r="P6" s="1026" t="s">
        <v>829</v>
      </c>
    </row>
    <row r="7" spans="1:16" ht="135">
      <c r="A7" s="1027" t="s">
        <v>805</v>
      </c>
      <c r="B7" s="1025" t="s">
        <v>786</v>
      </c>
      <c r="C7" s="1025" t="s">
        <v>786</v>
      </c>
      <c r="D7" s="1025" t="s">
        <v>786</v>
      </c>
      <c r="E7" s="1025" t="s">
        <v>786</v>
      </c>
      <c r="F7" s="1025" t="s">
        <v>786</v>
      </c>
      <c r="G7" s="1025" t="s">
        <v>786</v>
      </c>
      <c r="H7" s="1025" t="s">
        <v>786</v>
      </c>
      <c r="I7" s="1025" t="s">
        <v>786</v>
      </c>
      <c r="J7" s="1025" t="s">
        <v>786</v>
      </c>
      <c r="K7" s="1025" t="s">
        <v>786</v>
      </c>
      <c r="L7" s="1025" t="s">
        <v>786</v>
      </c>
      <c r="M7" s="1025" t="s">
        <v>786</v>
      </c>
      <c r="N7" s="1025" t="s">
        <v>786</v>
      </c>
      <c r="O7" s="1025" t="s">
        <v>786</v>
      </c>
      <c r="P7" s="1026" t="s">
        <v>829</v>
      </c>
    </row>
    <row r="8" spans="1:16" ht="210">
      <c r="A8" s="1023" t="s">
        <v>240</v>
      </c>
      <c r="B8" s="1024" t="s">
        <v>830</v>
      </c>
      <c r="C8" s="1024" t="s">
        <v>830</v>
      </c>
      <c r="D8" s="1024" t="s">
        <v>830</v>
      </c>
      <c r="E8" s="1024" t="s">
        <v>830</v>
      </c>
      <c r="F8" s="1024" t="s">
        <v>830</v>
      </c>
      <c r="G8" s="1024" t="s">
        <v>830</v>
      </c>
      <c r="H8" s="1024" t="s">
        <v>830</v>
      </c>
      <c r="I8" s="1024" t="s">
        <v>830</v>
      </c>
      <c r="J8" s="1024" t="s">
        <v>830</v>
      </c>
      <c r="K8" s="1025" t="s">
        <v>786</v>
      </c>
      <c r="L8" s="1025" t="s">
        <v>786</v>
      </c>
      <c r="M8" s="1025" t="s">
        <v>786</v>
      </c>
      <c r="N8" s="1024" t="s">
        <v>831</v>
      </c>
      <c r="O8" s="1024" t="s">
        <v>831</v>
      </c>
      <c r="P8" s="1028"/>
    </row>
    <row r="9" spans="1:16" ht="210">
      <c r="A9" s="1029" t="s">
        <v>819</v>
      </c>
      <c r="B9" s="1024" t="s">
        <v>831</v>
      </c>
      <c r="C9" s="1024" t="s">
        <v>831</v>
      </c>
      <c r="D9" s="1024" t="s">
        <v>831</v>
      </c>
      <c r="E9" s="1024" t="s">
        <v>831</v>
      </c>
      <c r="F9" s="1024" t="s">
        <v>831</v>
      </c>
      <c r="G9" s="1024" t="s">
        <v>831</v>
      </c>
      <c r="H9" s="1024" t="s">
        <v>831</v>
      </c>
      <c r="I9" s="1024" t="s">
        <v>831</v>
      </c>
      <c r="J9" s="1024" t="s">
        <v>831</v>
      </c>
      <c r="K9" s="1025" t="s">
        <v>786</v>
      </c>
      <c r="L9" s="1024" t="s">
        <v>831</v>
      </c>
      <c r="M9" s="1024" t="s">
        <v>831</v>
      </c>
      <c r="N9" s="1024" t="s">
        <v>831</v>
      </c>
      <c r="O9" s="1024" t="s">
        <v>831</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820</v>
      </c>
      <c r="B12" s="752" t="s">
        <v>821</v>
      </c>
      <c r="C12" s="1031" t="s">
        <v>832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831</v>
      </c>
      <c r="C17" s="1024" t="s">
        <v>831</v>
      </c>
      <c r="D17" s="1024" t="s">
        <v>831</v>
      </c>
      <c r="E17" s="1024" t="s">
        <v>831</v>
      </c>
      <c r="F17" s="1024" t="s">
        <v>831</v>
      </c>
      <c r="G17" s="1024" t="s">
        <v>831</v>
      </c>
      <c r="H17" s="1024" t="s">
        <v>831</v>
      </c>
      <c r="I17" s="1024" t="s">
        <v>831</v>
      </c>
      <c r="J17" s="1024" t="s">
        <v>831</v>
      </c>
      <c r="K17" s="1025" t="s">
        <v>786</v>
      </c>
      <c r="L17" s="1025" t="s">
        <v>786</v>
      </c>
      <c r="M17" s="1025" t="s">
        <v>786</v>
      </c>
      <c r="N17" s="1024" t="s">
        <v>831</v>
      </c>
      <c r="O17" s="1024" t="s">
        <v>831</v>
      </c>
      <c r="P17" s="1032"/>
    </row>
    <row r="18" spans="1:16" ht="45">
      <c r="A18" s="1021" t="s">
        <v>246</v>
      </c>
      <c r="B18" s="1026" t="s">
        <v>790</v>
      </c>
      <c r="C18" s="1026" t="s">
        <v>790</v>
      </c>
      <c r="D18" s="1026" t="s">
        <v>790</v>
      </c>
      <c r="E18" s="1026" t="s">
        <v>790</v>
      </c>
      <c r="F18" s="1026" t="s">
        <v>790</v>
      </c>
      <c r="G18" s="1026" t="s">
        <v>790</v>
      </c>
      <c r="H18" s="1026" t="s">
        <v>790</v>
      </c>
      <c r="I18" s="1026" t="s">
        <v>790</v>
      </c>
      <c r="J18" s="1026" t="s">
        <v>790</v>
      </c>
      <c r="K18" s="1026" t="s">
        <v>790</v>
      </c>
      <c r="L18" s="1026" t="s">
        <v>790</v>
      </c>
      <c r="M18" s="1026" t="s">
        <v>790</v>
      </c>
      <c r="N18" s="1026" t="s">
        <v>790</v>
      </c>
      <c r="O18" s="1026" t="s">
        <v>790</v>
      </c>
      <c r="P18" s="1026" t="s">
        <v>790</v>
      </c>
    </row>
    <row r="19" spans="1:16" ht="45">
      <c r="A19" s="1017" t="s">
        <v>826</v>
      </c>
      <c r="B19" s="1026" t="s">
        <v>790</v>
      </c>
      <c r="C19" s="1026" t="s">
        <v>790</v>
      </c>
      <c r="D19" s="1026" t="s">
        <v>790</v>
      </c>
      <c r="E19" s="1026" t="s">
        <v>790</v>
      </c>
      <c r="F19" s="1026" t="s">
        <v>790</v>
      </c>
      <c r="G19" s="1026" t="s">
        <v>790</v>
      </c>
      <c r="H19" s="1026" t="s">
        <v>790</v>
      </c>
      <c r="I19" s="1026" t="s">
        <v>790</v>
      </c>
      <c r="J19" s="1026" t="s">
        <v>790</v>
      </c>
      <c r="K19" s="1026" t="s">
        <v>790</v>
      </c>
      <c r="L19" s="1026" t="s">
        <v>790</v>
      </c>
      <c r="M19" s="1026" t="s">
        <v>790</v>
      </c>
      <c r="N19" s="1026" t="s">
        <v>790</v>
      </c>
      <c r="O19" s="1026" t="s">
        <v>790</v>
      </c>
      <c r="P19" s="1026" t="s">
        <v>790</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827</v>
      </c>
      <c r="B22" s="752" t="s">
        <v>821</v>
      </c>
      <c r="C22" s="1031" t="s">
        <v>833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564</v>
      </c>
      <c r="B6" s="75" t="s">
        <v>565</v>
      </c>
      <c r="C6" s="426" t="s">
        <v>548</v>
      </c>
    </row>
    <row r="7" spans="1:3">
      <c r="A7" s="125"/>
      <c r="B7" s="129"/>
      <c r="C7" s="122"/>
    </row>
    <row r="8" spans="1:3">
      <c r="A8" s="113" t="s">
        <v>567</v>
      </c>
      <c r="B8" s="75" t="s">
        <v>566</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601</v>
      </c>
    </row>
    <row r="13" spans="1:3">
      <c r="A13" s="140"/>
      <c r="B13" s="124"/>
      <c r="C13" s="294"/>
    </row>
    <row r="14" spans="1:3" s="11" customFormat="1">
      <c r="A14" s="113" t="s">
        <v>584</v>
      </c>
      <c r="B14" s="130" t="s">
        <v>585</v>
      </c>
      <c r="C14" s="131" t="s">
        <v>586</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596</v>
      </c>
      <c r="B4" s="456"/>
      <c r="C4" s="456"/>
      <c r="D4" s="456"/>
      <c r="E4" s="456"/>
      <c r="F4" s="456"/>
      <c r="G4" s="488"/>
      <c r="H4" s="488"/>
      <c r="I4" s="456"/>
      <c r="J4" s="456"/>
      <c r="K4" s="456"/>
      <c r="L4" s="456"/>
      <c r="M4" s="456"/>
      <c r="N4" s="456"/>
      <c r="O4" s="456"/>
      <c r="P4" s="456"/>
    </row>
    <row r="5" spans="1:16" outlineLevel="1">
      <c r="A5" s="660" t="s">
        <v>597</v>
      </c>
      <c r="B5" s="456"/>
      <c r="C5" s="456"/>
      <c r="D5" s="456"/>
      <c r="E5" s="456"/>
      <c r="F5" s="456"/>
      <c r="G5" s="488"/>
      <c r="H5" s="488"/>
      <c r="I5" s="456"/>
      <c r="J5" s="456"/>
      <c r="K5" s="456"/>
      <c r="L5" s="456"/>
      <c r="M5" s="456"/>
      <c r="N5" s="456"/>
      <c r="O5" s="456"/>
      <c r="P5" s="456"/>
    </row>
    <row r="6" spans="1:16" outlineLevel="1">
      <c r="A6" s="660" t="s">
        <v>598</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599</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600</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562</v>
      </c>
      <c r="B13" s="443"/>
      <c r="C13" s="460"/>
      <c r="D13" s="460"/>
      <c r="E13" s="460"/>
      <c r="F13" s="460"/>
      <c r="G13" s="460"/>
      <c r="H13" s="460"/>
      <c r="I13" s="460"/>
      <c r="J13" s="460"/>
      <c r="K13" s="460"/>
      <c r="L13" s="460"/>
      <c r="M13" s="460"/>
      <c r="N13" s="460"/>
      <c r="O13" s="753" t="s">
        <v>617</v>
      </c>
      <c r="P13" s="753" t="s">
        <v>616</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0.20641879143269115</v>
      </c>
      <c r="C17" s="490">
        <f ca="1">'EF ele_warmte'!B22</f>
        <v>0.21065196489515245</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0</v>
      </c>
      <c r="C24" s="478"/>
      <c r="D24" s="859" t="s">
        <v>637</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608</v>
      </c>
      <c r="B27" s="760">
        <f>B24*B25*B26</f>
        <v>0</v>
      </c>
      <c r="C27" s="481" t="s">
        <v>609</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0</v>
      </c>
      <c r="C31" s="478"/>
      <c r="D31" s="859" t="s">
        <v>637</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608</v>
      </c>
      <c r="B35" s="759">
        <f>B31*B32*B33/1000-B31*B32*B33/1000/B34</f>
        <v>0</v>
      </c>
      <c r="C35" s="487" t="s">
        <v>609</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562</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0.20641879143269115</v>
      </c>
      <c r="C17" s="490">
        <f ca="1">'EF ele_warmte'!B22</f>
        <v>0.21065196489515245</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562</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580</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589</v>
      </c>
      <c r="B29" s="491">
        <f ca="1">'EF ele_warmte'!B12</f>
        <v>0.20641879143269115</v>
      </c>
      <c r="C29" s="491">
        <f ca="1">'EF ele_warmte'!B22</f>
        <v>0.21065196489515245</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550</v>
      </c>
      <c r="B10" s="493"/>
      <c r="C10" s="141" t="s">
        <v>175</v>
      </c>
      <c r="D10" s="144" t="s">
        <v>377</v>
      </c>
      <c r="I10" s="1183"/>
      <c r="K10" s="58"/>
    </row>
    <row r="11" spans="1:11" s="43" customFormat="1">
      <c r="A11" s="44" t="s">
        <v>551</v>
      </c>
      <c r="B11" s="47"/>
      <c r="D11" s="142" t="s">
        <v>378</v>
      </c>
      <c r="I11" s="1183"/>
      <c r="K11" s="58"/>
    </row>
    <row r="12" spans="1:11" s="43" customFormat="1">
      <c r="A12" s="44" t="s">
        <v>552</v>
      </c>
      <c r="B12" s="47"/>
      <c r="D12" s="142" t="s">
        <v>378</v>
      </c>
      <c r="I12" s="1183"/>
      <c r="K12" s="58"/>
    </row>
    <row r="13" spans="1:11" s="43" customFormat="1">
      <c r="A13" s="44"/>
      <c r="B13" s="443"/>
      <c r="D13" s="96"/>
      <c r="I13" s="1183"/>
    </row>
    <row r="14" spans="1:11" s="43" customFormat="1">
      <c r="A14" s="296" t="s">
        <v>549</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560</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550</v>
      </c>
      <c r="B31" s="493"/>
      <c r="C31" s="141" t="s">
        <v>175</v>
      </c>
      <c r="D31" s="144" t="s">
        <v>377</v>
      </c>
    </row>
    <row r="32" spans="1:11">
      <c r="A32" s="433" t="s">
        <v>551</v>
      </c>
      <c r="B32" s="47"/>
      <c r="C32" s="48"/>
      <c r="D32" s="142" t="s">
        <v>378</v>
      </c>
    </row>
    <row r="33" spans="1:11">
      <c r="A33" s="44"/>
      <c r="B33" s="48"/>
      <c r="C33" s="48"/>
      <c r="D33" s="142"/>
    </row>
    <row r="34" spans="1:11" s="43" customFormat="1">
      <c r="A34" s="296" t="s">
        <v>549</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553</v>
      </c>
      <c r="B50" s="47"/>
      <c r="C50" s="32"/>
      <c r="D50" s="143" t="s">
        <v>379</v>
      </c>
    </row>
    <row r="51" spans="1:4">
      <c r="A51" s="44" t="s">
        <v>554</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555</v>
      </c>
      <c r="B57" s="47"/>
      <c r="C57" s="32"/>
      <c r="D57" s="142" t="s">
        <v>148</v>
      </c>
    </row>
    <row r="58" spans="1:4">
      <c r="A58" s="44" t="s">
        <v>556</v>
      </c>
      <c r="B58" s="47"/>
      <c r="C58" s="32"/>
      <c r="D58" s="142" t="s">
        <v>149</v>
      </c>
    </row>
    <row r="59" spans="1:4">
      <c r="A59" s="44" t="s">
        <v>557</v>
      </c>
      <c r="B59" s="47"/>
      <c r="C59" s="48"/>
      <c r="D59" s="142" t="s">
        <v>375</v>
      </c>
    </row>
    <row r="60" spans="1:4">
      <c r="A60" s="44" t="s">
        <v>558</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575</v>
      </c>
      <c r="B1" s="625"/>
      <c r="C1" s="625"/>
      <c r="D1" s="625"/>
      <c r="E1" s="626"/>
    </row>
    <row r="2" spans="1:5">
      <c r="A2" s="637" t="s">
        <v>380</v>
      </c>
      <c r="B2" s="642" t="s">
        <v>500</v>
      </c>
      <c r="C2" s="638"/>
      <c r="D2" s="638"/>
      <c r="E2" s="639"/>
    </row>
    <row r="3" spans="1:5">
      <c r="A3" s="640"/>
      <c r="B3" s="641"/>
      <c r="C3" s="629"/>
      <c r="D3" s="629"/>
      <c r="E3" s="630"/>
    </row>
    <row r="4" spans="1:5" s="324" customFormat="1" ht="45">
      <c r="A4" s="628" t="s">
        <v>579</v>
      </c>
      <c r="B4" s="636" t="s">
        <v>568</v>
      </c>
      <c r="C4" s="657" t="s">
        <v>590</v>
      </c>
      <c r="D4" s="658" t="s">
        <v>591</v>
      </c>
      <c r="E4" s="659" t="s">
        <v>592</v>
      </c>
    </row>
    <row r="5" spans="1:5">
      <c r="A5" s="631" t="s">
        <v>569</v>
      </c>
      <c r="B5" s="623" t="s">
        <v>570</v>
      </c>
      <c r="C5" s="654">
        <v>3.678273E-2</v>
      </c>
      <c r="D5" s="655">
        <v>0.27778000000000003</v>
      </c>
      <c r="E5" s="647">
        <f>C5*D5</f>
        <v>1.0217506739400001E-2</v>
      </c>
    </row>
    <row r="6" spans="1:5">
      <c r="A6" s="631" t="s">
        <v>569</v>
      </c>
      <c r="B6" s="623" t="s">
        <v>571</v>
      </c>
      <c r="C6" s="654">
        <v>4.2278999999999997E-2</v>
      </c>
      <c r="D6" s="655">
        <v>0.27778000000000003</v>
      </c>
      <c r="E6" s="647">
        <f t="shared" ref="E6:E21" si="0">C6*D6</f>
        <v>1.174426062E-2</v>
      </c>
    </row>
    <row r="7" spans="1:5">
      <c r="A7" s="631" t="s">
        <v>569</v>
      </c>
      <c r="B7" s="623" t="s">
        <v>572</v>
      </c>
      <c r="C7" s="654">
        <v>42.279000000000003</v>
      </c>
      <c r="D7" s="655">
        <v>0.27778000000000003</v>
      </c>
      <c r="E7" s="647">
        <f t="shared" si="0"/>
        <v>11.744260620000002</v>
      </c>
    </row>
    <row r="8" spans="1:5">
      <c r="A8" s="631" t="s">
        <v>573</v>
      </c>
      <c r="B8" s="623" t="s">
        <v>570</v>
      </c>
      <c r="C8" s="654">
        <v>3.8573799999999998E-2</v>
      </c>
      <c r="D8" s="655">
        <v>0.27778000000000003</v>
      </c>
      <c r="E8" s="647">
        <f t="shared" si="0"/>
        <v>1.0715030164E-2</v>
      </c>
    </row>
    <row r="9" spans="1:5">
      <c r="A9" s="631" t="s">
        <v>573</v>
      </c>
      <c r="B9" s="623" t="s">
        <v>571</v>
      </c>
      <c r="C9" s="654">
        <v>4.0604000000000001E-2</v>
      </c>
      <c r="D9" s="655">
        <v>0.27778000000000003</v>
      </c>
      <c r="E9" s="647">
        <f t="shared" si="0"/>
        <v>1.1278979120000001E-2</v>
      </c>
    </row>
    <row r="10" spans="1:5">
      <c r="A10" s="631" t="s">
        <v>573</v>
      </c>
      <c r="B10" s="623" t="s">
        <v>572</v>
      </c>
      <c r="C10" s="654">
        <v>40.603999999999999</v>
      </c>
      <c r="D10" s="655">
        <v>0.27778000000000003</v>
      </c>
      <c r="E10" s="647">
        <f t="shared" si="0"/>
        <v>11.278979120000001</v>
      </c>
    </row>
    <row r="11" spans="1:5">
      <c r="A11" s="631" t="s">
        <v>593</v>
      </c>
      <c r="B11" s="623" t="s">
        <v>570</v>
      </c>
      <c r="C11" s="654">
        <v>2.3511000000000001E-2</v>
      </c>
      <c r="D11" s="655">
        <v>0.27778000000000003</v>
      </c>
      <c r="E11" s="647">
        <f t="shared" si="0"/>
        <v>6.5308855800000004E-3</v>
      </c>
    </row>
    <row r="12" spans="1:5">
      <c r="A12" s="631" t="s">
        <v>593</v>
      </c>
      <c r="B12" s="623" t="s">
        <v>571</v>
      </c>
      <c r="C12" s="654">
        <v>4.6100000000000002E-2</v>
      </c>
      <c r="D12" s="655">
        <v>0.27778000000000003</v>
      </c>
      <c r="E12" s="647">
        <f t="shared" si="0"/>
        <v>1.2805658000000001E-2</v>
      </c>
    </row>
    <row r="13" spans="1:5">
      <c r="A13" s="631" t="s">
        <v>593</v>
      </c>
      <c r="B13" s="623" t="s">
        <v>572</v>
      </c>
      <c r="C13" s="654">
        <v>46.1</v>
      </c>
      <c r="D13" s="655">
        <v>0.27778000000000003</v>
      </c>
      <c r="E13" s="647">
        <f t="shared" si="0"/>
        <v>12.805658000000001</v>
      </c>
    </row>
    <row r="14" spans="1:5">
      <c r="A14" s="631" t="s">
        <v>594</v>
      </c>
      <c r="B14" s="623" t="s">
        <v>570</v>
      </c>
      <c r="C14" s="654">
        <v>2.6525139999999999E-2</v>
      </c>
      <c r="D14" s="655">
        <v>0.27778000000000003</v>
      </c>
      <c r="E14" s="647">
        <f t="shared" si="0"/>
        <v>7.3681533892000009E-3</v>
      </c>
    </row>
    <row r="15" spans="1:5">
      <c r="A15" s="631" t="s">
        <v>594</v>
      </c>
      <c r="B15" s="623" t="s">
        <v>571</v>
      </c>
      <c r="C15" s="654">
        <v>4.5733000000000003E-2</v>
      </c>
      <c r="D15" s="655">
        <v>0.27778000000000003</v>
      </c>
      <c r="E15" s="647">
        <f t="shared" si="0"/>
        <v>1.2703712740000001E-2</v>
      </c>
    </row>
    <row r="16" spans="1:5">
      <c r="A16" s="631" t="s">
        <v>594</v>
      </c>
      <c r="B16" s="623" t="s">
        <v>572</v>
      </c>
      <c r="C16" s="654">
        <v>45.732999999999997</v>
      </c>
      <c r="D16" s="655">
        <v>0.27778000000000003</v>
      </c>
      <c r="E16" s="647">
        <f t="shared" si="0"/>
        <v>12.70371274</v>
      </c>
    </row>
    <row r="17" spans="1:10">
      <c r="A17" s="631" t="s">
        <v>577</v>
      </c>
      <c r="B17" s="623" t="s">
        <v>574</v>
      </c>
      <c r="C17" s="654">
        <v>3.2923000000000001E-2</v>
      </c>
      <c r="D17" s="655">
        <f>0.27778</f>
        <v>0.27778000000000003</v>
      </c>
      <c r="E17" s="647">
        <f t="shared" si="0"/>
        <v>9.1453509400000015E-3</v>
      </c>
    </row>
    <row r="18" spans="1:10">
      <c r="A18" s="631" t="s">
        <v>578</v>
      </c>
      <c r="B18" s="623" t="s">
        <v>574</v>
      </c>
      <c r="C18" s="654">
        <v>3.8852400000000002E-2</v>
      </c>
      <c r="D18" s="655">
        <f>0.27778</f>
        <v>0.27778000000000003</v>
      </c>
      <c r="E18" s="647">
        <f t="shared" si="0"/>
        <v>1.0792419672000002E-2</v>
      </c>
    </row>
    <row r="19" spans="1:10">
      <c r="A19" s="631" t="s">
        <v>581</v>
      </c>
      <c r="B19" s="623" t="s">
        <v>570</v>
      </c>
      <c r="C19" s="654">
        <v>2.4812460000000001E-2</v>
      </c>
      <c r="D19" s="655">
        <v>0.27778000000000003</v>
      </c>
      <c r="E19" s="647">
        <f t="shared" si="0"/>
        <v>6.8924051388000009E-3</v>
      </c>
    </row>
    <row r="20" spans="1:10">
      <c r="A20" s="631" t="s">
        <v>581</v>
      </c>
      <c r="B20" s="623" t="s">
        <v>571</v>
      </c>
      <c r="C20" s="654">
        <v>4.5948999999999997E-2</v>
      </c>
      <c r="D20" s="655">
        <v>0.27778000000000003</v>
      </c>
      <c r="E20" s="647">
        <f t="shared" si="0"/>
        <v>1.276371322E-2</v>
      </c>
    </row>
    <row r="21" spans="1:10">
      <c r="A21" s="631" t="s">
        <v>581</v>
      </c>
      <c r="B21" s="623" t="s">
        <v>572</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576</v>
      </c>
      <c r="B24" s="625"/>
      <c r="C24" s="625"/>
      <c r="D24" s="625"/>
      <c r="E24" s="626"/>
    </row>
    <row r="25" spans="1:10">
      <c r="A25" s="651" t="s">
        <v>380</v>
      </c>
      <c r="B25" s="1035" t="s">
        <v>841</v>
      </c>
      <c r="C25" s="629"/>
      <c r="D25" s="629"/>
      <c r="E25" s="630"/>
    </row>
    <row r="26" spans="1:10">
      <c r="A26" s="44"/>
      <c r="B26" s="43"/>
      <c r="C26" s="43"/>
      <c r="D26" s="43"/>
      <c r="E26" s="96"/>
    </row>
    <row r="27" spans="1:10" s="324" customFormat="1">
      <c r="A27" s="628" t="s">
        <v>579</v>
      </c>
      <c r="B27" s="636" t="s">
        <v>568</v>
      </c>
      <c r="C27" s="644"/>
      <c r="D27" s="643"/>
      <c r="E27" s="659" t="s">
        <v>583</v>
      </c>
    </row>
    <row r="28" spans="1:10">
      <c r="A28" s="631" t="s">
        <v>195</v>
      </c>
      <c r="B28" s="623" t="s">
        <v>570</v>
      </c>
      <c r="C28" s="645"/>
      <c r="D28" s="646"/>
      <c r="E28" s="653">
        <f>E29*0.84</f>
        <v>9.962166666666666E-3</v>
      </c>
      <c r="G28" s="627"/>
      <c r="H28" s="763"/>
      <c r="I28" s="763"/>
      <c r="J28" s="763"/>
    </row>
    <row r="29" spans="1:10">
      <c r="A29" s="631" t="s">
        <v>195</v>
      </c>
      <c r="B29" s="623" t="s">
        <v>571</v>
      </c>
      <c r="C29" s="645"/>
      <c r="D29" s="646"/>
      <c r="E29" s="653">
        <f>0.042695/3.6</f>
        <v>1.1859722222222221E-2</v>
      </c>
      <c r="F29" s="877"/>
      <c r="G29" s="627"/>
      <c r="H29" s="763"/>
      <c r="I29" s="763"/>
      <c r="J29" s="763"/>
    </row>
    <row r="30" spans="1:10">
      <c r="A30" s="631" t="s">
        <v>113</v>
      </c>
      <c r="B30" s="623" t="s">
        <v>570</v>
      </c>
      <c r="C30" s="645"/>
      <c r="D30" s="646"/>
      <c r="E30" s="653">
        <f>E31*0.75</f>
        <v>9.1195833333333337E-3</v>
      </c>
      <c r="H30" s="763"/>
      <c r="I30" s="763"/>
      <c r="J30" s="763"/>
    </row>
    <row r="31" spans="1:10">
      <c r="A31" s="631" t="s">
        <v>113</v>
      </c>
      <c r="B31" s="623" t="s">
        <v>571</v>
      </c>
      <c r="C31" s="645"/>
      <c r="D31" s="646"/>
      <c r="E31" s="653">
        <f>0.043774/3.6</f>
        <v>1.2159444444444445E-2</v>
      </c>
      <c r="H31" s="763"/>
      <c r="I31" s="763"/>
      <c r="J31" s="763"/>
    </row>
    <row r="32" spans="1:10">
      <c r="A32" s="631" t="s">
        <v>581</v>
      </c>
      <c r="B32" s="623" t="s">
        <v>570</v>
      </c>
      <c r="C32" s="645"/>
      <c r="D32" s="646"/>
      <c r="E32" s="653">
        <f>E33*0.52</f>
        <v>6.7259111111111118E-3</v>
      </c>
      <c r="H32" s="763"/>
    </row>
    <row r="33" spans="1:8">
      <c r="A33" s="631" t="s">
        <v>581</v>
      </c>
      <c r="B33" s="623" t="s">
        <v>571</v>
      </c>
      <c r="C33" s="645"/>
      <c r="D33" s="646"/>
      <c r="E33" s="653">
        <f>0.046564/3.6</f>
        <v>1.2934444444444445E-2</v>
      </c>
      <c r="H33" s="763"/>
    </row>
    <row r="34" spans="1:8">
      <c r="A34" s="631" t="s">
        <v>582</v>
      </c>
      <c r="B34" s="623" t="s">
        <v>570</v>
      </c>
      <c r="C34" s="645"/>
      <c r="D34" s="646"/>
      <c r="E34" s="653">
        <f>E35*0.175</f>
        <v>2.3333333333333331E-3</v>
      </c>
      <c r="H34" s="763"/>
    </row>
    <row r="35" spans="1:8">
      <c r="A35" s="631" t="s">
        <v>582</v>
      </c>
      <c r="B35" s="623" t="s">
        <v>571</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595</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707</v>
      </c>
      <c r="C21" s="131" t="s">
        <v>563</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892</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892</v>
      </c>
      <c r="B4" s="324"/>
      <c r="C4" s="324"/>
      <c r="D4" s="324"/>
      <c r="E4" s="324"/>
      <c r="F4" s="324"/>
    </row>
    <row r="5" spans="1:6" ht="22.5">
      <c r="A5" s="1280" t="s">
        <v>893</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3213</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613</v>
      </c>
      <c r="D12" s="325"/>
      <c r="E12" s="325"/>
      <c r="F12" s="329"/>
    </row>
    <row r="13" spans="1:6" ht="16.5" thickTop="1" thickBot="1">
      <c r="A13" s="1286" t="s">
        <v>4</v>
      </c>
      <c r="B13" s="1287" t="s">
        <v>5</v>
      </c>
      <c r="C13" s="1287"/>
      <c r="D13" s="1287"/>
      <c r="E13" s="1287"/>
      <c r="F13" s="1288"/>
    </row>
    <row r="14" spans="1:6">
      <c r="A14" s="1289" t="s">
        <v>660</v>
      </c>
      <c r="B14" s="1290">
        <v>2537.25</v>
      </c>
      <c r="C14" s="324"/>
      <c r="D14" s="324"/>
      <c r="E14" s="324"/>
      <c r="F14" s="324"/>
    </row>
    <row r="15" spans="1:6">
      <c r="A15" s="1289" t="s">
        <v>177</v>
      </c>
      <c r="B15" s="1290">
        <v>12214</v>
      </c>
      <c r="C15" s="324"/>
      <c r="D15" s="324"/>
      <c r="E15" s="324"/>
      <c r="F15" s="324"/>
    </row>
    <row r="16" spans="1:6">
      <c r="A16" s="1289" t="s">
        <v>6</v>
      </c>
      <c r="B16" s="1290">
        <v>3779</v>
      </c>
      <c r="C16" s="324"/>
      <c r="D16" s="324"/>
      <c r="E16" s="324"/>
      <c r="F16" s="324"/>
    </row>
    <row r="17" spans="1:6">
      <c r="A17" s="1289" t="s">
        <v>7</v>
      </c>
      <c r="B17" s="1290">
        <v>549</v>
      </c>
      <c r="C17" s="324"/>
      <c r="D17" s="324"/>
      <c r="E17" s="324"/>
      <c r="F17" s="324"/>
    </row>
    <row r="18" spans="1:6">
      <c r="A18" s="1289" t="s">
        <v>8</v>
      </c>
      <c r="B18" s="1290">
        <v>2228</v>
      </c>
      <c r="C18" s="324"/>
      <c r="D18" s="324"/>
      <c r="E18" s="324"/>
      <c r="F18" s="324"/>
    </row>
    <row r="19" spans="1:6">
      <c r="A19" s="1289" t="s">
        <v>9</v>
      </c>
      <c r="B19" s="1290">
        <v>1893</v>
      </c>
      <c r="C19" s="324"/>
      <c r="D19" s="324"/>
      <c r="E19" s="324"/>
      <c r="F19" s="324"/>
    </row>
    <row r="20" spans="1:6">
      <c r="A20" s="1289" t="s">
        <v>10</v>
      </c>
      <c r="B20" s="1290">
        <v>946</v>
      </c>
      <c r="C20" s="324"/>
      <c r="D20" s="324"/>
      <c r="E20" s="324"/>
      <c r="F20" s="324"/>
    </row>
    <row r="21" spans="1:6">
      <c r="A21" s="1289" t="s">
        <v>11</v>
      </c>
      <c r="B21" s="1290">
        <v>21396</v>
      </c>
      <c r="C21" s="324"/>
      <c r="D21" s="324"/>
      <c r="E21" s="324"/>
      <c r="F21" s="324"/>
    </row>
    <row r="22" spans="1:6">
      <c r="A22" s="1289" t="s">
        <v>12</v>
      </c>
      <c r="B22" s="1290">
        <v>44397</v>
      </c>
      <c r="C22" s="324"/>
      <c r="D22" s="324"/>
      <c r="E22" s="324"/>
      <c r="F22" s="324"/>
    </row>
    <row r="23" spans="1:6">
      <c r="A23" s="1289" t="s">
        <v>13</v>
      </c>
      <c r="B23" s="1290">
        <v>1048</v>
      </c>
      <c r="C23" s="324"/>
      <c r="D23" s="324"/>
      <c r="E23" s="324"/>
      <c r="F23" s="324"/>
    </row>
    <row r="24" spans="1:6">
      <c r="A24" s="1289" t="s">
        <v>14</v>
      </c>
      <c r="B24" s="1290">
        <v>23</v>
      </c>
      <c r="C24" s="324"/>
      <c r="D24" s="324"/>
      <c r="E24" s="324"/>
      <c r="F24" s="324"/>
    </row>
    <row r="25" spans="1:6">
      <c r="A25" s="1289" t="s">
        <v>15</v>
      </c>
      <c r="B25" s="1290">
        <v>4868</v>
      </c>
      <c r="C25" s="324"/>
      <c r="D25" s="324"/>
      <c r="E25" s="324"/>
      <c r="F25" s="324"/>
    </row>
    <row r="26" spans="1:6">
      <c r="A26" s="1289" t="s">
        <v>16</v>
      </c>
      <c r="B26" s="1290">
        <v>7</v>
      </c>
      <c r="C26" s="324"/>
      <c r="D26" s="324"/>
      <c r="E26" s="324"/>
      <c r="F26" s="324"/>
    </row>
    <row r="27" spans="1:6">
      <c r="A27" s="1289" t="s">
        <v>17</v>
      </c>
      <c r="B27" s="1290">
        <v>1184</v>
      </c>
      <c r="C27" s="324"/>
      <c r="D27" s="324"/>
      <c r="E27" s="324"/>
      <c r="F27" s="324"/>
    </row>
    <row r="28" spans="1:6">
      <c r="A28" s="1289" t="s">
        <v>18</v>
      </c>
      <c r="B28" s="1291">
        <v>656474</v>
      </c>
      <c r="C28" s="324"/>
      <c r="D28" s="324"/>
      <c r="E28" s="324"/>
      <c r="F28" s="324"/>
    </row>
    <row r="29" spans="1:6">
      <c r="A29" s="1289" t="s">
        <v>716</v>
      </c>
      <c r="B29" s="1291">
        <v>88</v>
      </c>
      <c r="C29" s="324"/>
      <c r="D29" s="324"/>
      <c r="E29" s="324"/>
      <c r="F29" s="324"/>
    </row>
    <row r="30" spans="1:6">
      <c r="A30" s="1284" t="s">
        <v>717</v>
      </c>
      <c r="B30" s="1292">
        <v>4</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0</v>
      </c>
      <c r="D35" s="1290">
        <v>0</v>
      </c>
      <c r="E35" s="1290">
        <v>3</v>
      </c>
      <c r="F35" s="1290">
        <v>67327</v>
      </c>
    </row>
    <row r="36" spans="1:6">
      <c r="A36" s="1289" t="s">
        <v>24</v>
      </c>
      <c r="B36" s="1289" t="s">
        <v>26</v>
      </c>
      <c r="C36" s="1290">
        <v>0</v>
      </c>
      <c r="D36" s="1290">
        <v>0</v>
      </c>
      <c r="E36" s="1290">
        <v>11</v>
      </c>
      <c r="F36" s="1290">
        <v>884272</v>
      </c>
    </row>
    <row r="37" spans="1:6">
      <c r="A37" s="1289" t="s">
        <v>24</v>
      </c>
      <c r="B37" s="1289" t="s">
        <v>27</v>
      </c>
      <c r="C37" s="1290">
        <v>0</v>
      </c>
      <c r="D37" s="1290">
        <v>0</v>
      </c>
      <c r="E37" s="1290">
        <v>0</v>
      </c>
      <c r="F37" s="1290">
        <v>0</v>
      </c>
    </row>
    <row r="38" spans="1:6">
      <c r="A38" s="1289" t="s">
        <v>24</v>
      </c>
      <c r="B38" s="1289" t="s">
        <v>28</v>
      </c>
      <c r="C38" s="1290">
        <v>7</v>
      </c>
      <c r="D38" s="1290">
        <v>58320227.406098701</v>
      </c>
      <c r="E38" s="1290">
        <v>2</v>
      </c>
      <c r="F38" s="1290">
        <v>9748</v>
      </c>
    </row>
    <row r="39" spans="1:6">
      <c r="A39" s="1289" t="s">
        <v>29</v>
      </c>
      <c r="B39" s="1289" t="s">
        <v>30</v>
      </c>
      <c r="C39" s="1290">
        <v>2327</v>
      </c>
      <c r="D39" s="1290">
        <v>43831493.4270062</v>
      </c>
      <c r="E39" s="1290">
        <v>3202</v>
      </c>
      <c r="F39" s="1290">
        <v>11594309.109193757</v>
      </c>
    </row>
    <row r="40" spans="1:6">
      <c r="A40" s="1289" t="s">
        <v>29</v>
      </c>
      <c r="B40" s="1289" t="s">
        <v>28</v>
      </c>
      <c r="C40" s="1290">
        <v>0</v>
      </c>
      <c r="D40" s="1290">
        <v>0</v>
      </c>
      <c r="E40" s="1290">
        <v>0</v>
      </c>
      <c r="F40" s="1290">
        <v>0</v>
      </c>
    </row>
    <row r="41" spans="1:6">
      <c r="A41" s="1289" t="s">
        <v>31</v>
      </c>
      <c r="B41" s="1289" t="s">
        <v>32</v>
      </c>
      <c r="C41" s="1290">
        <v>21</v>
      </c>
      <c r="D41" s="1290">
        <v>727005.38789907505</v>
      </c>
      <c r="E41" s="1290">
        <v>95</v>
      </c>
      <c r="F41" s="1290">
        <v>868406.33299999998</v>
      </c>
    </row>
    <row r="42" spans="1:6">
      <c r="A42" s="1289" t="s">
        <v>31</v>
      </c>
      <c r="B42" s="1289" t="s">
        <v>33</v>
      </c>
      <c r="C42" s="1290">
        <v>0</v>
      </c>
      <c r="D42" s="1290">
        <v>0</v>
      </c>
      <c r="E42" s="1290">
        <v>0</v>
      </c>
      <c r="F42" s="1290">
        <v>0</v>
      </c>
    </row>
    <row r="43" spans="1:6">
      <c r="A43" s="1289" t="s">
        <v>31</v>
      </c>
      <c r="B43" s="1289" t="s">
        <v>34</v>
      </c>
      <c r="C43" s="1290">
        <v>0</v>
      </c>
      <c r="D43" s="1290">
        <v>0</v>
      </c>
      <c r="E43" s="1290">
        <v>0</v>
      </c>
      <c r="F43" s="1290">
        <v>0</v>
      </c>
    </row>
    <row r="44" spans="1:6">
      <c r="A44" s="1289" t="s">
        <v>31</v>
      </c>
      <c r="B44" s="1289" t="s">
        <v>35</v>
      </c>
      <c r="C44" s="1290">
        <v>4</v>
      </c>
      <c r="D44" s="1290">
        <v>115178.04519547299</v>
      </c>
      <c r="E44" s="1290">
        <v>21</v>
      </c>
      <c r="F44" s="1290">
        <v>623475</v>
      </c>
    </row>
    <row r="45" spans="1:6">
      <c r="A45" s="1289" t="s">
        <v>31</v>
      </c>
      <c r="B45" s="1289" t="s">
        <v>36</v>
      </c>
      <c r="C45" s="1290">
        <v>0</v>
      </c>
      <c r="D45" s="1290">
        <v>0</v>
      </c>
      <c r="E45" s="1290">
        <v>0</v>
      </c>
      <c r="F45" s="1290">
        <v>0</v>
      </c>
    </row>
    <row r="46" spans="1:6">
      <c r="A46" s="1289" t="s">
        <v>31</v>
      </c>
      <c r="B46" s="1289" t="s">
        <v>37</v>
      </c>
      <c r="C46" s="1290">
        <v>0</v>
      </c>
      <c r="D46" s="1290">
        <v>0</v>
      </c>
      <c r="E46" s="1290">
        <v>0</v>
      </c>
      <c r="F46" s="1290">
        <v>0</v>
      </c>
    </row>
    <row r="47" spans="1:6">
      <c r="A47" s="1289" t="s">
        <v>31</v>
      </c>
      <c r="B47" s="1289" t="s">
        <v>38</v>
      </c>
      <c r="C47" s="1290">
        <v>0</v>
      </c>
      <c r="D47" s="1290">
        <v>0</v>
      </c>
      <c r="E47" s="1290">
        <v>0</v>
      </c>
      <c r="F47" s="1290">
        <v>0</v>
      </c>
    </row>
    <row r="48" spans="1:6">
      <c r="A48" s="1289" t="s">
        <v>31</v>
      </c>
      <c r="B48" s="1289" t="s">
        <v>28</v>
      </c>
      <c r="C48" s="1290">
        <v>23</v>
      </c>
      <c r="D48" s="1290">
        <v>760615.955811747</v>
      </c>
      <c r="E48" s="1290">
        <v>3</v>
      </c>
      <c r="F48" s="1290">
        <v>28615</v>
      </c>
    </row>
    <row r="49" spans="1:6">
      <c r="A49" s="1289" t="s">
        <v>31</v>
      </c>
      <c r="B49" s="1289" t="s">
        <v>39</v>
      </c>
      <c r="C49" s="1290">
        <v>0</v>
      </c>
      <c r="D49" s="1290">
        <v>0</v>
      </c>
      <c r="E49" s="1290">
        <v>0</v>
      </c>
      <c r="F49" s="1290">
        <v>0</v>
      </c>
    </row>
    <row r="50" spans="1:6">
      <c r="A50" s="1289" t="s">
        <v>31</v>
      </c>
      <c r="B50" s="1289" t="s">
        <v>40</v>
      </c>
      <c r="C50" s="1290">
        <v>4</v>
      </c>
      <c r="D50" s="1290">
        <v>645160.38238713401</v>
      </c>
      <c r="E50" s="1290">
        <v>8</v>
      </c>
      <c r="F50" s="1290">
        <v>1454070</v>
      </c>
    </row>
    <row r="51" spans="1:6">
      <c r="A51" s="1289" t="s">
        <v>41</v>
      </c>
      <c r="B51" s="1289" t="s">
        <v>42</v>
      </c>
      <c r="C51" s="1290">
        <v>15</v>
      </c>
      <c r="D51" s="1290">
        <v>607436876.923334</v>
      </c>
      <c r="E51" s="1290">
        <v>132</v>
      </c>
      <c r="F51" s="1290">
        <v>12429408.756999999</v>
      </c>
    </row>
    <row r="52" spans="1:6">
      <c r="A52" s="1289" t="s">
        <v>41</v>
      </c>
      <c r="B52" s="1289" t="s">
        <v>28</v>
      </c>
      <c r="C52" s="1290">
        <v>7</v>
      </c>
      <c r="D52" s="1290">
        <v>1984494.9074659101</v>
      </c>
      <c r="E52" s="1290">
        <v>0</v>
      </c>
      <c r="F52" s="1290">
        <v>0</v>
      </c>
    </row>
    <row r="53" spans="1:6">
      <c r="A53" s="1289" t="s">
        <v>43</v>
      </c>
      <c r="B53" s="1289" t="s">
        <v>44</v>
      </c>
      <c r="C53" s="1290">
        <v>11</v>
      </c>
      <c r="D53" s="1290">
        <v>374635.78537629597</v>
      </c>
      <c r="E53" s="1290">
        <v>27</v>
      </c>
      <c r="F53" s="1290">
        <v>504597.14299999998</v>
      </c>
    </row>
    <row r="54" spans="1:6">
      <c r="A54" s="1289" t="s">
        <v>45</v>
      </c>
      <c r="B54" s="1289" t="s">
        <v>46</v>
      </c>
      <c r="C54" s="1290">
        <v>0</v>
      </c>
      <c r="D54" s="1290">
        <v>0</v>
      </c>
      <c r="E54" s="1290">
        <v>1</v>
      </c>
      <c r="F54" s="1290">
        <v>460929</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10</v>
      </c>
      <c r="D57" s="1290">
        <v>182367.88183537699</v>
      </c>
      <c r="E57" s="1290">
        <v>45</v>
      </c>
      <c r="F57" s="1290">
        <v>3421758</v>
      </c>
    </row>
    <row r="58" spans="1:6">
      <c r="A58" s="1289" t="s">
        <v>48</v>
      </c>
      <c r="B58" s="1289" t="s">
        <v>50</v>
      </c>
      <c r="C58" s="1290">
        <v>14</v>
      </c>
      <c r="D58" s="1290">
        <v>4377044.2006191304</v>
      </c>
      <c r="E58" s="1290">
        <v>27</v>
      </c>
      <c r="F58" s="1290">
        <v>1110415</v>
      </c>
    </row>
    <row r="59" spans="1:6">
      <c r="A59" s="1289" t="s">
        <v>48</v>
      </c>
      <c r="B59" s="1289" t="s">
        <v>51</v>
      </c>
      <c r="C59" s="1290">
        <v>16</v>
      </c>
      <c r="D59" s="1290">
        <v>1284138.47987169</v>
      </c>
      <c r="E59" s="1290">
        <v>108</v>
      </c>
      <c r="F59" s="1290">
        <v>3707137.43</v>
      </c>
    </row>
    <row r="60" spans="1:6">
      <c r="A60" s="1289" t="s">
        <v>48</v>
      </c>
      <c r="B60" s="1289" t="s">
        <v>52</v>
      </c>
      <c r="C60" s="1290">
        <v>13</v>
      </c>
      <c r="D60" s="1290">
        <v>523680.27654983802</v>
      </c>
      <c r="E60" s="1290">
        <v>31</v>
      </c>
      <c r="F60" s="1290">
        <v>627421</v>
      </c>
    </row>
    <row r="61" spans="1:6">
      <c r="A61" s="1289" t="s">
        <v>48</v>
      </c>
      <c r="B61" s="1289" t="s">
        <v>53</v>
      </c>
      <c r="C61" s="1290">
        <v>40</v>
      </c>
      <c r="D61" s="1290">
        <v>11837072.726717999</v>
      </c>
      <c r="E61" s="1290">
        <v>80</v>
      </c>
      <c r="F61" s="1290">
        <v>3698403.3339999998</v>
      </c>
    </row>
    <row r="62" spans="1:6">
      <c r="A62" s="1289" t="s">
        <v>48</v>
      </c>
      <c r="B62" s="1289" t="s">
        <v>54</v>
      </c>
      <c r="C62" s="1290">
        <v>0</v>
      </c>
      <c r="D62" s="1290">
        <v>0</v>
      </c>
      <c r="E62" s="1290">
        <v>0</v>
      </c>
      <c r="F62" s="1290">
        <v>0</v>
      </c>
    </row>
    <row r="63" spans="1:6">
      <c r="A63" s="1289" t="s">
        <v>48</v>
      </c>
      <c r="B63" s="1289" t="s">
        <v>28</v>
      </c>
      <c r="C63" s="1290">
        <v>58</v>
      </c>
      <c r="D63" s="1290">
        <v>2706896.60431665</v>
      </c>
      <c r="E63" s="1290">
        <v>2</v>
      </c>
      <c r="F63" s="1290">
        <v>62488.381000000001</v>
      </c>
    </row>
    <row r="64" spans="1:6">
      <c r="A64" s="1289" t="s">
        <v>55</v>
      </c>
      <c r="B64" s="1289" t="s">
        <v>56</v>
      </c>
      <c r="C64" s="1290">
        <v>0</v>
      </c>
      <c r="D64" s="1290">
        <v>0</v>
      </c>
      <c r="E64" s="1290">
        <v>0</v>
      </c>
      <c r="F64" s="1290">
        <v>0</v>
      </c>
    </row>
    <row r="65" spans="1:6">
      <c r="A65" s="1289" t="s">
        <v>55</v>
      </c>
      <c r="B65" s="1289" t="s">
        <v>28</v>
      </c>
      <c r="C65" s="1290">
        <v>0</v>
      </c>
      <c r="D65" s="1290">
        <v>0</v>
      </c>
      <c r="E65" s="1290">
        <v>2</v>
      </c>
      <c r="F65" s="1290">
        <v>9191</v>
      </c>
    </row>
    <row r="66" spans="1:6">
      <c r="A66" s="1289" t="s">
        <v>55</v>
      </c>
      <c r="B66" s="1289" t="s">
        <v>57</v>
      </c>
      <c r="C66" s="1290">
        <v>0</v>
      </c>
      <c r="D66" s="1290">
        <v>0</v>
      </c>
      <c r="E66" s="1290">
        <v>0</v>
      </c>
      <c r="F66" s="1290">
        <v>0</v>
      </c>
    </row>
    <row r="67" spans="1:6">
      <c r="A67" s="1289" t="s">
        <v>55</v>
      </c>
      <c r="B67" s="1289" t="s">
        <v>58</v>
      </c>
      <c r="C67" s="1290">
        <v>0</v>
      </c>
      <c r="D67" s="1290">
        <v>0</v>
      </c>
      <c r="E67" s="1290">
        <v>0</v>
      </c>
      <c r="F67" s="1290">
        <v>0</v>
      </c>
    </row>
    <row r="68" spans="1:6">
      <c r="A68" s="1284" t="s">
        <v>55</v>
      </c>
      <c r="B68" s="1284" t="s">
        <v>59</v>
      </c>
      <c r="C68" s="1292">
        <v>0</v>
      </c>
      <c r="D68" s="1292">
        <v>0</v>
      </c>
      <c r="E68" s="1292">
        <v>7</v>
      </c>
      <c r="F68" s="1292">
        <v>93838</v>
      </c>
    </row>
    <row r="69" spans="1:6" ht="15.75" thickBot="1">
      <c r="A69" s="328"/>
      <c r="B69" s="324"/>
      <c r="C69" s="324"/>
      <c r="D69" s="324"/>
      <c r="E69" s="324"/>
      <c r="F69" s="324"/>
    </row>
    <row r="70" spans="1:6" ht="19.5">
      <c r="A70" s="1281" t="s">
        <v>60</v>
      </c>
      <c r="B70" s="325" t="s">
        <v>390</v>
      </c>
      <c r="C70" s="325" t="s">
        <v>673</v>
      </c>
      <c r="D70" s="325"/>
      <c r="E70" s="325"/>
      <c r="F70" s="329"/>
    </row>
    <row r="71" spans="1:6" ht="20.25" thickBot="1">
      <c r="A71" s="1299"/>
      <c r="B71" s="1309"/>
      <c r="C71" s="1309"/>
      <c r="D71" s="1310" t="s">
        <v>428</v>
      </c>
      <c r="E71" s="1309"/>
      <c r="F71" s="331"/>
    </row>
    <row r="72" spans="1:6" ht="16.5" thickTop="1" thickBot="1">
      <c r="A72" s="1286" t="s">
        <v>61</v>
      </c>
      <c r="B72" s="1287" t="s">
        <v>62</v>
      </c>
      <c r="C72" s="1300" t="s">
        <v>658</v>
      </c>
      <c r="D72" s="1301"/>
      <c r="E72" s="1301"/>
      <c r="F72" s="1288"/>
    </row>
    <row r="73" spans="1:6">
      <c r="A73" s="1289" t="s">
        <v>63</v>
      </c>
      <c r="B73" s="1289" t="s">
        <v>641</v>
      </c>
      <c r="C73" s="1302" t="s">
        <v>643</v>
      </c>
      <c r="D73" s="1290">
        <v>45871296</v>
      </c>
      <c r="E73" s="441"/>
      <c r="F73" s="324"/>
    </row>
    <row r="74" spans="1:6">
      <c r="A74" s="1289" t="s">
        <v>63</v>
      </c>
      <c r="B74" s="1289" t="s">
        <v>642</v>
      </c>
      <c r="C74" s="1302" t="s">
        <v>644</v>
      </c>
      <c r="D74" s="1290">
        <v>3327555</v>
      </c>
      <c r="E74" s="441"/>
      <c r="F74" s="324"/>
    </row>
    <row r="75" spans="1:6">
      <c r="A75" s="1289" t="s">
        <v>64</v>
      </c>
      <c r="B75" s="1289" t="s">
        <v>641</v>
      </c>
      <c r="C75" s="1302" t="s">
        <v>645</v>
      </c>
      <c r="D75" s="1290">
        <v>8323123</v>
      </c>
      <c r="E75" s="441"/>
      <c r="F75" s="324"/>
    </row>
    <row r="76" spans="1:6">
      <c r="A76" s="1289" t="s">
        <v>64</v>
      </c>
      <c r="B76" s="1289" t="s">
        <v>642</v>
      </c>
      <c r="C76" s="1302" t="s">
        <v>646</v>
      </c>
      <c r="D76" s="1290">
        <v>213642</v>
      </c>
      <c r="E76" s="441"/>
      <c r="F76" s="324"/>
    </row>
    <row r="77" spans="1:6">
      <c r="A77" s="1289" t="s">
        <v>65</v>
      </c>
      <c r="B77" s="1289" t="s">
        <v>641</v>
      </c>
      <c r="C77" s="1302" t="s">
        <v>647</v>
      </c>
      <c r="D77" s="1290">
        <v>0</v>
      </c>
      <c r="E77" s="441"/>
      <c r="F77" s="324"/>
    </row>
    <row r="78" spans="1:6">
      <c r="A78" s="1284" t="s">
        <v>65</v>
      </c>
      <c r="B78" s="1284" t="s">
        <v>642</v>
      </c>
      <c r="C78" s="1284" t="s">
        <v>648</v>
      </c>
      <c r="D78" s="1292">
        <v>0</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238282</v>
      </c>
      <c r="C83" s="441"/>
      <c r="D83" s="324"/>
      <c r="E83" s="324"/>
      <c r="F83" s="324"/>
    </row>
    <row r="84" spans="1:6">
      <c r="A84" s="1284" t="s">
        <v>323</v>
      </c>
      <c r="B84" s="1292">
        <v>0</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534</v>
      </c>
      <c r="B89" s="1290">
        <v>0</v>
      </c>
      <c r="C89" s="324"/>
      <c r="D89" s="324"/>
      <c r="E89" s="324"/>
      <c r="F89" s="324"/>
    </row>
    <row r="90" spans="1:6">
      <c r="A90" s="1289" t="s">
        <v>535</v>
      </c>
      <c r="B90" s="1290">
        <v>0</v>
      </c>
      <c r="C90" s="324"/>
      <c r="D90" s="324"/>
      <c r="E90" s="324"/>
      <c r="F90" s="324"/>
    </row>
    <row r="91" spans="1:6">
      <c r="A91" s="1289" t="s">
        <v>67</v>
      </c>
      <c r="B91" s="1290">
        <v>2364.24805518625</v>
      </c>
      <c r="C91" s="324"/>
      <c r="D91" s="324"/>
      <c r="E91" s="324"/>
      <c r="F91" s="324"/>
    </row>
    <row r="92" spans="1:6">
      <c r="A92" s="1284" t="s">
        <v>68</v>
      </c>
      <c r="B92" s="1285">
        <v>1369.9329771673283</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1528</v>
      </c>
      <c r="C97" s="324"/>
      <c r="D97" s="324"/>
      <c r="E97" s="324"/>
      <c r="F97" s="324"/>
    </row>
    <row r="98" spans="1:6">
      <c r="A98" s="1289" t="s">
        <v>71</v>
      </c>
      <c r="B98" s="1290">
        <v>2</v>
      </c>
      <c r="C98" s="324"/>
      <c r="D98" s="324"/>
      <c r="E98" s="324"/>
      <c r="F98" s="324"/>
    </row>
    <row r="99" spans="1:6">
      <c r="A99" s="1289" t="s">
        <v>72</v>
      </c>
      <c r="B99" s="1290">
        <v>75</v>
      </c>
      <c r="C99" s="324"/>
      <c r="D99" s="324"/>
      <c r="E99" s="324"/>
      <c r="F99" s="324"/>
    </row>
    <row r="100" spans="1:6">
      <c r="A100" s="1289" t="s">
        <v>73</v>
      </c>
      <c r="B100" s="1290">
        <v>103</v>
      </c>
      <c r="C100" s="324"/>
      <c r="D100" s="324"/>
      <c r="E100" s="324"/>
      <c r="F100" s="324"/>
    </row>
    <row r="101" spans="1:6">
      <c r="A101" s="1289" t="s">
        <v>74</v>
      </c>
      <c r="B101" s="1290">
        <v>100</v>
      </c>
      <c r="C101" s="324"/>
      <c r="D101" s="324"/>
      <c r="E101" s="324"/>
      <c r="F101" s="324"/>
    </row>
    <row r="102" spans="1:6">
      <c r="A102" s="1289" t="s">
        <v>75</v>
      </c>
      <c r="B102" s="1290">
        <v>31</v>
      </c>
      <c r="C102" s="324"/>
      <c r="D102" s="324"/>
      <c r="E102" s="324"/>
      <c r="F102" s="324"/>
    </row>
    <row r="103" spans="1:6">
      <c r="A103" s="1289" t="s">
        <v>76</v>
      </c>
      <c r="B103" s="1290">
        <v>63</v>
      </c>
      <c r="C103" s="324"/>
      <c r="D103" s="324"/>
      <c r="E103" s="324"/>
      <c r="F103" s="324"/>
    </row>
    <row r="104" spans="1:6">
      <c r="A104" s="1289" t="s">
        <v>77</v>
      </c>
      <c r="B104" s="1290">
        <v>786</v>
      </c>
      <c r="C104" s="324"/>
      <c r="D104" s="324"/>
      <c r="E104" s="324"/>
      <c r="F104" s="324"/>
    </row>
    <row r="105" spans="1:6">
      <c r="A105" s="1284" t="s">
        <v>78</v>
      </c>
      <c r="B105" s="1292">
        <v>7</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631</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632</v>
      </c>
      <c r="B110" s="1290">
        <v>0</v>
      </c>
      <c r="C110" s="324"/>
      <c r="D110" s="324"/>
      <c r="E110" s="324"/>
      <c r="F110" s="324"/>
    </row>
    <row r="111" spans="1:6">
      <c r="A111" s="1307" t="s">
        <v>633</v>
      </c>
      <c r="B111" s="1308">
        <v>0</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0</v>
      </c>
      <c r="C121" s="1290">
        <v>0</v>
      </c>
      <c r="D121" s="324"/>
      <c r="E121" s="324"/>
      <c r="F121" s="324"/>
    </row>
    <row r="122" spans="1:6">
      <c r="A122" s="1289" t="s">
        <v>86</v>
      </c>
      <c r="B122" s="1290">
        <v>0</v>
      </c>
      <c r="C122" s="1290">
        <v>0</v>
      </c>
      <c r="D122" s="324"/>
      <c r="E122" s="324"/>
      <c r="F122" s="324"/>
    </row>
    <row r="123" spans="1:6">
      <c r="A123" s="1289" t="s">
        <v>87</v>
      </c>
      <c r="B123" s="1290">
        <v>10</v>
      </c>
      <c r="C123" s="1290">
        <v>7</v>
      </c>
      <c r="D123" s="324"/>
      <c r="E123" s="324"/>
      <c r="F123" s="324"/>
    </row>
    <row r="124" spans="1:6">
      <c r="A124" s="1289" t="s">
        <v>88</v>
      </c>
      <c r="B124" s="1290">
        <v>0</v>
      </c>
      <c r="C124" s="1290">
        <v>1</v>
      </c>
      <c r="D124" s="324"/>
      <c r="E124" s="324"/>
      <c r="F124" s="324"/>
    </row>
    <row r="125" spans="1:6">
      <c r="A125" s="1284" t="s">
        <v>851</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62</v>
      </c>
      <c r="C129" s="324"/>
      <c r="D129" s="324"/>
      <c r="E129" s="324"/>
      <c r="F129" s="324"/>
    </row>
    <row r="130" spans="1:6">
      <c r="A130" s="1289" t="s">
        <v>283</v>
      </c>
      <c r="B130" s="1290">
        <v>3</v>
      </c>
      <c r="C130" s="324"/>
      <c r="D130" s="324"/>
      <c r="E130" s="324"/>
      <c r="F130" s="324"/>
    </row>
    <row r="131" spans="1:6">
      <c r="A131" s="1289" t="s">
        <v>284</v>
      </c>
      <c r="B131" s="1290">
        <v>0</v>
      </c>
      <c r="C131" s="324"/>
      <c r="D131" s="324"/>
      <c r="E131" s="324"/>
      <c r="F131" s="324"/>
    </row>
    <row r="132" spans="1:6">
      <c r="A132" s="1284" t="s">
        <v>285</v>
      </c>
      <c r="B132" s="1285">
        <v>6</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852</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852</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708</v>
      </c>
      <c r="B44" s="498"/>
      <c r="E44" s="627"/>
      <c r="F44" s="627"/>
    </row>
    <row r="45" spans="1:14">
      <c r="A45" s="44"/>
      <c r="B45" s="498"/>
      <c r="E45" s="627"/>
      <c r="F45" s="627"/>
    </row>
    <row r="46" spans="1:14" ht="18">
      <c r="A46" s="137" t="s">
        <v>183</v>
      </c>
      <c r="B46" s="499" t="s">
        <v>561</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612</v>
      </c>
      <c r="B1" s="512"/>
      <c r="C1" s="513"/>
    </row>
    <row r="2" spans="1:3" s="324" customFormat="1">
      <c r="A2" s="362"/>
      <c r="B2" s="478"/>
      <c r="C2" s="515"/>
    </row>
    <row r="3" spans="1:3" s="324" customFormat="1">
      <c r="A3" s="360"/>
      <c r="B3" s="516">
        <v>2016</v>
      </c>
      <c r="C3" s="363" t="s">
        <v>175</v>
      </c>
    </row>
    <row r="4" spans="1:3">
      <c r="A4" s="120" t="s">
        <v>289</v>
      </c>
      <c r="B4" s="517">
        <v>4382.187123964326</v>
      </c>
      <c r="C4" s="139" t="s">
        <v>709</v>
      </c>
    </row>
    <row r="5" spans="1:3" ht="15.75" thickBot="1">
      <c r="A5" s="892" t="s">
        <v>611</v>
      </c>
      <c r="B5" s="900">
        <v>673536</v>
      </c>
      <c r="C5" s="901" t="s">
        <v>659</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44639.412473247125</v>
      </c>
      <c r="C3" s="43" t="s">
        <v>163</v>
      </c>
      <c r="D3" s="43"/>
      <c r="E3" s="154"/>
      <c r="F3" s="43"/>
      <c r="G3" s="43"/>
      <c r="H3" s="43"/>
      <c r="I3" s="43"/>
      <c r="J3" s="43"/>
      <c r="K3" s="96"/>
    </row>
    <row r="4" spans="1:11">
      <c r="A4" s="350" t="s">
        <v>164</v>
      </c>
      <c r="B4" s="49">
        <f>IF(ISERROR('SEAP template'!B78+'SEAP template'!C78),0,'SEAP template'!B78+'SEAP template'!C78)</f>
        <v>267779.33103235357</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697</v>
      </c>
      <c r="G6" s="43" t="s">
        <v>702</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55274.685882352955</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0.20641879143269115</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78963.836974789927</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374854.5</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0.21065196489515245</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658</v>
      </c>
      <c r="B1" s="855" t="s">
        <v>296</v>
      </c>
      <c r="C1" s="855" t="s">
        <v>300</v>
      </c>
      <c r="D1" s="855" t="s">
        <v>301</v>
      </c>
      <c r="E1" s="855" t="s">
        <v>302</v>
      </c>
      <c r="F1" s="855" t="s">
        <v>303</v>
      </c>
      <c r="H1" s="1048" t="s">
        <v>864</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641</v>
      </c>
      <c r="C3" s="1047" t="s">
        <v>64</v>
      </c>
      <c r="D3" s="1047" t="s">
        <v>859</v>
      </c>
      <c r="E3" s="1047" t="s">
        <v>860</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641</v>
      </c>
      <c r="C4" s="1047" t="s">
        <v>63</v>
      </c>
      <c r="D4" s="1047" t="s">
        <v>859</v>
      </c>
      <c r="E4" s="1047" t="s">
        <v>860</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641</v>
      </c>
      <c r="C5" s="1047" t="s">
        <v>65</v>
      </c>
      <c r="D5" s="1047" t="s">
        <v>859</v>
      </c>
      <c r="E5" s="1047" t="s">
        <v>860</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641</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641</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641</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642</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642</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642</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657</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657</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657</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641</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641</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641</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641</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641</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641</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641</v>
      </c>
      <c r="C21" s="1047" t="s">
        <v>64</v>
      </c>
      <c r="D21" s="1047" t="s">
        <v>861</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641</v>
      </c>
      <c r="C22" s="1047" t="s">
        <v>64</v>
      </c>
      <c r="D22" s="1047" t="s">
        <v>861</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641</v>
      </c>
      <c r="C23" s="1047" t="s">
        <v>63</v>
      </c>
      <c r="D23" s="1047" t="s">
        <v>861</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641</v>
      </c>
      <c r="C24" s="1047" t="s">
        <v>63</v>
      </c>
      <c r="D24" s="1047" t="s">
        <v>861</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641</v>
      </c>
      <c r="C25" s="1047" t="s">
        <v>65</v>
      </c>
      <c r="D25" s="1047" t="s">
        <v>861</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641</v>
      </c>
      <c r="C26" s="1047" t="s">
        <v>65</v>
      </c>
      <c r="D26" s="1047" t="s">
        <v>861</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641</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641</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641</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641</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641</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641</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641</v>
      </c>
      <c r="C33" s="1047" t="s">
        <v>64</v>
      </c>
      <c r="D33" s="1047" t="s">
        <v>862</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641</v>
      </c>
      <c r="C34" s="1047" t="s">
        <v>63</v>
      </c>
      <c r="D34" s="1047" t="s">
        <v>862</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641</v>
      </c>
      <c r="C35" s="1047" t="s">
        <v>65</v>
      </c>
      <c r="D35" s="1047" t="s">
        <v>862</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641</v>
      </c>
      <c r="C36" s="1047" t="s">
        <v>64</v>
      </c>
      <c r="D36" s="1047" t="s">
        <v>863</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641</v>
      </c>
      <c r="C37" s="1047" t="s">
        <v>64</v>
      </c>
      <c r="D37" s="1047" t="s">
        <v>863</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641</v>
      </c>
      <c r="C38" s="1047" t="s">
        <v>63</v>
      </c>
      <c r="D38" s="1047" t="s">
        <v>863</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641</v>
      </c>
      <c r="C39" s="1047" t="s">
        <v>63</v>
      </c>
      <c r="D39" s="1047" t="s">
        <v>863</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641</v>
      </c>
      <c r="C40" s="1047" t="s">
        <v>65</v>
      </c>
      <c r="D40" s="1047" t="s">
        <v>863</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641</v>
      </c>
      <c r="C41" s="1047" t="s">
        <v>65</v>
      </c>
      <c r="D41" s="1047" t="s">
        <v>863</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642</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642</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642</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642</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642</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642</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657</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657</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657</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657</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657</v>
      </c>
      <c r="C52" s="1047" t="s">
        <v>64</v>
      </c>
      <c r="D52" s="1047" t="s">
        <v>861</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657</v>
      </c>
      <c r="C53" s="1047" t="s">
        <v>64</v>
      </c>
      <c r="D53" s="1047" t="s">
        <v>861</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657</v>
      </c>
      <c r="C54" s="1047" t="s">
        <v>63</v>
      </c>
      <c r="D54" s="1047" t="s">
        <v>861</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657</v>
      </c>
      <c r="C55" s="1047" t="s">
        <v>63</v>
      </c>
      <c r="D55" s="1047" t="s">
        <v>861</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639</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460.92899999999997</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460.92899999999997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0.20641879143269115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95.144407116278899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11594.309109193757</v>
      </c>
      <c r="C5" s="17">
        <f>IF(ISERROR('Eigen informatie GS &amp; warmtenet'!B57),0,'Eigen informatie GS &amp; warmtenet'!B57)</f>
        <v>0</v>
      </c>
      <c r="D5" s="30">
        <f>(SUM(HH_hh_gas_kWh,HH_rest_gas_kWh)/1000)*0.902</f>
        <v>39536.007071159591</v>
      </c>
      <c r="E5" s="17">
        <f>B32*B41</f>
        <v>573.72884183485064</v>
      </c>
      <c r="F5" s="17">
        <f>B36*B45</f>
        <v>14535.717101644615</v>
      </c>
      <c r="G5" s="18"/>
      <c r="H5" s="17"/>
      <c r="I5" s="17"/>
      <c r="J5" s="17">
        <f>B35*B44+C35*C44</f>
        <v>69.944239913531916</v>
      </c>
      <c r="K5" s="17"/>
      <c r="L5" s="17"/>
      <c r="M5" s="17"/>
      <c r="N5" s="17">
        <f>B34*B43+C34*C43</f>
        <v>4573.5788921250733</v>
      </c>
      <c r="O5" s="17">
        <f>B52*B53*B54</f>
        <v>109.43333333333334</v>
      </c>
      <c r="P5" s="17">
        <f>B60*B61*B62/1000-B60*B61*B62/1000/B63</f>
        <v>305.06666666666666</v>
      </c>
    </row>
    <row r="6" spans="1:16">
      <c r="A6" s="16" t="s">
        <v>607</v>
      </c>
      <c r="B6" s="754">
        <f>kWh_PV_kleiner_dan_10kW</f>
        <v>2364.24805518625</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13958.557164380007</v>
      </c>
      <c r="C8" s="21">
        <f>C5</f>
        <v>0</v>
      </c>
      <c r="D8" s="21">
        <f>D5</f>
        <v>39536.007071159591</v>
      </c>
      <c r="E8" s="21">
        <f>E5</f>
        <v>573.72884183485064</v>
      </c>
      <c r="F8" s="21">
        <f>F5</f>
        <v>14535.717101644615</v>
      </c>
      <c r="G8" s="21"/>
      <c r="H8" s="21"/>
      <c r="I8" s="21"/>
      <c r="J8" s="21">
        <f>J5</f>
        <v>69.944239913531916</v>
      </c>
      <c r="K8" s="21"/>
      <c r="L8" s="21">
        <f>L5</f>
        <v>0</v>
      </c>
      <c r="M8" s="21">
        <f>M5</f>
        <v>0</v>
      </c>
      <c r="N8" s="21">
        <f>N5</f>
        <v>4573.5788921250733</v>
      </c>
      <c r="O8" s="21">
        <f>O5</f>
        <v>109.43333333333334</v>
      </c>
      <c r="P8" s="21">
        <f>P5</f>
        <v>305.06666666666666</v>
      </c>
    </row>
    <row r="9" spans="1:16">
      <c r="B9" s="19"/>
      <c r="C9" s="19"/>
      <c r="D9" s="254"/>
      <c r="E9" s="19"/>
      <c r="F9" s="19"/>
      <c r="G9" s="19"/>
      <c r="H9" s="19"/>
      <c r="I9" s="19"/>
      <c r="J9" s="19"/>
      <c r="K9" s="19"/>
      <c r="L9" s="19"/>
      <c r="M9" s="19"/>
      <c r="N9" s="19"/>
      <c r="O9" s="19"/>
      <c r="P9" s="19"/>
    </row>
    <row r="10" spans="1:16">
      <c r="A10" s="24" t="s">
        <v>207</v>
      </c>
      <c r="B10" s="25">
        <f ca="1">'EF ele_warmte'!B12</f>
        <v>0.20641879143269115</v>
      </c>
      <c r="C10" s="25">
        <f ca="1">'EF ele_warmte'!B22</f>
        <v>0.21065196489515245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2881.3085000154533</v>
      </c>
      <c r="C12" s="23">
        <f ca="1">C10*C8</f>
        <v>0</v>
      </c>
      <c r="D12" s="23">
        <f>D8*D10</f>
        <v>7986.2734283742375</v>
      </c>
      <c r="E12" s="23">
        <f>E10*E8</f>
        <v>130.23644709651111</v>
      </c>
      <c r="F12" s="23">
        <f>F10*F8</f>
        <v>3881.0364661391127</v>
      </c>
      <c r="G12" s="23"/>
      <c r="H12" s="23"/>
      <c r="I12" s="23"/>
      <c r="J12" s="23">
        <f>J10*J8</f>
        <v>24.760260929390299</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888</v>
      </c>
      <c r="B17" s="199" t="s">
        <v>880</v>
      </c>
      <c r="C17" s="199" t="s">
        <v>881</v>
      </c>
      <c r="D17" s="224" t="s">
        <v>175</v>
      </c>
      <c r="E17" s="15"/>
    </row>
    <row r="18" spans="1:5">
      <c r="A18" s="241" t="s">
        <v>77</v>
      </c>
      <c r="B18" s="1057">
        <v>0.70648161141255106</v>
      </c>
      <c r="C18" s="1057"/>
      <c r="D18" s="293" t="s">
        <v>882</v>
      </c>
      <c r="E18" s="15"/>
    </row>
    <row r="19" spans="1:5">
      <c r="A19" s="241" t="s">
        <v>883</v>
      </c>
      <c r="B19" s="1057">
        <v>8.3261879938839913E-3</v>
      </c>
      <c r="C19" s="1057"/>
      <c r="D19" s="226"/>
      <c r="E19" s="15"/>
    </row>
    <row r="20" spans="1:5">
      <c r="A20" s="241" t="s">
        <v>884</v>
      </c>
      <c r="B20" s="1057"/>
      <c r="C20" s="1057"/>
      <c r="D20" s="226"/>
      <c r="E20" s="15"/>
    </row>
    <row r="21" spans="1:5">
      <c r="A21" s="241" t="s">
        <v>885</v>
      </c>
      <c r="B21" s="1057">
        <v>1.1000494299388335E-2</v>
      </c>
      <c r="C21" s="1057"/>
      <c r="D21" s="226"/>
      <c r="E21" s="15"/>
    </row>
    <row r="22" spans="1:5">
      <c r="A22" s="241" t="s">
        <v>886</v>
      </c>
      <c r="B22" s="1057">
        <v>0.22870951436149842</v>
      </c>
      <c r="C22" s="1057"/>
      <c r="D22" s="226"/>
      <c r="E22" s="15"/>
    </row>
    <row r="23" spans="1:5">
      <c r="A23" s="241" t="s">
        <v>78</v>
      </c>
      <c r="B23" s="1057"/>
      <c r="C23" s="1057"/>
      <c r="D23" s="225"/>
      <c r="E23" s="52"/>
    </row>
    <row r="24" spans="1:5">
      <c r="A24" s="241" t="s">
        <v>887</v>
      </c>
      <c r="B24" s="1057">
        <v>4.5482191932678238E-2</v>
      </c>
      <c r="C24" s="1057">
        <v>0.20469555213145466</v>
      </c>
      <c r="D24" s="225"/>
      <c r="E24" s="15"/>
    </row>
    <row r="25" spans="1:5" s="15" customFormat="1">
      <c r="A25" s="168"/>
      <c r="B25" s="29"/>
      <c r="C25" s="36"/>
      <c r="D25" s="225"/>
    </row>
    <row r="26" spans="1:5" s="15" customFormat="1">
      <c r="A26" s="227" t="s">
        <v>761</v>
      </c>
      <c r="B26" s="37">
        <f>aantalHuishoudens</f>
        <v>3213</v>
      </c>
      <c r="C26" s="36"/>
      <c r="D26" s="225"/>
    </row>
    <row r="27" spans="1:5" s="15" customFormat="1">
      <c r="A27" s="227" t="s">
        <v>762</v>
      </c>
      <c r="B27" s="37">
        <f>SUM(HH_hh_gas_aantal,HH_rest_gas_aantal)</f>
        <v>2327</v>
      </c>
      <c r="C27" s="36"/>
      <c r="D27" s="225"/>
    </row>
    <row r="28" spans="1:5" s="15" customFormat="1">
      <c r="A28" s="228"/>
      <c r="B28" s="29"/>
      <c r="C28" s="36"/>
      <c r="D28" s="229"/>
    </row>
    <row r="29" spans="1:5">
      <c r="A29" s="3"/>
      <c r="B29" s="43"/>
      <c r="C29" s="43"/>
      <c r="D29" s="171"/>
    </row>
    <row r="30" spans="1:5">
      <c r="A30" s="169" t="s">
        <v>465</v>
      </c>
      <c r="B30" s="166" t="s">
        <v>758</v>
      </c>
      <c r="C30" s="166" t="s">
        <v>759</v>
      </c>
      <c r="D30" s="171"/>
    </row>
    <row r="31" spans="1:5">
      <c r="A31" s="168" t="s">
        <v>889</v>
      </c>
      <c r="B31" s="33">
        <f>B27-0.05*B27</f>
        <v>2210.65</v>
      </c>
      <c r="C31" s="34" t="s">
        <v>104</v>
      </c>
      <c r="D31" s="171"/>
    </row>
    <row r="32" spans="1:5">
      <c r="A32" s="168" t="s">
        <v>72</v>
      </c>
      <c r="B32" s="33">
        <f>IF((B21*($B$26-($B$27-0.05*$B$27)-$B$60))&lt;0,0,B21*($B$26-($B$27-0.05*$B$27)-$B$60))</f>
        <v>10.850337552201683</v>
      </c>
      <c r="C32" s="34" t="s">
        <v>104</v>
      </c>
      <c r="D32" s="171"/>
    </row>
    <row r="33" spans="1:6">
      <c r="A33" s="168" t="s">
        <v>73</v>
      </c>
      <c r="B33" s="33">
        <f>IF((B22*($B$26-($B$27-0.05*$B$27)-$B$60))&lt;0,0,B22*($B$26-($B$27-0.05*$B$27)-$B$60))</f>
        <v>225.58762949046394</v>
      </c>
      <c r="C33" s="34" t="s">
        <v>104</v>
      </c>
      <c r="D33" s="171"/>
    </row>
    <row r="34" spans="1:6">
      <c r="A34" s="168" t="s">
        <v>74</v>
      </c>
      <c r="B34" s="33">
        <f>IF((B24*($B$26-($B$27-0.05*$B$27)-$B$60))&lt;0,0,B24*($B$26-($B$27-0.05*$B$27)-$B$60))</f>
        <v>44.861360012797178</v>
      </c>
      <c r="C34" s="33">
        <f>B26*C24</f>
        <v>657.68680899836386</v>
      </c>
      <c r="D34" s="230"/>
    </row>
    <row r="35" spans="1:6">
      <c r="A35" s="168" t="s">
        <v>76</v>
      </c>
      <c r="B35" s="33">
        <f>IF((B19*($B$26-($B$27-0.05*$B$27)-$B$60))&lt;0,0,B19*($B$26-($B$27-0.05*$B$27)-$B$60))</f>
        <v>8.2125355277674732</v>
      </c>
      <c r="C35" s="33">
        <f>B35/2</f>
        <v>4.1062677638837366</v>
      </c>
      <c r="D35" s="230"/>
    </row>
    <row r="36" spans="1:6">
      <c r="A36" s="168" t="s">
        <v>77</v>
      </c>
      <c r="B36" s="33">
        <f>IF((B18*($B$26-($B$27-0.05*$B$27)-$B$60))&lt;0,0,B18*($B$26-($B$27-0.05*$B$27)-$B$60))</f>
        <v>696.83813741676965</v>
      </c>
      <c r="C36" s="34" t="s">
        <v>104</v>
      </c>
      <c r="D36" s="171"/>
    </row>
    <row r="37" spans="1:6">
      <c r="A37" s="168" t="s">
        <v>78</v>
      </c>
      <c r="B37" s="33">
        <f>B60</f>
        <v>16</v>
      </c>
      <c r="C37" s="34" t="s">
        <v>104</v>
      </c>
      <c r="D37" s="171"/>
    </row>
    <row r="38" spans="1:6" s="1051" customFormat="1">
      <c r="A38" s="241"/>
      <c r="B38" s="29"/>
      <c r="C38" s="28"/>
      <c r="D38" s="229"/>
    </row>
    <row r="39" spans="1:6">
      <c r="A39" s="169" t="s">
        <v>468</v>
      </c>
      <c r="B39" s="165" t="s">
        <v>718</v>
      </c>
      <c r="C39" s="165" t="s">
        <v>719</v>
      </c>
      <c r="D39" s="293" t="s">
        <v>882</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890</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70</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16</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12627.623145</v>
      </c>
      <c r="C5" s="17">
        <f>IF(ISERROR('Eigen informatie GS &amp; warmtenet'!B58),0,'Eigen informatie GS &amp; warmtenet'!B58)</f>
        <v>0</v>
      </c>
      <c r="D5" s="30">
        <f>SUM(D6:D12)</f>
        <v>18861.902553259439</v>
      </c>
      <c r="E5" s="17">
        <f>SUM(E6:E12)</f>
        <v>148.38927783459309</v>
      </c>
      <c r="F5" s="17">
        <f>SUM(F6:F12)</f>
        <v>2420.2964014899731</v>
      </c>
      <c r="G5" s="18"/>
      <c r="H5" s="17"/>
      <c r="I5" s="17"/>
      <c r="J5" s="17">
        <f>SUM(J6:J12)</f>
        <v>7.4424270450577687E-2</v>
      </c>
      <c r="K5" s="17"/>
      <c r="L5" s="17"/>
      <c r="M5" s="17"/>
      <c r="N5" s="17">
        <f>SUM(N6:N12)</f>
        <v>2937.7525440228465</v>
      </c>
      <c r="O5" s="17">
        <f>B38*B39*B40</f>
        <v>4.6900000000000004</v>
      </c>
      <c r="P5" s="17">
        <f>B46*B47*B48/1000-B46*B47*B48/1000/B49</f>
        <v>0</v>
      </c>
      <c r="R5" s="32"/>
    </row>
    <row r="6" spans="1:18">
      <c r="A6" s="32" t="s">
        <v>53</v>
      </c>
      <c r="B6" s="37">
        <f>B26</f>
        <v>3698.4033339999996</v>
      </c>
      <c r="C6" s="33"/>
      <c r="D6" s="37">
        <f>IF(ISERROR(TER_kantoor_gas_kWh/1000),0,TER_kantoor_gas_kWh/1000)*0.902</f>
        <v>10677.039599499636</v>
      </c>
      <c r="E6" s="33">
        <f>$C$26*'E Balans VL '!I12/100/3.6*1000000</f>
        <v>2.3180362027833887E-2</v>
      </c>
      <c r="F6" s="33">
        <f>$C$26*('E Balans VL '!L12+'E Balans VL '!N12)/100/3.6*1000000</f>
        <v>555.76667785481391</v>
      </c>
      <c r="G6" s="34"/>
      <c r="H6" s="33"/>
      <c r="I6" s="33"/>
      <c r="J6" s="33">
        <f>$C$26*('E Balans VL '!D12+'E Balans VL '!E12)/100/3.6*1000000</f>
        <v>0</v>
      </c>
      <c r="K6" s="33"/>
      <c r="L6" s="33"/>
      <c r="M6" s="33"/>
      <c r="N6" s="33">
        <f>$C$26*'E Balans VL '!Y12/100/3.6*1000000</f>
        <v>3.5369744404986889</v>
      </c>
      <c r="O6" s="33"/>
      <c r="P6" s="33"/>
      <c r="R6" s="32"/>
    </row>
    <row r="7" spans="1:18">
      <c r="A7" s="32" t="s">
        <v>52</v>
      </c>
      <c r="B7" s="37">
        <f t="shared" ref="B7:B12" si="0">B27</f>
        <v>627.42100000000005</v>
      </c>
      <c r="C7" s="33"/>
      <c r="D7" s="37">
        <f>IF(ISERROR(TER_horeca_gas_kWh/1000),0,TER_horeca_gas_kWh/1000)*0.902</f>
        <v>472.35960944795391</v>
      </c>
      <c r="E7" s="33">
        <f>$C$27*'E Balans VL '!I9/100/3.6*1000000</f>
        <v>8.984564211611854</v>
      </c>
      <c r="F7" s="33">
        <f>$C$27*('E Balans VL '!L9+'E Balans VL '!N9)/100/3.6*1000000</f>
        <v>79.452191741801187</v>
      </c>
      <c r="G7" s="34"/>
      <c r="H7" s="33"/>
      <c r="I7" s="33"/>
      <c r="J7" s="33">
        <f>$C$27*('E Balans VL '!D9+'E Balans VL '!E9)/100/3.6*1000000</f>
        <v>0</v>
      </c>
      <c r="K7" s="33"/>
      <c r="L7" s="33"/>
      <c r="M7" s="33"/>
      <c r="N7" s="33">
        <f>$C$27*'E Balans VL '!Y9/100/3.6*1000000</f>
        <v>0.18036970405440836</v>
      </c>
      <c r="O7" s="33"/>
      <c r="P7" s="33"/>
      <c r="R7" s="32"/>
    </row>
    <row r="8" spans="1:18">
      <c r="A8" s="6" t="s">
        <v>51</v>
      </c>
      <c r="B8" s="37">
        <f t="shared" si="0"/>
        <v>3707.1374300000002</v>
      </c>
      <c r="C8" s="33"/>
      <c r="D8" s="37">
        <f>IF(ISERROR(TER_handel_gas_kWh/1000),0,TER_handel_gas_kWh/1000)*0.902</f>
        <v>1158.2929088442645</v>
      </c>
      <c r="E8" s="33">
        <f>$C$28*'E Balans VL '!I13/100/3.6*1000000</f>
        <v>134.45741744239291</v>
      </c>
      <c r="F8" s="33">
        <f>$C$28*('E Balans VL '!L13+'E Balans VL '!N13)/100/3.6*1000000</f>
        <v>714.0322061710167</v>
      </c>
      <c r="G8" s="34"/>
      <c r="H8" s="33"/>
      <c r="I8" s="33"/>
      <c r="J8" s="33">
        <f>$C$28*('E Balans VL '!D13+'E Balans VL '!E13)/100/3.6*1000000</f>
        <v>0</v>
      </c>
      <c r="K8" s="33"/>
      <c r="L8" s="33"/>
      <c r="M8" s="33"/>
      <c r="N8" s="33">
        <f>$C$28*'E Balans VL '!Y13/100/3.6*1000000</f>
        <v>5.1352383148311311</v>
      </c>
      <c r="O8" s="33"/>
      <c r="P8" s="33"/>
      <c r="R8" s="32"/>
    </row>
    <row r="9" spans="1:18">
      <c r="A9" s="32" t="s">
        <v>50</v>
      </c>
      <c r="B9" s="37">
        <f t="shared" si="0"/>
        <v>1110.415</v>
      </c>
      <c r="C9" s="33"/>
      <c r="D9" s="37">
        <f>IF(ISERROR(TER_gezond_gas_kWh/1000),0,TER_gezond_gas_kWh/1000)*0.902</f>
        <v>3948.0938689584559</v>
      </c>
      <c r="E9" s="33">
        <f>$C$29*'E Balans VL '!I10/100/3.6*1000000</f>
        <v>6.9522942367478135E-2</v>
      </c>
      <c r="F9" s="33">
        <f>$C$29*('E Balans VL '!L10+'E Balans VL '!N10)/100/3.6*1000000</f>
        <v>164.95552914169588</v>
      </c>
      <c r="G9" s="34"/>
      <c r="H9" s="33"/>
      <c r="I9" s="33"/>
      <c r="J9" s="33">
        <f>$C$29*('E Balans VL '!D10+'E Balans VL '!E10)/100/3.6*1000000</f>
        <v>0</v>
      </c>
      <c r="K9" s="33"/>
      <c r="L9" s="33"/>
      <c r="M9" s="33"/>
      <c r="N9" s="33">
        <f>$C$29*'E Balans VL '!Y10/100/3.6*1000000</f>
        <v>17.176006365888647</v>
      </c>
      <c r="O9" s="33"/>
      <c r="P9" s="33"/>
      <c r="R9" s="32"/>
    </row>
    <row r="10" spans="1:18">
      <c r="A10" s="32" t="s">
        <v>49</v>
      </c>
      <c r="B10" s="37">
        <f t="shared" si="0"/>
        <v>3421.7579999999998</v>
      </c>
      <c r="C10" s="33"/>
      <c r="D10" s="37">
        <f>IF(ISERROR(TER_ander_gas_kWh/1000),0,TER_ander_gas_kWh/1000)*0.902</f>
        <v>164.49582941551003</v>
      </c>
      <c r="E10" s="33">
        <f>$C$30*'E Balans VL '!I14/100/3.6*1000000</f>
        <v>4.078613263029581</v>
      </c>
      <c r="F10" s="33">
        <f>$C$30*('E Balans VL '!L14+'E Balans VL '!N14)/100/3.6*1000000</f>
        <v>895.28401221274316</v>
      </c>
      <c r="G10" s="34"/>
      <c r="H10" s="33"/>
      <c r="I10" s="33"/>
      <c r="J10" s="33">
        <f>$C$30*('E Balans VL '!D14+'E Balans VL '!E14)/100/3.6*1000000</f>
        <v>7.4272953258997021E-2</v>
      </c>
      <c r="K10" s="33"/>
      <c r="L10" s="33"/>
      <c r="M10" s="33"/>
      <c r="N10" s="33">
        <f>$C$30*'E Balans VL '!Y14/100/3.6*1000000</f>
        <v>2905.6731643603125</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248</v>
      </c>
      <c r="B12" s="37">
        <f t="shared" si="0"/>
        <v>62.488381000000004</v>
      </c>
      <c r="C12" s="33"/>
      <c r="D12" s="37">
        <f>IF(ISERROR(TER_rest_gas_kWh/1000),0,TER_rest_gas_kWh/1000)*0.902</f>
        <v>2441.6207370936186</v>
      </c>
      <c r="E12" s="33">
        <f>$C$32*'E Balans VL '!I8/100/3.6*1000000</f>
        <v>0.77597961316341835</v>
      </c>
      <c r="F12" s="33">
        <f>$C$32*('E Balans VL '!L8+'E Balans VL '!N8)/100/3.6*1000000</f>
        <v>10.805784367902264</v>
      </c>
      <c r="G12" s="34"/>
      <c r="H12" s="33"/>
      <c r="I12" s="33"/>
      <c r="J12" s="33">
        <f>$C$32*('E Balans VL '!D8+'E Balans VL '!E8)/100/3.6*1000000</f>
        <v>1.5131719158066023E-4</v>
      </c>
      <c r="K12" s="33"/>
      <c r="L12" s="33"/>
      <c r="M12" s="33"/>
      <c r="N12" s="33">
        <f>$C$32*'E Balans VL '!Y8/100/3.6*1000000</f>
        <v>6.0507908372612196</v>
      </c>
      <c r="O12" s="33"/>
      <c r="P12" s="33"/>
      <c r="R12" s="32"/>
    </row>
    <row r="13" spans="1:18">
      <c r="A13" s="16" t="s">
        <v>474</v>
      </c>
      <c r="B13" s="243">
        <f ca="1">'lokale energieproductie'!N50+'lokale energieproductie'!N43</f>
        <v>1647</v>
      </c>
      <c r="C13" s="243">
        <f ca="1">'lokale energieproductie'!O50+'lokale energieproductie'!O43</f>
        <v>0</v>
      </c>
      <c r="D13" s="302">
        <f ca="1">('lokale energieproductie'!P43+'lokale energieproductie'!P50)*(-1)</f>
        <v>0</v>
      </c>
      <c r="E13" s="244"/>
      <c r="F13" s="302">
        <f ca="1">('lokale energieproductie'!S43+'lokale energieproductie'!S50)*(-1)</f>
        <v>0</v>
      </c>
      <c r="G13" s="245"/>
      <c r="H13" s="244"/>
      <c r="I13" s="244"/>
      <c r="J13" s="244"/>
      <c r="K13" s="244"/>
      <c r="L13" s="302">
        <f ca="1">('lokale energieproductie'!U43+'lokale energieproductie'!T43+'lokale energieproductie'!U50+'lokale energieproductie'!T50)*(-1)</f>
        <v>0</v>
      </c>
      <c r="M13" s="244"/>
      <c r="N13" s="302">
        <f ca="1">('lokale energieproductie'!Q43+'lokale energieproductie'!R43+'lokale energieproductie'!V43+'lokale energieproductie'!Q50+'lokale energieproductie'!R50+'lokale energieproductie'!V50)*(-1)</f>
        <v>-4705.7142857142862</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14274.623145</v>
      </c>
      <c r="C16" s="21">
        <f t="shared" ca="1" si="1"/>
        <v>0</v>
      </c>
      <c r="D16" s="21">
        <f t="shared" ca="1" si="1"/>
        <v>18861.902553259439</v>
      </c>
      <c r="E16" s="21">
        <f t="shared" si="1"/>
        <v>148.38927783459309</v>
      </c>
      <c r="F16" s="21">
        <f t="shared" ca="1" si="1"/>
        <v>2420.2964014899731</v>
      </c>
      <c r="G16" s="21">
        <f t="shared" si="1"/>
        <v>0</v>
      </c>
      <c r="H16" s="21">
        <f t="shared" si="1"/>
        <v>0</v>
      </c>
      <c r="I16" s="21">
        <f t="shared" si="1"/>
        <v>0</v>
      </c>
      <c r="J16" s="21">
        <f t="shared" si="1"/>
        <v>7.4424270450577687E-2</v>
      </c>
      <c r="K16" s="21">
        <f t="shared" si="1"/>
        <v>0</v>
      </c>
      <c r="L16" s="21">
        <f t="shared" ca="1" si="1"/>
        <v>0</v>
      </c>
      <c r="M16" s="21">
        <f t="shared" si="1"/>
        <v>0</v>
      </c>
      <c r="N16" s="21">
        <f t="shared" ca="1" si="1"/>
        <v>0</v>
      </c>
      <c r="O16" s="21">
        <f>O5</f>
        <v>4.6900000000000004</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0.20641879143269115</v>
      </c>
      <c r="C18" s="25">
        <f ca="1">'EF ele_warmte'!B22</f>
        <v>0.21065196489515245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2946.5504577480206</v>
      </c>
      <c r="C20" s="23">
        <f t="shared" ref="C20:P20" ca="1" si="2">C16*C18</f>
        <v>0</v>
      </c>
      <c r="D20" s="23">
        <f t="shared" ca="1" si="2"/>
        <v>3810.1043157584068</v>
      </c>
      <c r="E20" s="23">
        <f t="shared" si="2"/>
        <v>33.684366068452633</v>
      </c>
      <c r="F20" s="23">
        <f t="shared" ca="1" si="2"/>
        <v>646.21913919782287</v>
      </c>
      <c r="G20" s="23">
        <f t="shared" si="2"/>
        <v>0</v>
      </c>
      <c r="H20" s="23">
        <f t="shared" si="2"/>
        <v>0</v>
      </c>
      <c r="I20" s="23">
        <f t="shared" si="2"/>
        <v>0</v>
      </c>
      <c r="J20" s="23">
        <f t="shared" si="2"/>
        <v>2.6346191739504501E-2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3698.4033339999996</v>
      </c>
      <c r="C26" s="39">
        <f>IF(ISERROR(B26*3.6/1000000/'E Balans VL '!Z12*100),0,B26*3.6/1000000/'E Balans VL '!Z12*100)</f>
        <v>7.8178387736638474E-2</v>
      </c>
      <c r="D26" s="233" t="s">
        <v>726</v>
      </c>
      <c r="F26" s="6"/>
    </row>
    <row r="27" spans="1:18">
      <c r="A27" s="228" t="s">
        <v>52</v>
      </c>
      <c r="B27" s="33">
        <f>IF(ISERROR(TER_horeca_ele_kWh/1000),0,TER_horeca_ele_kWh/1000)</f>
        <v>627.42100000000005</v>
      </c>
      <c r="C27" s="39">
        <f>IF(ISERROR(B27*3.6/1000000/'E Balans VL '!Z9*100),0,B27*3.6/1000000/'E Balans VL '!Z9*100)</f>
        <v>4.9459363578254749E-2</v>
      </c>
      <c r="D27" s="233" t="s">
        <v>726</v>
      </c>
      <c r="F27" s="6"/>
    </row>
    <row r="28" spans="1:18">
      <c r="A28" s="168" t="s">
        <v>51</v>
      </c>
      <c r="B28" s="33">
        <f>IF(ISERROR(TER_handel_ele_kWh/1000),0,TER_handel_ele_kWh/1000)</f>
        <v>3707.1374300000002</v>
      </c>
      <c r="C28" s="39">
        <f>IF(ISERROR(B28*3.6/1000000/'E Balans VL '!Z13*100),0,B28*3.6/1000000/'E Balans VL '!Z13*100)</f>
        <v>0.10759610673225112</v>
      </c>
      <c r="D28" s="233" t="s">
        <v>726</v>
      </c>
      <c r="F28" s="6"/>
    </row>
    <row r="29" spans="1:18">
      <c r="A29" s="228" t="s">
        <v>50</v>
      </c>
      <c r="B29" s="33">
        <f>IF(ISERROR(TER_gezond_ele_kWh/1000),0,TER_gezond_ele_kWh/1000)</f>
        <v>1110.415</v>
      </c>
      <c r="C29" s="39">
        <f>IF(ISERROR(B29*3.6/1000000/'E Balans VL '!Z10*100),0,B29*3.6/1000000/'E Balans VL '!Z10*100)</f>
        <v>0.11694493299559379</v>
      </c>
      <c r="D29" s="233" t="s">
        <v>726</v>
      </c>
      <c r="F29" s="6"/>
    </row>
    <row r="30" spans="1:18">
      <c r="A30" s="228" t="s">
        <v>49</v>
      </c>
      <c r="B30" s="33">
        <f>IF(ISERROR(TER_ander_ele_kWh/1000),0,TER_ander_ele_kWh/1000)</f>
        <v>3421.7579999999998</v>
      </c>
      <c r="C30" s="39">
        <f>IF(ISERROR(B30*3.6/1000000/'E Balans VL '!Z14*100),0,B30*3.6/1000000/'E Balans VL '!Z14*100)</f>
        <v>0.2523896132821406</v>
      </c>
      <c r="D30" s="233" t="s">
        <v>726</v>
      </c>
      <c r="F30" s="6"/>
    </row>
    <row r="31" spans="1:18">
      <c r="A31" s="228" t="s">
        <v>54</v>
      </c>
      <c r="B31" s="33">
        <f>IF(ISERROR(TER_onderwijs_ele_kWh/1000),0,TER_onderwijs_ele_kWh/1000)</f>
        <v>0</v>
      </c>
      <c r="C31" s="39">
        <f>IF(ISERROR(B31*3.6/1000000/'E Balans VL '!Z11*100),0,B31*3.6/1000000/'E Balans VL '!Z11*100)</f>
        <v>0</v>
      </c>
      <c r="D31" s="233" t="s">
        <v>726</v>
      </c>
    </row>
    <row r="32" spans="1:18">
      <c r="A32" s="228" t="s">
        <v>248</v>
      </c>
      <c r="B32" s="33">
        <f>IF(ISERROR(TER_rest_ele_kWh/1000),0,TER_rest_ele_kWh/1000)</f>
        <v>62.488381000000004</v>
      </c>
      <c r="C32" s="39">
        <f>IF(ISERROR(B32*3.6/1000000/'E Balans VL '!Z8*100),0,B32*3.6/1000000/'E Balans VL '!Z8*100)</f>
        <v>5.1419643073578989E-4</v>
      </c>
      <c r="D32" s="233" t="s">
        <v>726</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3</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0</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2974.5663329999998</v>
      </c>
      <c r="C5" s="17">
        <f>IF(ISERROR('Eigen informatie GS &amp; warmtenet'!B59),0,'Eigen informatie GS &amp; warmtenet'!B59)</f>
        <v>0</v>
      </c>
      <c r="D5" s="30">
        <f>SUM(D6:D15)</f>
        <v>2027.6597137066731</v>
      </c>
      <c r="E5" s="17">
        <f>SUM(E6:E15)</f>
        <v>264.2404392701701</v>
      </c>
      <c r="F5" s="17">
        <f>SUM(F6:F15)</f>
        <v>854.41044922847891</v>
      </c>
      <c r="G5" s="18"/>
      <c r="H5" s="17"/>
      <c r="I5" s="17"/>
      <c r="J5" s="17">
        <f>SUM(J6:J15)</f>
        <v>0.10244115586781148</v>
      </c>
      <c r="K5" s="17"/>
      <c r="L5" s="17"/>
      <c r="M5" s="17"/>
      <c r="N5" s="17">
        <f>SUM(N6:N15)</f>
        <v>179.36531195878806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623.47500000000002</v>
      </c>
      <c r="C8" s="33"/>
      <c r="D8" s="37">
        <f>IF( ISERROR(IND_metaal_Gas_kWH/1000),0,IND_metaal_Gas_kWH/1000)*0.902</f>
        <v>103.89059676631663</v>
      </c>
      <c r="E8" s="33">
        <f>C30*'E Balans VL '!I18/100/3.6*1000000</f>
        <v>5.7322504671184626</v>
      </c>
      <c r="F8" s="33">
        <f>C30*'E Balans VL '!L18/100/3.6*1000000+C30*'E Balans VL '!N18/100/3.6*1000000</f>
        <v>58.461197416072203</v>
      </c>
      <c r="G8" s="34"/>
      <c r="H8" s="33"/>
      <c r="I8" s="33"/>
      <c r="J8" s="40">
        <f>C30*'E Balans VL '!D18/100/3.6*1000000+C30*'E Balans VL '!E18/100/3.6*1000000</f>
        <v>0</v>
      </c>
      <c r="K8" s="33"/>
      <c r="L8" s="33"/>
      <c r="M8" s="33"/>
      <c r="N8" s="33">
        <f>C30*'E Balans VL '!Y18/100/3.6*1000000</f>
        <v>8.8949012108260241</v>
      </c>
      <c r="O8" s="33"/>
      <c r="P8" s="33"/>
      <c r="R8" s="32"/>
    </row>
    <row r="9" spans="1:18">
      <c r="A9" s="6" t="s">
        <v>32</v>
      </c>
      <c r="B9" s="37">
        <f t="shared" si="0"/>
        <v>868.40633300000002</v>
      </c>
      <c r="C9" s="33"/>
      <c r="D9" s="37">
        <f>IF( ISERROR(IND_andere_gas_kWh/1000),0,IND_andere_gas_kWh/1000)*0.902</f>
        <v>655.75885988496566</v>
      </c>
      <c r="E9" s="33">
        <f>C31*'E Balans VL '!I19/100/3.6*1000000</f>
        <v>253.85207701316679</v>
      </c>
      <c r="F9" s="33">
        <f>C31*'E Balans VL '!L19/100/3.6*1000000+C31*'E Balans VL '!N19/100/3.6*1000000</f>
        <v>697.83022088503321</v>
      </c>
      <c r="G9" s="34"/>
      <c r="H9" s="33"/>
      <c r="I9" s="33"/>
      <c r="J9" s="40">
        <f>C31*'E Balans VL '!D19/100/3.6*1000000+C31*'E Balans VL '!E19/100/3.6*1000000</f>
        <v>0</v>
      </c>
      <c r="K9" s="33"/>
      <c r="L9" s="33"/>
      <c r="M9" s="33"/>
      <c r="N9" s="33">
        <f>C31*'E Balans VL '!Y19/100/3.6*1000000</f>
        <v>68.11661331807187</v>
      </c>
      <c r="O9" s="33"/>
      <c r="P9" s="33"/>
      <c r="R9" s="32"/>
    </row>
    <row r="10" spans="1:18">
      <c r="A10" s="6" t="s">
        <v>40</v>
      </c>
      <c r="B10" s="37">
        <f t="shared" si="0"/>
        <v>1454.07</v>
      </c>
      <c r="C10" s="33"/>
      <c r="D10" s="37">
        <f>IF( ISERROR(IND_voed_gas_kWh/1000),0,IND_voed_gas_kWh/1000)*0.902</f>
        <v>581.93466491319498</v>
      </c>
      <c r="E10" s="33">
        <f>C32*'E Balans VL '!I20/100/3.6*1000000</f>
        <v>3.0761076306223778</v>
      </c>
      <c r="F10" s="33">
        <f>C32*'E Balans VL '!L20/100/3.6*1000000+C32*'E Balans VL '!N20/100/3.6*1000000</f>
        <v>92.451255888949561</v>
      </c>
      <c r="G10" s="34"/>
      <c r="H10" s="33"/>
      <c r="I10" s="33"/>
      <c r="J10" s="40">
        <f>C32*'E Balans VL '!D20/100/3.6*1000000+C32*'E Balans VL '!E20/100/3.6*1000000</f>
        <v>0</v>
      </c>
      <c r="K10" s="33"/>
      <c r="L10" s="33"/>
      <c r="M10" s="33"/>
      <c r="N10" s="33">
        <f>C32*'E Balans VL '!Y20/100/3.6*1000000</f>
        <v>100.3451791133746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28.614999999999998</v>
      </c>
      <c r="C15" s="33"/>
      <c r="D15" s="37">
        <f>IF( ISERROR(IND_rest_gas_kWh/1000),0,IND_rest_gas_kWh/1000)*0.902</f>
        <v>686.07559214219577</v>
      </c>
      <c r="E15" s="33">
        <f>C37*'E Balans VL '!I15/100/3.6*1000000</f>
        <v>1.5800041592624539</v>
      </c>
      <c r="F15" s="33">
        <f>C37*'E Balans VL '!L15/100/3.6*1000000+C37*'E Balans VL '!N15/100/3.6*1000000</f>
        <v>5.6677750384240468</v>
      </c>
      <c r="G15" s="34"/>
      <c r="H15" s="33"/>
      <c r="I15" s="33"/>
      <c r="J15" s="40">
        <f>C37*'E Balans VL '!D15/100/3.6*1000000+C37*'E Balans VL '!E15/100/3.6*1000000</f>
        <v>0.10244115586781148</v>
      </c>
      <c r="K15" s="33"/>
      <c r="L15" s="33"/>
      <c r="M15" s="33"/>
      <c r="N15" s="33">
        <f>C37*'E Balans VL '!Y15/100/3.6*1000000</f>
        <v>2.0086183165155669</v>
      </c>
      <c r="O15" s="33"/>
      <c r="P15" s="33"/>
      <c r="R15" s="32"/>
    </row>
    <row r="16" spans="1:18">
      <c r="A16" s="16" t="s">
        <v>474</v>
      </c>
      <c r="B16" s="243">
        <f>'lokale energieproductie'!N49+'lokale energieproductie'!N42</f>
        <v>0</v>
      </c>
      <c r="C16" s="243">
        <f>'lokale energieproductie'!O49+'lokale energieproductie'!O42</f>
        <v>0</v>
      </c>
      <c r="D16" s="302">
        <f>('lokale energieproductie'!P42+'lokale energieproductie'!P49)*(-1)</f>
        <v>0</v>
      </c>
      <c r="E16" s="244"/>
      <c r="F16" s="302">
        <f>('lokale energieproductie'!S42+'lokale energieproductie'!S49)*(-1)</f>
        <v>0</v>
      </c>
      <c r="G16" s="245"/>
      <c r="H16" s="244"/>
      <c r="I16" s="244"/>
      <c r="J16" s="244"/>
      <c r="K16" s="244"/>
      <c r="L16" s="302">
        <f>('lokale energieproductie'!T42+'lokale energieproductie'!U42+'lokale energieproductie'!T49+'lokale energieproductie'!U49)*(-1)</f>
        <v>0</v>
      </c>
      <c r="M16" s="244"/>
      <c r="N16" s="302">
        <f>('lokale energieproductie'!Q42+'lokale energieproductie'!R42+'lokale energieproductie'!V42+'lokale energieproductie'!Q49+'lokale energieproductie'!R49+'lokale energieproductie'!V49)*(-1)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2974.5663329999998</v>
      </c>
      <c r="C18" s="21">
        <f>C5+C16</f>
        <v>0</v>
      </c>
      <c r="D18" s="21">
        <f>MAX((D5+D16),0)</f>
        <v>2027.6597137066731</v>
      </c>
      <c r="E18" s="21">
        <f>MAX((E5+E16),0)</f>
        <v>264.2404392701701</v>
      </c>
      <c r="F18" s="21">
        <f>MAX((F5+F16),0)</f>
        <v>854.41044922847891</v>
      </c>
      <c r="G18" s="21"/>
      <c r="H18" s="21"/>
      <c r="I18" s="21"/>
      <c r="J18" s="21">
        <f>MAX((J5+J16),0)</f>
        <v>0.10244115586781148</v>
      </c>
      <c r="K18" s="21"/>
      <c r="L18" s="21">
        <f>MAX((L5+L16),0)</f>
        <v>0</v>
      </c>
      <c r="M18" s="21"/>
      <c r="N18" s="21">
        <f>MAX((N5+N16),0)</f>
        <v>179.36531195878806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0.20641879143269115</v>
      </c>
      <c r="C20" s="25">
        <f ca="1">'EF ele_warmte'!B22</f>
        <v>0.21065196489515245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614.00638749423183</v>
      </c>
      <c r="C22" s="23">
        <f ca="1">C18*C20</f>
        <v>0</v>
      </c>
      <c r="D22" s="23">
        <f>D18*D20</f>
        <v>409.587262168748</v>
      </c>
      <c r="E22" s="23">
        <f>E18*E20</f>
        <v>59.982579714328615</v>
      </c>
      <c r="F22" s="23">
        <f>F18*F20</f>
        <v>228.12758994400389</v>
      </c>
      <c r="G22" s="23"/>
      <c r="H22" s="23"/>
      <c r="I22" s="23"/>
      <c r="J22" s="23">
        <f>J18*J20</f>
        <v>3.6264169177205263E-2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726</v>
      </c>
    </row>
    <row r="29" spans="1:18">
      <c r="A29" s="168" t="s">
        <v>37</v>
      </c>
      <c r="B29" s="37">
        <f>IF( ISERROR(IND_nonf_ele_kWh/1000),0,IND_nonf_ele_kWh/1000)</f>
        <v>0</v>
      </c>
      <c r="C29" s="39">
        <f>IF(ISERROR(B29*3.6/1000000/'E Balans VL '!Z17*100),0,B29*3.6/1000000/'E Balans VL '!Z17*100)</f>
        <v>0</v>
      </c>
      <c r="D29" s="233" t="s">
        <v>726</v>
      </c>
    </row>
    <row r="30" spans="1:18">
      <c r="A30" s="168" t="s">
        <v>35</v>
      </c>
      <c r="B30" s="37">
        <f>IF( ISERROR(IND_metaal_ele_kWh/1000),0,IND_metaal_ele_kWh/1000)</f>
        <v>623.47500000000002</v>
      </c>
      <c r="C30" s="39">
        <f>IF(ISERROR(B30*3.6/1000000/'E Balans VL '!Z18*100),0,B30*3.6/1000000/'E Balans VL '!Z18*100)</f>
        <v>3.5333926944462364E-2</v>
      </c>
      <c r="D30" s="233" t="s">
        <v>726</v>
      </c>
    </row>
    <row r="31" spans="1:18">
      <c r="A31" s="6" t="s">
        <v>32</v>
      </c>
      <c r="B31" s="37">
        <f>IF( ISERROR(IND_ander_ele_kWh/1000),0,IND_ander_ele_kWh/1000)</f>
        <v>868.40633300000002</v>
      </c>
      <c r="C31" s="39">
        <f>IF(ISERROR(B31*3.6/1000000/'E Balans VL '!Z19*100),0,B31*3.6/1000000/'E Balans VL '!Z19*100)</f>
        <v>3.938729528384443E-2</v>
      </c>
      <c r="D31" s="233" t="s">
        <v>726</v>
      </c>
    </row>
    <row r="32" spans="1:18">
      <c r="A32" s="168" t="s">
        <v>40</v>
      </c>
      <c r="B32" s="37">
        <f>IF( ISERROR(IND_voed_ele_kWh/1000),0,IND_voed_ele_kWh/1000)</f>
        <v>1454.07</v>
      </c>
      <c r="C32" s="39">
        <f>IF(ISERROR(B32*3.6/1000000/'E Balans VL '!Z20*100),0,B32*3.6/1000000/'E Balans VL '!Z20*100)</f>
        <v>4.4980986020448026E-2</v>
      </c>
      <c r="D32" s="233" t="s">
        <v>726</v>
      </c>
    </row>
    <row r="33" spans="1:5">
      <c r="A33" s="168" t="s">
        <v>39</v>
      </c>
      <c r="B33" s="37">
        <f>IF( ISERROR(IND_textiel_ele_kWh/1000),0,IND_textiel_ele_kWh/1000)</f>
        <v>0</v>
      </c>
      <c r="C33" s="39">
        <f>IF(ISERROR(B33*3.6/1000000/'E Balans VL '!Z21*100),0,B33*3.6/1000000/'E Balans VL '!Z21*100)</f>
        <v>0</v>
      </c>
      <c r="D33" s="233" t="s">
        <v>726</v>
      </c>
    </row>
    <row r="34" spans="1:5">
      <c r="A34" s="168" t="s">
        <v>36</v>
      </c>
      <c r="B34" s="37">
        <f>IF( ISERROR(IND_min_ele_kWh/1000),0,IND_min_ele_kWh/1000)</f>
        <v>0</v>
      </c>
      <c r="C34" s="39">
        <f>IF(ISERROR(B34*3.6/1000000/'E Balans VL '!Z22*100),0,B34*3.6/1000000/'E Balans VL '!Z22*100)</f>
        <v>0</v>
      </c>
      <c r="D34" s="233" t="s">
        <v>726</v>
      </c>
    </row>
    <row r="35" spans="1:5">
      <c r="A35" s="168" t="s">
        <v>38</v>
      </c>
      <c r="B35" s="37">
        <f>IF( ISERROR(IND_papier_ele_kWh/1000),0,IND_papier_ele_kWh/1000)</f>
        <v>0</v>
      </c>
      <c r="C35" s="39">
        <f>IF(ISERROR(B35*3.6/1000000/'E Balans VL '!Z22*100),0,B35*3.6/1000000/'E Balans VL '!Z22*100)</f>
        <v>0</v>
      </c>
      <c r="D35" s="233" t="s">
        <v>726</v>
      </c>
    </row>
    <row r="36" spans="1:5">
      <c r="A36" s="168" t="s">
        <v>33</v>
      </c>
      <c r="B36" s="37">
        <f>IF( ISERROR(IND_chemie_ele_kWh/1000),0,IND_chemie_ele_kWh/1000)</f>
        <v>0</v>
      </c>
      <c r="C36" s="39">
        <f>IF(ISERROR(B36*3.6/1000000/'E Balans VL '!Z24*100),0,B36*3.6/1000000/'E Balans VL '!Z24*100)</f>
        <v>0</v>
      </c>
      <c r="D36" s="233" t="s">
        <v>726</v>
      </c>
    </row>
    <row r="37" spans="1:5">
      <c r="A37" s="168" t="s">
        <v>258</v>
      </c>
      <c r="B37" s="37">
        <f>IF( ISERROR(IND_rest_ele_kWh/1000),0,IND_rest_ele_kWh/1000)</f>
        <v>28.614999999999998</v>
      </c>
      <c r="C37" s="39">
        <f>IF(ISERROR(B37*3.6/1000000/'E Balans VL '!Z15*100),0,B37*3.6/1000000/'E Balans VL '!Z15*100)</f>
        <v>2.2680901756222681E-4</v>
      </c>
      <c r="D37" s="233" t="s">
        <v>726</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12429.408756999999</v>
      </c>
      <c r="C5" s="17">
        <f>'Eigen informatie GS &amp; warmtenet'!B60</f>
        <v>0</v>
      </c>
      <c r="D5" s="30">
        <f>IF(ISERROR(SUM(LB_lb_gas_kWh,LB_rest_gas_kWh)/1000),0,SUM(LB_lb_gas_kWh,LB_rest_gas_kWh)/1000)*0.902</f>
        <v>549698.07739138161</v>
      </c>
      <c r="E5" s="17">
        <f>B17*'E Balans VL '!I25/3.6*1000000/100</f>
        <v>365.33828716441218</v>
      </c>
      <c r="F5" s="17">
        <f>B17*('E Balans VL '!L25/3.6*1000000+'E Balans VL '!N25/3.6*1000000)/100</f>
        <v>51780.245231666115</v>
      </c>
      <c r="G5" s="18"/>
      <c r="H5" s="17"/>
      <c r="I5" s="17"/>
      <c r="J5" s="17">
        <f>('E Balans VL '!D25+'E Balans VL '!E25)/3.6*1000000*landbouw!B17/100</f>
        <v>1800.7544042807876</v>
      </c>
      <c r="K5" s="17"/>
      <c r="L5" s="17">
        <f>L6*(-1)</f>
        <v>0</v>
      </c>
      <c r="M5" s="17"/>
      <c r="N5" s="17">
        <f>N6*(-1)</f>
        <v>85161.857142857159</v>
      </c>
      <c r="O5" s="17"/>
      <c r="P5" s="17"/>
      <c r="R5" s="32"/>
    </row>
    <row r="6" spans="1:18">
      <c r="A6" s="16" t="s">
        <v>474</v>
      </c>
      <c r="B6" s="17" t="s">
        <v>204</v>
      </c>
      <c r="C6" s="17">
        <f>'lokale energieproductie'!O51+'lokale energieproductie'!O44</f>
        <v>374854.5</v>
      </c>
      <c r="D6" s="302">
        <f>('lokale energieproductie'!P44+'lokale energieproductie'!P51)*(-1)</f>
        <v>-664547.14285714284</v>
      </c>
      <c r="E6" s="244"/>
      <c r="F6" s="302">
        <f>('lokale energieproductie'!S44+'lokale energieproductie'!S51)*(-1)</f>
        <v>0</v>
      </c>
      <c r="G6" s="245"/>
      <c r="H6" s="244"/>
      <c r="I6" s="244"/>
      <c r="J6" s="244"/>
      <c r="K6" s="244"/>
      <c r="L6" s="302">
        <f>('lokale energieproductie'!T44+'lokale energieproductie'!U44+'lokale energieproductie'!T51+'lokale energieproductie'!U51)*(-1)</f>
        <v>0</v>
      </c>
      <c r="M6" s="244"/>
      <c r="N6" s="302">
        <f>('lokale energieproductie'!V44+'lokale energieproductie'!R44+'lokale energieproductie'!Q44+'lokale energieproductie'!Q51+'lokale energieproductie'!R51+'lokale energieproductie'!V51)*(-1)</f>
        <v>-85161.857142857159</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12429.408756999999</v>
      </c>
      <c r="C8" s="21">
        <f>C5+C6</f>
        <v>374854.5</v>
      </c>
      <c r="D8" s="21">
        <f>MAX((D5+D6),0)</f>
        <v>0</v>
      </c>
      <c r="E8" s="21">
        <f>MAX((E5+E6),0)</f>
        <v>365.33828716441218</v>
      </c>
      <c r="F8" s="21">
        <f>MAX((F5+F6),0)</f>
        <v>51780.245231666115</v>
      </c>
      <c r="G8" s="21"/>
      <c r="H8" s="21"/>
      <c r="I8" s="21"/>
      <c r="J8" s="21">
        <f>MAX((J5+J6),0)</f>
        <v>1800.7544042807876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0.20641879143269115</v>
      </c>
      <c r="C10" s="31">
        <f ca="1">'EF ele_warmte'!B22</f>
        <v>0.21065196489515245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2565.6635338428478</v>
      </c>
      <c r="C12" s="23">
        <f ca="1">C8*C10</f>
        <v>78963.836974789927</v>
      </c>
      <c r="D12" s="23">
        <f>D8*D10</f>
        <v>0</v>
      </c>
      <c r="E12" s="23">
        <f>E8*E10</f>
        <v>82.931791186321561</v>
      </c>
      <c r="F12" s="23">
        <f>F8*F10</f>
        <v>13825.325476854854</v>
      </c>
      <c r="G12" s="23"/>
      <c r="H12" s="23"/>
      <c r="I12" s="23"/>
      <c r="J12" s="23">
        <f>J8*J10</f>
        <v>637.4670591153988</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1.763772098699016</v>
      </c>
      <c r="C17" s="233" t="s">
        <v>723</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889.76484740285673</v>
      </c>
      <c r="C26" s="243">
        <f>B26*'GWP N2O_CH4'!B5</f>
        <v>18685.061795459991</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520.01376654133674</v>
      </c>
      <c r="C27" s="243">
        <f>B27*'GWP N2O_CH4'!B5</f>
        <v>10920.289097368071</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22.252471780377313</v>
      </c>
      <c r="C28" s="243">
        <f>B28*'GWP N2O_CH4'!B4</f>
        <v>6898.2662519169671</v>
      </c>
      <c r="D28" s="50"/>
    </row>
    <row r="29" spans="1:4">
      <c r="A29" s="41" t="s">
        <v>265</v>
      </c>
      <c r="B29" s="243">
        <f>B34*'ha_N2O bodem landbouw'!B4</f>
        <v>16.507958416890094</v>
      </c>
      <c r="C29" s="243">
        <f>B29*'GWP N2O_CH4'!B4</f>
        <v>5117.4671092359295</v>
      </c>
      <c r="D29" s="50"/>
    </row>
    <row r="31" spans="1:4">
      <c r="A31" s="190" t="s">
        <v>481</v>
      </c>
      <c r="B31" s="200"/>
      <c r="C31" s="222"/>
    </row>
    <row r="32" spans="1:4">
      <c r="A32" s="232"/>
      <c r="B32" s="32"/>
      <c r="C32" s="233"/>
    </row>
    <row r="33" spans="1:5">
      <c r="A33" s="234"/>
      <c r="B33" s="221" t="s">
        <v>610</v>
      </c>
      <c r="C33" s="235" t="s">
        <v>175</v>
      </c>
    </row>
    <row r="34" spans="1:5">
      <c r="A34" s="253" t="s">
        <v>105</v>
      </c>
      <c r="B34" s="35">
        <f>IF(ISERROR(aantalCultuurgronden/'ha_N2O bodem landbouw'!B5),0,aantalCultuurgronden/'ha_N2O bodem landbouw'!B5)</f>
        <v>3.7670592217787912E-3</v>
      </c>
      <c r="C34" s="902" t="s">
        <v>760</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1.0080239222513039E-4</v>
      </c>
      <c r="C5" s="429" t="s">
        <v>204</v>
      </c>
      <c r="D5" s="414">
        <f>SUM(D6:D11)</f>
        <v>1.7688535896574729E-4</v>
      </c>
      <c r="E5" s="414">
        <f>SUM(E6:E11)</f>
        <v>3.0812575026749166E-4</v>
      </c>
      <c r="F5" s="427" t="s">
        <v>204</v>
      </c>
      <c r="G5" s="414">
        <f>SUM(G6:G11)</f>
        <v>0.12379918917701131</v>
      </c>
      <c r="H5" s="414">
        <f>SUM(H6:H11)</f>
        <v>2.8440538872121942E-2</v>
      </c>
      <c r="I5" s="429" t="s">
        <v>204</v>
      </c>
      <c r="J5" s="429" t="s">
        <v>204</v>
      </c>
      <c r="K5" s="429" t="s">
        <v>204</v>
      </c>
      <c r="L5" s="429" t="s">
        <v>204</v>
      </c>
      <c r="M5" s="414">
        <f>SUM(M6:M11)</f>
        <v>8.070323041318701E-3</v>
      </c>
      <c r="N5" s="429" t="s">
        <v>204</v>
      </c>
      <c r="O5" s="429" t="s">
        <v>204</v>
      </c>
      <c r="P5" s="430" t="s">
        <v>204</v>
      </c>
    </row>
    <row r="6" spans="1:18">
      <c r="A6" s="257" t="s">
        <v>643</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8.0460369413563255E-5</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1.352680298843055E-4</v>
      </c>
      <c r="E6" s="857">
        <f>vkm_GW_PW*SUMIFS(TableVerdeelsleutelVkm[LPG],TableVerdeelsleutelVkm[Voertuigtype],"Lichte voertuigen")*SUMIFS(TableECFTransport[EnergieConsumptieFactor (PJ per km)],TableECFTransport[Index],CONCATENATE($A6,"_LPG_LPG"))</f>
        <v>2.380052573955409E-4</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7.061547076095652E-2</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2.1854390263172676E-2</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4.7691512487187818E-3</v>
      </c>
      <c r="N6" s="415"/>
      <c r="O6" s="415"/>
      <c r="P6" s="416"/>
    </row>
    <row r="7" spans="1:18">
      <c r="A7" s="257" t="s">
        <v>644</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9.7326134499042549E-7</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3.1261561811002377E-2</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5.1005072271609422E-7</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1.8264737510240577E-3</v>
      </c>
      <c r="N7" s="415"/>
      <c r="O7" s="415"/>
      <c r="P7" s="416"/>
      <c r="R7" s="854"/>
    </row>
    <row r="8" spans="1:18">
      <c r="A8" s="257" t="s">
        <v>645</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1.9306274294984818E-5</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4.1617329081441789E-5</v>
      </c>
      <c r="E8" s="417">
        <f>vkm_NGW_PW*SUMIFS(TableVerdeelsleutelVkm[LPG],TableVerdeelsleutelVkm[Voertuigtype],"Lichte voertuigen")*SUMIFS(TableECFTransport[EnergieConsumptieFactor (PJ per km)],TableECFTransport[Index],CONCATENATE($A8,"_LPG_LPG"))</f>
        <v>7.0120492871950758E-5</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1.9346896320192826E-2</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6.5855990314675353E-3</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1.3242371321412227E-3</v>
      </c>
      <c r="N8" s="415"/>
      <c r="O8" s="415"/>
      <c r="P8" s="416"/>
      <c r="R8" s="854"/>
    </row>
    <row r="9" spans="1:18">
      <c r="A9" s="257" t="s">
        <v>646</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6.2487171591887877E-8</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2.5752602848595945E-3</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3.9526759014278064E-8</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1.50460909434639E-4</v>
      </c>
      <c r="N9" s="415"/>
      <c r="O9" s="415"/>
      <c r="P9" s="416"/>
      <c r="R9" s="854"/>
    </row>
    <row r="10" spans="1:18">
      <c r="A10" s="257" t="s">
        <v>647</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7">
        <f>vkm_SW_PW*SUMIFS(TableVerdeelsleutelVkm[LPG],TableVerdeelsleutelVkm[Voertuigtype],"Lichte voertuigen")*SUMIFS(TableECFTransport[EnergieConsumptieFactor (PJ per km)],TableECFTransport[Index],CONCATENATE($A10,"_LPG_LPG"))</f>
        <v>0</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5"/>
      <c r="O10" s="415"/>
      <c r="P10" s="416"/>
      <c r="R10" s="854"/>
    </row>
    <row r="11" spans="1:18">
      <c r="A11" s="4" t="s">
        <v>648</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28.000664506980662</v>
      </c>
      <c r="C14" s="21"/>
      <c r="D14" s="21">
        <f t="shared" ref="D14:M14" si="0">((D5)*10^9/3600)+D12</f>
        <v>49.134821934929803</v>
      </c>
      <c r="E14" s="21">
        <f t="shared" si="0"/>
        <v>85.590486185414349</v>
      </c>
      <c r="F14" s="21"/>
      <c r="G14" s="21">
        <f t="shared" si="0"/>
        <v>34388.663660280923</v>
      </c>
      <c r="H14" s="21">
        <f t="shared" si="0"/>
        <v>7900.149686700539</v>
      </c>
      <c r="I14" s="21"/>
      <c r="J14" s="21"/>
      <c r="K14" s="21"/>
      <c r="L14" s="21"/>
      <c r="M14" s="21">
        <f t="shared" si="0"/>
        <v>2241.7564003663056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0.20641879143269115</v>
      </c>
      <c r="C16" s="56">
        <f ca="1">'EF ele_warmte'!B22</f>
        <v>0.21065196489515245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5.7798633268431994</v>
      </c>
      <c r="C18" s="23"/>
      <c r="D18" s="23">
        <f t="shared" ref="D18:M18" si="1">D14*D16</f>
        <v>9.9252340308558207</v>
      </c>
      <c r="E18" s="23">
        <f t="shared" si="1"/>
        <v>19.429040364089058</v>
      </c>
      <c r="F18" s="23"/>
      <c r="G18" s="23">
        <f t="shared" si="1"/>
        <v>9181.7731972950078</v>
      </c>
      <c r="H18" s="23">
        <f t="shared" si="1"/>
        <v>1967.1372719884341</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649</v>
      </c>
      <c r="D23" s="889" t="s">
        <v>650</v>
      </c>
      <c r="E23" s="889" t="s">
        <v>651</v>
      </c>
      <c r="F23" s="889" t="s">
        <v>634</v>
      </c>
      <c r="G23" s="889" t="s">
        <v>652</v>
      </c>
      <c r="H23" s="889" t="s">
        <v>653</v>
      </c>
      <c r="I23" s="889" t="s">
        <v>112</v>
      </c>
      <c r="J23" s="889" t="s">
        <v>654</v>
      </c>
      <c r="K23" s="889" t="s">
        <v>655</v>
      </c>
      <c r="L23" s="890" t="s">
        <v>656</v>
      </c>
      <c r="M23" s="129" t="s">
        <v>175</v>
      </c>
      <c r="N23" s="264" t="s">
        <v>304</v>
      </c>
    </row>
    <row r="24" spans="1:18">
      <c r="A24" s="32" t="s">
        <v>641</v>
      </c>
      <c r="B24" s="1044">
        <v>1.1744852610297558E-3</v>
      </c>
      <c r="C24" s="1044">
        <v>0.75300030716009481</v>
      </c>
      <c r="D24" s="1044" t="s">
        <v>857</v>
      </c>
      <c r="E24" s="1044">
        <v>2.4183854788358016E-4</v>
      </c>
      <c r="F24" s="1045"/>
      <c r="G24" s="1044">
        <v>1.4770756621128669E-3</v>
      </c>
      <c r="H24" s="1044" t="s">
        <v>857</v>
      </c>
      <c r="I24" s="1044">
        <v>2.2853416642858513E-3</v>
      </c>
      <c r="J24" s="1044">
        <v>0.23521087711882394</v>
      </c>
      <c r="K24" s="1044">
        <v>4.8840007886888845E-3</v>
      </c>
      <c r="L24" s="1044">
        <v>1.7260737970802649E-3</v>
      </c>
      <c r="M24" s="1034" t="s">
        <v>858</v>
      </c>
      <c r="N24" s="856">
        <f>SUM(B24:L24)</f>
        <v>0.99999999999999989</v>
      </c>
      <c r="O24" s="854"/>
    </row>
    <row r="25" spans="1:18">
      <c r="A25" s="32" t="s">
        <v>642</v>
      </c>
      <c r="B25" s="1044" t="s">
        <v>857</v>
      </c>
      <c r="C25" s="1044">
        <v>0.99990963204741645</v>
      </c>
      <c r="D25" s="1044" t="s">
        <v>857</v>
      </c>
      <c r="E25" s="1044" t="s">
        <v>857</v>
      </c>
      <c r="F25" s="1045"/>
      <c r="G25" s="1044">
        <v>6.5520928984051478E-5</v>
      </c>
      <c r="H25" s="1044" t="s">
        <v>857</v>
      </c>
      <c r="I25" s="1044" t="s">
        <v>857</v>
      </c>
      <c r="J25" s="1044">
        <v>2.4847023599467457E-5</v>
      </c>
      <c r="K25" s="1044" t="s">
        <v>857</v>
      </c>
      <c r="L25" s="1044" t="s">
        <v>857</v>
      </c>
      <c r="M25" s="1034" t="s">
        <v>858</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877</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3.1428958896490054E-5</v>
      </c>
      <c r="C50" s="313">
        <f t="shared" ref="C50:P50" si="2">SUM(C51:C52)</f>
        <v>0</v>
      </c>
      <c r="D50" s="313">
        <f t="shared" si="2"/>
        <v>0</v>
      </c>
      <c r="E50" s="313">
        <f t="shared" si="2"/>
        <v>0</v>
      </c>
      <c r="F50" s="313">
        <f t="shared" si="2"/>
        <v>0</v>
      </c>
      <c r="G50" s="313">
        <f t="shared" si="2"/>
        <v>2.9524387277427922E-3</v>
      </c>
      <c r="H50" s="313">
        <f t="shared" si="2"/>
        <v>0</v>
      </c>
      <c r="I50" s="313">
        <f t="shared" si="2"/>
        <v>0</v>
      </c>
      <c r="J50" s="313">
        <f t="shared" si="2"/>
        <v>0</v>
      </c>
      <c r="K50" s="313">
        <f t="shared" si="2"/>
        <v>0</v>
      </c>
      <c r="L50" s="313">
        <f t="shared" si="2"/>
        <v>0</v>
      </c>
      <c r="M50" s="313">
        <f t="shared" si="2"/>
        <v>1.7002208158611168E-4</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3.1428958896490054E-5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2.9524387277427922E-3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1.7002208158611168E-4</v>
      </c>
      <c r="N51" s="315"/>
      <c r="O51" s="315"/>
      <c r="P51" s="318"/>
    </row>
    <row r="52" spans="1:18">
      <c r="A52" s="4" t="s">
        <v>317</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8.7302663601361257</v>
      </c>
      <c r="C54" s="21">
        <f t="shared" ref="C54:P54" si="3">(C50)*10^9/3600</f>
        <v>0</v>
      </c>
      <c r="D54" s="21">
        <f t="shared" si="3"/>
        <v>0</v>
      </c>
      <c r="E54" s="21">
        <f t="shared" si="3"/>
        <v>0</v>
      </c>
      <c r="F54" s="21">
        <f t="shared" si="3"/>
        <v>0</v>
      </c>
      <c r="G54" s="21">
        <f t="shared" si="3"/>
        <v>820.12186881744231</v>
      </c>
      <c r="H54" s="21">
        <f t="shared" si="3"/>
        <v>0</v>
      </c>
      <c r="I54" s="21">
        <f t="shared" si="3"/>
        <v>0</v>
      </c>
      <c r="J54" s="21">
        <f t="shared" si="3"/>
        <v>0</v>
      </c>
      <c r="K54" s="21">
        <f t="shared" si="3"/>
        <v>0</v>
      </c>
      <c r="L54" s="21">
        <f t="shared" si="3"/>
        <v>0</v>
      </c>
      <c r="M54" s="21">
        <f t="shared" si="3"/>
        <v>47.228355996142135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0.20641879143269115</v>
      </c>
      <c r="C56" s="56">
        <f ca="1">'EF ele_warmte'!B22</f>
        <v>0.21065196489515245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1.8020910309447786</v>
      </c>
      <c r="C58" s="23">
        <f t="shared" ref="C58:P58" ca="1" si="4">C54*C56</f>
        <v>0</v>
      </c>
      <c r="D58" s="23">
        <f t="shared" si="4"/>
        <v>0</v>
      </c>
      <c r="E58" s="23">
        <f t="shared" si="4"/>
        <v>0</v>
      </c>
      <c r="F58" s="23">
        <f t="shared" si="4"/>
        <v>0</v>
      </c>
      <c r="G58" s="23">
        <f t="shared" si="4"/>
        <v>218.97253897425711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545</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856</v>
      </c>
      <c r="B65" s="1043">
        <v>4.36E-2</v>
      </c>
      <c r="C65" s="171" t="s">
        <v>729</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546</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63"/>
  <sheetViews>
    <sheetView showGridLines="0" zoomScaleNormal="100" workbookViewId="0">
      <selection activeCell="A28" sqref="A28:XFD41"/>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807</v>
      </c>
      <c r="N2" s="1239" t="s">
        <v>808</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0</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0</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3734.1810323535783</v>
      </c>
      <c r="C6" s="1242"/>
      <c r="D6" s="1245"/>
      <c r="E6" s="1245"/>
      <c r="F6" s="1248"/>
      <c r="G6" s="1251"/>
      <c r="H6" s="1254"/>
      <c r="I6" s="1245"/>
      <c r="J6" s="1245"/>
      <c r="K6" s="1245"/>
      <c r="L6" s="1245"/>
      <c r="M6" s="1245"/>
      <c r="N6" s="999"/>
      <c r="O6" s="534"/>
      <c r="P6" s="1221"/>
      <c r="Q6" s="1222"/>
      <c r="S6" s="965"/>
      <c r="T6" s="1258"/>
      <c r="U6" s="1258"/>
    </row>
    <row r="7" spans="1:21" s="525" customFormat="1">
      <c r="A7" s="533" t="s">
        <v>805</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N41</f>
        <v>262398.15000000002</v>
      </c>
      <c r="C8" s="536">
        <f>B60</f>
        <v>273637.05882352946</v>
      </c>
      <c r="D8" s="1002"/>
      <c r="E8" s="1002">
        <f>E60</f>
        <v>0</v>
      </c>
      <c r="F8" s="1003"/>
      <c r="G8" s="537"/>
      <c r="H8" s="1002">
        <f>I60</f>
        <v>0</v>
      </c>
      <c r="I8" s="1002">
        <f>G60+F60</f>
        <v>0</v>
      </c>
      <c r="J8" s="1002">
        <f>H60+D60+C60</f>
        <v>35066.647058823539</v>
      </c>
      <c r="K8" s="1002"/>
      <c r="L8" s="1002"/>
      <c r="M8" s="1002"/>
      <c r="N8" s="538"/>
      <c r="O8" s="539">
        <f>C8*$C$12+D8*$D$12+E8*$E$12+F8*$F$12+G8*$G$12+H8*$H$12+I8*$I$12+J8*$J$12</f>
        <v>55274.685882352955</v>
      </c>
      <c r="P8" s="1221"/>
      <c r="Q8" s="1222"/>
      <c r="S8" s="965"/>
      <c r="T8" s="1258"/>
      <c r="U8" s="1258"/>
    </row>
    <row r="9" spans="1:21" s="525" customFormat="1" ht="17.45" customHeight="1" thickBot="1">
      <c r="A9" s="540" t="s">
        <v>236</v>
      </c>
      <c r="B9" s="541">
        <f>N48+'Eigen informatie GS &amp; warmtenet'!B12</f>
        <v>1647</v>
      </c>
      <c r="C9" s="542">
        <f>P48+IF(ISERROR(('Eigen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S48+IF(ISERROR('Eigen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W48+IF(ISERROR('Eigen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(T48+U48)+IF(ISERROR('Eigen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V48+Q48+R48+IF(ISERROR('Eigen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4705.7142857142862</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267779.33103235363</v>
      </c>
      <c r="C10" s="549">
        <f t="shared" ref="C10:L10" si="0">SUM(C8:C9)</f>
        <v>273637.05882352946</v>
      </c>
      <c r="D10" s="549">
        <f t="shared" si="0"/>
        <v>0</v>
      </c>
      <c r="E10" s="549">
        <f t="shared" si="0"/>
        <v>0</v>
      </c>
      <c r="F10" s="549">
        <f t="shared" si="0"/>
        <v>0</v>
      </c>
      <c r="G10" s="549">
        <f t="shared" si="0"/>
        <v>0</v>
      </c>
      <c r="H10" s="549">
        <f t="shared" si="0"/>
        <v>0</v>
      </c>
      <c r="I10" s="549">
        <f t="shared" si="0"/>
        <v>0</v>
      </c>
      <c r="J10" s="549">
        <f t="shared" si="0"/>
        <v>39772.361344537829</v>
      </c>
      <c r="K10" s="549">
        <f t="shared" si="0"/>
        <v>0</v>
      </c>
      <c r="L10" s="549">
        <f t="shared" si="0"/>
        <v>0</v>
      </c>
      <c r="M10" s="1005"/>
      <c r="N10" s="1005"/>
      <c r="O10" s="550">
        <f>SUM(O4:O9)</f>
        <v>55274.685882352955</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807</v>
      </c>
      <c r="N15" s="1239" t="s">
        <v>808</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O41</f>
        <v>374854.5</v>
      </c>
      <c r="C17" s="561">
        <f>B61</f>
        <v>390910.08403361344</v>
      </c>
      <c r="D17" s="562"/>
      <c r="E17" s="562">
        <f>E61</f>
        <v>0</v>
      </c>
      <c r="F17" s="1008"/>
      <c r="G17" s="563"/>
      <c r="H17" s="561">
        <f>I61</f>
        <v>0</v>
      </c>
      <c r="I17" s="562">
        <f>G61+F61</f>
        <v>0</v>
      </c>
      <c r="J17" s="562">
        <f>H61+D61+C61</f>
        <v>50095.210084033628</v>
      </c>
      <c r="K17" s="562"/>
      <c r="L17" s="562"/>
      <c r="M17" s="562"/>
      <c r="N17" s="1009"/>
      <c r="O17" s="564">
        <f>C17*$C$22+E17*$E$22+H17*$H$22+I17*$I$22+J17*$J$22+D17*$D$22+F17*$F$22+G17*$G$22+K17*$K$22+L17*$L$22</f>
        <v>78963.836974789927</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374854.5</v>
      </c>
      <c r="C20" s="548">
        <f>SUM(C17:C19)</f>
        <v>390910.08403361344</v>
      </c>
      <c r="D20" s="548">
        <f t="shared" ref="D20:L20" si="1">SUM(D17:D19)</f>
        <v>0</v>
      </c>
      <c r="E20" s="548">
        <f t="shared" si="1"/>
        <v>0</v>
      </c>
      <c r="F20" s="548">
        <f t="shared" si="1"/>
        <v>0</v>
      </c>
      <c r="G20" s="548">
        <f t="shared" si="1"/>
        <v>0</v>
      </c>
      <c r="H20" s="548">
        <f t="shared" si="1"/>
        <v>0</v>
      </c>
      <c r="I20" s="548">
        <f t="shared" si="1"/>
        <v>0</v>
      </c>
      <c r="J20" s="548">
        <f t="shared" si="1"/>
        <v>50095.210084033628</v>
      </c>
      <c r="K20" s="548">
        <f t="shared" si="1"/>
        <v>0</v>
      </c>
      <c r="L20" s="548">
        <f t="shared" si="1"/>
        <v>0</v>
      </c>
      <c r="M20" s="548"/>
      <c r="N20" s="548"/>
      <c r="O20" s="567">
        <f>SUM(O17:O19)</f>
        <v>78963.836974789927</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25.5" hidden="1">
      <c r="A28" s="571"/>
      <c r="B28" s="762">
        <v>13023</v>
      </c>
      <c r="C28" s="762">
        <v>2330</v>
      </c>
      <c r="D28" s="619"/>
      <c r="E28" s="618"/>
      <c r="F28" s="618"/>
      <c r="G28" s="618" t="s">
        <v>896</v>
      </c>
      <c r="H28" s="618" t="s">
        <v>897</v>
      </c>
      <c r="I28" s="618"/>
      <c r="J28" s="761"/>
      <c r="K28" s="761"/>
      <c r="L28" s="618" t="s">
        <v>898</v>
      </c>
      <c r="M28" s="618">
        <v>2758</v>
      </c>
      <c r="N28" s="618">
        <v>12411</v>
      </c>
      <c r="O28" s="618">
        <v>17730</v>
      </c>
      <c r="P28" s="618">
        <v>35460</v>
      </c>
      <c r="Q28" s="618">
        <v>0</v>
      </c>
      <c r="R28" s="618">
        <v>0</v>
      </c>
      <c r="S28" s="618">
        <v>0</v>
      </c>
      <c r="T28" s="618">
        <v>0</v>
      </c>
      <c r="U28" s="618">
        <v>0</v>
      </c>
      <c r="V28" s="618">
        <v>0</v>
      </c>
      <c r="W28" s="618">
        <v>0</v>
      </c>
      <c r="X28" s="618">
        <v>10</v>
      </c>
      <c r="Y28" s="618" t="s">
        <v>105</v>
      </c>
      <c r="Z28" s="620" t="s">
        <v>105</v>
      </c>
    </row>
    <row r="29" spans="1:26" s="572" customFormat="1" ht="25.5" hidden="1">
      <c r="A29" s="571"/>
      <c r="B29" s="762">
        <v>13023</v>
      </c>
      <c r="C29" s="762">
        <v>2330</v>
      </c>
      <c r="D29" s="619"/>
      <c r="E29" s="618"/>
      <c r="F29" s="618"/>
      <c r="G29" s="618" t="s">
        <v>896</v>
      </c>
      <c r="H29" s="618" t="s">
        <v>897</v>
      </c>
      <c r="I29" s="618"/>
      <c r="J29" s="761"/>
      <c r="K29" s="761"/>
      <c r="L29" s="618" t="s">
        <v>898</v>
      </c>
      <c r="M29" s="618">
        <v>7083</v>
      </c>
      <c r="N29" s="618">
        <v>31873.5</v>
      </c>
      <c r="O29" s="618">
        <v>45533.571428571428</v>
      </c>
      <c r="P29" s="618">
        <v>91067.14285714287</v>
      </c>
      <c r="Q29" s="618">
        <v>0</v>
      </c>
      <c r="R29" s="618">
        <v>0</v>
      </c>
      <c r="S29" s="618">
        <v>0</v>
      </c>
      <c r="T29" s="618">
        <v>0</v>
      </c>
      <c r="U29" s="618">
        <v>0</v>
      </c>
      <c r="V29" s="618">
        <v>0</v>
      </c>
      <c r="W29" s="618">
        <v>0</v>
      </c>
      <c r="X29" s="618">
        <v>10</v>
      </c>
      <c r="Y29" s="618" t="s">
        <v>105</v>
      </c>
      <c r="Z29" s="620" t="s">
        <v>105</v>
      </c>
    </row>
    <row r="30" spans="1:26" s="572" customFormat="1" ht="25.5" hidden="1">
      <c r="A30" s="571"/>
      <c r="B30" s="762">
        <v>13023</v>
      </c>
      <c r="C30" s="762">
        <v>2330</v>
      </c>
      <c r="D30" s="619"/>
      <c r="E30" s="618"/>
      <c r="F30" s="618"/>
      <c r="G30" s="618" t="s">
        <v>896</v>
      </c>
      <c r="H30" s="618" t="s">
        <v>897</v>
      </c>
      <c r="I30" s="618"/>
      <c r="J30" s="761"/>
      <c r="K30" s="761"/>
      <c r="L30" s="618" t="s">
        <v>898</v>
      </c>
      <c r="M30" s="618">
        <v>2800</v>
      </c>
      <c r="N30" s="618">
        <v>12600</v>
      </c>
      <c r="O30" s="618">
        <v>18000</v>
      </c>
      <c r="P30" s="618">
        <v>36000</v>
      </c>
      <c r="Q30" s="618">
        <v>0</v>
      </c>
      <c r="R30" s="618">
        <v>0</v>
      </c>
      <c r="S30" s="618">
        <v>0</v>
      </c>
      <c r="T30" s="618">
        <v>0</v>
      </c>
      <c r="U30" s="618">
        <v>0</v>
      </c>
      <c r="V30" s="618">
        <v>0</v>
      </c>
      <c r="W30" s="618">
        <v>0</v>
      </c>
      <c r="X30" s="618">
        <v>10</v>
      </c>
      <c r="Y30" s="618" t="s">
        <v>105</v>
      </c>
      <c r="Z30" s="620" t="s">
        <v>105</v>
      </c>
    </row>
    <row r="31" spans="1:26" s="572" customFormat="1" ht="25.5" hidden="1">
      <c r="A31" s="571"/>
      <c r="B31" s="762">
        <v>13023</v>
      </c>
      <c r="C31" s="762">
        <v>2330</v>
      </c>
      <c r="D31" s="619"/>
      <c r="E31" s="618"/>
      <c r="F31" s="618"/>
      <c r="G31" s="618" t="s">
        <v>896</v>
      </c>
      <c r="H31" s="618" t="s">
        <v>897</v>
      </c>
      <c r="I31" s="618"/>
      <c r="J31" s="761"/>
      <c r="K31" s="761"/>
      <c r="L31" s="618" t="s">
        <v>898</v>
      </c>
      <c r="M31" s="618">
        <v>3256</v>
      </c>
      <c r="N31" s="618">
        <v>14651.999999999998</v>
      </c>
      <c r="O31" s="618">
        <v>20931.428571428569</v>
      </c>
      <c r="P31" s="618">
        <v>41862.857142857138</v>
      </c>
      <c r="Q31" s="618">
        <v>0</v>
      </c>
      <c r="R31" s="618">
        <v>0</v>
      </c>
      <c r="S31" s="618">
        <v>0</v>
      </c>
      <c r="T31" s="618">
        <v>0</v>
      </c>
      <c r="U31" s="618">
        <v>0</v>
      </c>
      <c r="V31" s="618">
        <v>0</v>
      </c>
      <c r="W31" s="618">
        <v>0</v>
      </c>
      <c r="X31" s="618">
        <v>10</v>
      </c>
      <c r="Y31" s="618" t="s">
        <v>105</v>
      </c>
      <c r="Z31" s="620" t="s">
        <v>105</v>
      </c>
    </row>
    <row r="32" spans="1:26" s="572" customFormat="1" ht="25.5" hidden="1">
      <c r="A32" s="571"/>
      <c r="B32" s="762">
        <v>13023</v>
      </c>
      <c r="C32" s="762">
        <v>2330</v>
      </c>
      <c r="D32" s="619"/>
      <c r="E32" s="618"/>
      <c r="F32" s="618"/>
      <c r="G32" s="618" t="s">
        <v>896</v>
      </c>
      <c r="H32" s="618" t="s">
        <v>897</v>
      </c>
      <c r="I32" s="618"/>
      <c r="J32" s="761"/>
      <c r="K32" s="761"/>
      <c r="L32" s="618" t="s">
        <v>898</v>
      </c>
      <c r="M32" s="618">
        <v>3183</v>
      </c>
      <c r="N32" s="618">
        <v>14323.5</v>
      </c>
      <c r="O32" s="618">
        <v>20462.142857142859</v>
      </c>
      <c r="P32" s="618">
        <v>40924.285714285717</v>
      </c>
      <c r="Q32" s="618">
        <v>0</v>
      </c>
      <c r="R32" s="618">
        <v>0</v>
      </c>
      <c r="S32" s="618">
        <v>0</v>
      </c>
      <c r="T32" s="618">
        <v>0</v>
      </c>
      <c r="U32" s="618">
        <v>0</v>
      </c>
      <c r="V32" s="618">
        <v>0</v>
      </c>
      <c r="W32" s="618">
        <v>0</v>
      </c>
      <c r="X32" s="618">
        <v>10</v>
      </c>
      <c r="Y32" s="618" t="s">
        <v>105</v>
      </c>
      <c r="Z32" s="620" t="s">
        <v>105</v>
      </c>
    </row>
    <row r="33" spans="1:26" s="572" customFormat="1" ht="25.5" hidden="1">
      <c r="A33" s="571"/>
      <c r="B33" s="762">
        <v>13023</v>
      </c>
      <c r="C33" s="762">
        <v>2330</v>
      </c>
      <c r="D33" s="619"/>
      <c r="E33" s="618"/>
      <c r="F33" s="618"/>
      <c r="G33" s="618" t="s">
        <v>896</v>
      </c>
      <c r="H33" s="618" t="s">
        <v>897</v>
      </c>
      <c r="I33" s="618"/>
      <c r="J33" s="761"/>
      <c r="K33" s="761"/>
      <c r="L33" s="618" t="s">
        <v>898</v>
      </c>
      <c r="M33" s="618">
        <v>3574</v>
      </c>
      <c r="N33" s="618">
        <v>16083</v>
      </c>
      <c r="O33" s="618">
        <v>22975.714285714286</v>
      </c>
      <c r="P33" s="618">
        <v>45951.428571428572</v>
      </c>
      <c r="Q33" s="618">
        <v>0</v>
      </c>
      <c r="R33" s="618">
        <v>0</v>
      </c>
      <c r="S33" s="618">
        <v>0</v>
      </c>
      <c r="T33" s="618">
        <v>0</v>
      </c>
      <c r="U33" s="618">
        <v>0</v>
      </c>
      <c r="V33" s="618">
        <v>0</v>
      </c>
      <c r="W33" s="618">
        <v>0</v>
      </c>
      <c r="X33" s="618">
        <v>10</v>
      </c>
      <c r="Y33" s="618" t="s">
        <v>105</v>
      </c>
      <c r="Z33" s="620" t="s">
        <v>105</v>
      </c>
    </row>
    <row r="34" spans="1:26" s="572" customFormat="1" ht="25.5" hidden="1">
      <c r="A34" s="571"/>
      <c r="B34" s="762">
        <v>13023</v>
      </c>
      <c r="C34" s="762">
        <v>2330</v>
      </c>
      <c r="D34" s="619"/>
      <c r="E34" s="618"/>
      <c r="F34" s="618"/>
      <c r="G34" s="618" t="s">
        <v>896</v>
      </c>
      <c r="H34" s="618" t="s">
        <v>897</v>
      </c>
      <c r="I34" s="618"/>
      <c r="J34" s="761"/>
      <c r="K34" s="761"/>
      <c r="L34" s="618" t="s">
        <v>898</v>
      </c>
      <c r="M34" s="618">
        <v>12421</v>
      </c>
      <c r="N34" s="618">
        <v>55894.5</v>
      </c>
      <c r="O34" s="618">
        <v>79849.28571428571</v>
      </c>
      <c r="P34" s="618">
        <v>159698.57142857145</v>
      </c>
      <c r="Q34" s="618">
        <v>0</v>
      </c>
      <c r="R34" s="618">
        <v>0</v>
      </c>
      <c r="S34" s="618">
        <v>0</v>
      </c>
      <c r="T34" s="618">
        <v>0</v>
      </c>
      <c r="U34" s="618">
        <v>0</v>
      </c>
      <c r="V34" s="618">
        <v>0</v>
      </c>
      <c r="W34" s="618">
        <v>0</v>
      </c>
      <c r="X34" s="618">
        <v>10</v>
      </c>
      <c r="Y34" s="618" t="s">
        <v>105</v>
      </c>
      <c r="Z34" s="620" t="s">
        <v>105</v>
      </c>
    </row>
    <row r="35" spans="1:26" s="572" customFormat="1" ht="25.5" hidden="1">
      <c r="A35" s="571"/>
      <c r="B35" s="762">
        <v>13023</v>
      </c>
      <c r="C35" s="762">
        <v>2330</v>
      </c>
      <c r="D35" s="619"/>
      <c r="E35" s="618"/>
      <c r="F35" s="618"/>
      <c r="G35" s="618" t="s">
        <v>896</v>
      </c>
      <c r="H35" s="618" t="s">
        <v>897</v>
      </c>
      <c r="I35" s="618"/>
      <c r="J35" s="761"/>
      <c r="K35" s="761"/>
      <c r="L35" s="618" t="s">
        <v>898</v>
      </c>
      <c r="M35" s="618">
        <v>8585</v>
      </c>
      <c r="N35" s="618">
        <v>38632.500000000007</v>
      </c>
      <c r="O35" s="618">
        <v>55189.285714285725</v>
      </c>
      <c r="P35" s="618">
        <v>110378.57142857145</v>
      </c>
      <c r="Q35" s="618">
        <v>0</v>
      </c>
      <c r="R35" s="618">
        <v>0</v>
      </c>
      <c r="S35" s="618">
        <v>0</v>
      </c>
      <c r="T35" s="618">
        <v>0</v>
      </c>
      <c r="U35" s="618">
        <v>0</v>
      </c>
      <c r="V35" s="618">
        <v>0</v>
      </c>
      <c r="W35" s="618">
        <v>0</v>
      </c>
      <c r="X35" s="618">
        <v>10</v>
      </c>
      <c r="Y35" s="618" t="s">
        <v>105</v>
      </c>
      <c r="Z35" s="620" t="s">
        <v>105</v>
      </c>
    </row>
    <row r="36" spans="1:26" s="572" customFormat="1" ht="25.5" hidden="1">
      <c r="A36" s="571"/>
      <c r="B36" s="762">
        <v>13023</v>
      </c>
      <c r="C36" s="762">
        <v>2330</v>
      </c>
      <c r="D36" s="619"/>
      <c r="E36" s="618"/>
      <c r="F36" s="618"/>
      <c r="G36" s="618" t="s">
        <v>896</v>
      </c>
      <c r="H36" s="618" t="s">
        <v>897</v>
      </c>
      <c r="I36" s="618"/>
      <c r="J36" s="761"/>
      <c r="K36" s="761"/>
      <c r="L36" s="618" t="s">
        <v>898</v>
      </c>
      <c r="M36" s="618">
        <v>6614</v>
      </c>
      <c r="N36" s="618">
        <v>29763</v>
      </c>
      <c r="O36" s="618">
        <v>42518.571428571428</v>
      </c>
      <c r="P36" s="618">
        <v>0</v>
      </c>
      <c r="Q36" s="618">
        <v>85037.14285714287</v>
      </c>
      <c r="R36" s="618">
        <v>0</v>
      </c>
      <c r="S36" s="618">
        <v>0</v>
      </c>
      <c r="T36" s="618">
        <v>0</v>
      </c>
      <c r="U36" s="618">
        <v>0</v>
      </c>
      <c r="V36" s="618">
        <v>0</v>
      </c>
      <c r="W36" s="618">
        <v>0</v>
      </c>
      <c r="X36" s="618">
        <v>10</v>
      </c>
      <c r="Y36" s="618" t="s">
        <v>105</v>
      </c>
      <c r="Z36" s="620" t="s">
        <v>105</v>
      </c>
    </row>
    <row r="37" spans="1:26" s="572" customFormat="1" ht="25.5" hidden="1">
      <c r="A37" s="571"/>
      <c r="B37" s="762">
        <v>13023</v>
      </c>
      <c r="C37" s="762">
        <v>2330</v>
      </c>
      <c r="D37" s="619"/>
      <c r="E37" s="618"/>
      <c r="F37" s="618"/>
      <c r="G37" s="618" t="s">
        <v>896</v>
      </c>
      <c r="H37" s="618" t="s">
        <v>897</v>
      </c>
      <c r="I37" s="618"/>
      <c r="J37" s="761"/>
      <c r="K37" s="761"/>
      <c r="L37" s="618" t="s">
        <v>898</v>
      </c>
      <c r="M37" s="618">
        <v>3349</v>
      </c>
      <c r="N37" s="618">
        <v>15070.5</v>
      </c>
      <c r="O37" s="618">
        <v>21529.285714285714</v>
      </c>
      <c r="P37" s="618">
        <v>43058.571428571435</v>
      </c>
      <c r="Q37" s="618">
        <v>0</v>
      </c>
      <c r="R37" s="618">
        <v>0</v>
      </c>
      <c r="S37" s="618">
        <v>0</v>
      </c>
      <c r="T37" s="618">
        <v>0</v>
      </c>
      <c r="U37" s="618">
        <v>0</v>
      </c>
      <c r="V37" s="618">
        <v>0</v>
      </c>
      <c r="W37" s="618">
        <v>0</v>
      </c>
      <c r="X37" s="618">
        <v>10</v>
      </c>
      <c r="Y37" s="618" t="s">
        <v>105</v>
      </c>
      <c r="Z37" s="620" t="s">
        <v>105</v>
      </c>
    </row>
    <row r="38" spans="1:26" s="572" customFormat="1" ht="25.5" hidden="1">
      <c r="A38" s="571"/>
      <c r="B38" s="762">
        <v>13023</v>
      </c>
      <c r="C38" s="762">
        <v>2330</v>
      </c>
      <c r="D38" s="619"/>
      <c r="E38" s="618"/>
      <c r="F38" s="618"/>
      <c r="G38" s="618" t="s">
        <v>896</v>
      </c>
      <c r="H38" s="618" t="s">
        <v>897</v>
      </c>
      <c r="I38" s="618"/>
      <c r="J38" s="761"/>
      <c r="K38" s="761"/>
      <c r="L38" s="618" t="s">
        <v>898</v>
      </c>
      <c r="M38" s="618">
        <v>9.6999999999999993</v>
      </c>
      <c r="N38" s="618">
        <v>43.649999999999991</v>
      </c>
      <c r="O38" s="618">
        <v>62.357142857142847</v>
      </c>
      <c r="P38" s="618">
        <v>0</v>
      </c>
      <c r="Q38" s="618">
        <v>124.71428571428569</v>
      </c>
      <c r="R38" s="618">
        <v>0</v>
      </c>
      <c r="S38" s="618">
        <v>0</v>
      </c>
      <c r="T38" s="618">
        <v>0</v>
      </c>
      <c r="U38" s="618">
        <v>0</v>
      </c>
      <c r="V38" s="618">
        <v>0</v>
      </c>
      <c r="W38" s="618">
        <v>0</v>
      </c>
      <c r="X38" s="618">
        <v>10</v>
      </c>
      <c r="Y38" s="618" t="s">
        <v>105</v>
      </c>
      <c r="Z38" s="620" t="s">
        <v>105</v>
      </c>
    </row>
    <row r="39" spans="1:26" s="572" customFormat="1" ht="25.5" hidden="1">
      <c r="A39" s="571"/>
      <c r="B39" s="762">
        <v>13023</v>
      </c>
      <c r="C39" s="762">
        <v>2330</v>
      </c>
      <c r="D39" s="619"/>
      <c r="E39" s="618"/>
      <c r="F39" s="618"/>
      <c r="G39" s="618" t="s">
        <v>896</v>
      </c>
      <c r="H39" s="618" t="s">
        <v>897</v>
      </c>
      <c r="I39" s="618"/>
      <c r="J39" s="761"/>
      <c r="K39" s="761"/>
      <c r="L39" s="618" t="s">
        <v>898</v>
      </c>
      <c r="M39" s="618">
        <v>2678</v>
      </c>
      <c r="N39" s="618">
        <v>12051</v>
      </c>
      <c r="O39" s="618">
        <v>17215.714285714286</v>
      </c>
      <c r="P39" s="618">
        <v>34431.428571428572</v>
      </c>
      <c r="Q39" s="618">
        <v>0</v>
      </c>
      <c r="R39" s="618">
        <v>0</v>
      </c>
      <c r="S39" s="618">
        <v>0</v>
      </c>
      <c r="T39" s="618">
        <v>0</v>
      </c>
      <c r="U39" s="618">
        <v>0</v>
      </c>
      <c r="V39" s="618">
        <v>0</v>
      </c>
      <c r="W39" s="618">
        <v>0</v>
      </c>
      <c r="X39" s="618">
        <v>10</v>
      </c>
      <c r="Y39" s="618" t="s">
        <v>105</v>
      </c>
      <c r="Z39" s="620" t="s">
        <v>105</v>
      </c>
    </row>
    <row r="40" spans="1:26" s="572" customFormat="1" ht="25.5" hidden="1">
      <c r="A40" s="571"/>
      <c r="B40" s="762">
        <v>13023</v>
      </c>
      <c r="C40" s="762">
        <v>2330</v>
      </c>
      <c r="D40" s="619"/>
      <c r="E40" s="618"/>
      <c r="F40" s="618"/>
      <c r="G40" s="618" t="s">
        <v>896</v>
      </c>
      <c r="H40" s="618" t="s">
        <v>897</v>
      </c>
      <c r="I40" s="618"/>
      <c r="J40" s="761"/>
      <c r="K40" s="761"/>
      <c r="L40" s="618" t="s">
        <v>899</v>
      </c>
      <c r="M40" s="618">
        <v>2000</v>
      </c>
      <c r="N40" s="618">
        <v>9000</v>
      </c>
      <c r="O40" s="618">
        <v>12857.142857142857</v>
      </c>
      <c r="P40" s="618">
        <v>25714.285714285717</v>
      </c>
      <c r="Q40" s="618">
        <v>0</v>
      </c>
      <c r="R40" s="618">
        <v>0</v>
      </c>
      <c r="S40" s="618">
        <v>0</v>
      </c>
      <c r="T40" s="618">
        <v>0</v>
      </c>
      <c r="U40" s="618">
        <v>0</v>
      </c>
      <c r="V40" s="618">
        <v>0</v>
      </c>
      <c r="W40" s="618">
        <v>0</v>
      </c>
      <c r="X40" s="618">
        <v>10</v>
      </c>
      <c r="Y40" s="618" t="s">
        <v>105</v>
      </c>
      <c r="Z40" s="620" t="s">
        <v>105</v>
      </c>
    </row>
    <row r="41" spans="1:26" s="556" customFormat="1" hidden="1">
      <c r="A41" s="574" t="s">
        <v>268</v>
      </c>
      <c r="B41" s="575"/>
      <c r="C41" s="575"/>
      <c r="D41" s="575"/>
      <c r="E41" s="575"/>
      <c r="F41" s="575"/>
      <c r="G41" s="575"/>
      <c r="H41" s="575"/>
      <c r="I41" s="575"/>
      <c r="J41" s="575"/>
      <c r="K41" s="575"/>
      <c r="L41" s="576"/>
      <c r="M41" s="576">
        <f>SUM(M28:M40)</f>
        <v>58310.7</v>
      </c>
      <c r="N41" s="576">
        <f>SUM(N28:N40)</f>
        <v>262398.15000000002</v>
      </c>
      <c r="O41" s="576">
        <f>SUM(O28:O40)</f>
        <v>374854.5</v>
      </c>
      <c r="P41" s="576">
        <f>SUM(P28:P40)</f>
        <v>664547.14285714284</v>
      </c>
      <c r="Q41" s="576">
        <f>SUM(Q28:Q40)</f>
        <v>85161.857142857159</v>
      </c>
      <c r="R41" s="576">
        <f>SUM(R28:R40)</f>
        <v>0</v>
      </c>
      <c r="S41" s="576">
        <f>SUM(S28:S40)</f>
        <v>0</v>
      </c>
      <c r="T41" s="576">
        <f>SUM(T28:T40)</f>
        <v>0</v>
      </c>
      <c r="U41" s="576">
        <f>SUM(U28:U40)</f>
        <v>0</v>
      </c>
      <c r="V41" s="576">
        <f>SUM(V28:V40)</f>
        <v>0</v>
      </c>
      <c r="W41" s="576">
        <f>SUM(W28:W40)</f>
        <v>0</v>
      </c>
      <c r="X41" s="577"/>
      <c r="Y41" s="577"/>
      <c r="Z41" s="578"/>
    </row>
    <row r="42" spans="1:26" s="556" customFormat="1">
      <c r="A42" s="574" t="s">
        <v>275</v>
      </c>
      <c r="B42" s="575"/>
      <c r="C42" s="575"/>
      <c r="D42" s="575"/>
      <c r="E42" s="575"/>
      <c r="F42" s="575"/>
      <c r="G42" s="575"/>
      <c r="H42" s="575"/>
      <c r="I42" s="575"/>
      <c r="J42" s="575"/>
      <c r="K42" s="575"/>
      <c r="L42" s="576"/>
      <c r="M42" s="576">
        <f>SUMIF($Z$28:$Z$40,"industrie",M28:M40)</f>
        <v>0</v>
      </c>
      <c r="N42" s="576">
        <f>SUMIF($Z$28:$Z$40,"industrie",N28:N40)</f>
        <v>0</v>
      </c>
      <c r="O42" s="576">
        <f>SUMIF($Z$28:$Z$40,"industrie",O28:O40)</f>
        <v>0</v>
      </c>
      <c r="P42" s="576">
        <f>SUMIF($Z$28:$Z$40,"industrie",P28:P40)</f>
        <v>0</v>
      </c>
      <c r="Q42" s="576">
        <f>SUMIF($Z$28:$Z$40,"industrie",Q28:Q40)</f>
        <v>0</v>
      </c>
      <c r="R42" s="576">
        <f>SUMIF($Z$28:$Z$40,"industrie",R28:R40)</f>
        <v>0</v>
      </c>
      <c r="S42" s="576">
        <f>SUMIF($Z$28:$Z$40,"industrie",S28:S40)</f>
        <v>0</v>
      </c>
      <c r="T42" s="576">
        <f>SUMIF($Z$28:$Z$40,"industrie",T28:T40)</f>
        <v>0</v>
      </c>
      <c r="U42" s="576">
        <f>SUMIF($Z$28:$Z$40,"industrie",U28:U40)</f>
        <v>0</v>
      </c>
      <c r="V42" s="576">
        <f>SUMIF($Z$28:$Z$40,"industrie",V28:V40)</f>
        <v>0</v>
      </c>
      <c r="W42" s="576">
        <f>SUMIF($Z$28:$Z$40,"industrie",W28:W40)</f>
        <v>0</v>
      </c>
      <c r="X42" s="577"/>
      <c r="Y42" s="577"/>
      <c r="Z42" s="578"/>
    </row>
    <row r="43" spans="1:26" s="556" customFormat="1">
      <c r="A43" s="574" t="s">
        <v>276</v>
      </c>
      <c r="B43" s="575"/>
      <c r="C43" s="575"/>
      <c r="D43" s="575"/>
      <c r="E43" s="575"/>
      <c r="F43" s="575"/>
      <c r="G43" s="575"/>
      <c r="H43" s="575"/>
      <c r="I43" s="575"/>
      <c r="J43" s="575"/>
      <c r="K43" s="575"/>
      <c r="L43" s="576"/>
      <c r="M43" s="576">
        <f ca="1">SUMIF($Z$28:AC40,"tertiair",M28:M40)</f>
        <v>0</v>
      </c>
      <c r="N43" s="576">
        <f ca="1">SUMIF($Z$28:AD40,"tertiair",N28:N40)</f>
        <v>0</v>
      </c>
      <c r="O43" s="576">
        <f ca="1">SUMIF($Z$28:AE40,"tertiair",O28:O40)</f>
        <v>0</v>
      </c>
      <c r="P43" s="576">
        <f ca="1">SUMIF($Z$28:AF40,"tertiair",P28:P40)</f>
        <v>0</v>
      </c>
      <c r="Q43" s="576">
        <f ca="1">SUMIF($Z$28:AG40,"tertiair",Q28:Q40)</f>
        <v>0</v>
      </c>
      <c r="R43" s="576">
        <f ca="1">SUMIF($Z$28:AH40,"tertiair",R28:R40)</f>
        <v>0</v>
      </c>
      <c r="S43" s="576">
        <f ca="1">SUMIF($Z$28:AI40,"tertiair",S28:S40)</f>
        <v>0</v>
      </c>
      <c r="T43" s="576">
        <f ca="1">SUMIF($Z$28:AJ40,"tertiair",T28:T40)</f>
        <v>0</v>
      </c>
      <c r="U43" s="576">
        <f ca="1">SUMIF($Z$28:AK40,"tertiair",U28:U40)</f>
        <v>0</v>
      </c>
      <c r="V43" s="576">
        <f ca="1">SUMIF($Z$28:AL40,"tertiair",V28:V40)</f>
        <v>0</v>
      </c>
      <c r="W43" s="576">
        <f ca="1">SUMIF($Z$28:AM40,"tertiair",W28:W40)</f>
        <v>0</v>
      </c>
      <c r="X43" s="577"/>
      <c r="Y43" s="577"/>
      <c r="Z43" s="578"/>
    </row>
    <row r="44" spans="1:26" s="556" customFormat="1" ht="15.75" thickBot="1">
      <c r="A44" s="579" t="s">
        <v>277</v>
      </c>
      <c r="B44" s="580"/>
      <c r="C44" s="580"/>
      <c r="D44" s="580"/>
      <c r="E44" s="580"/>
      <c r="F44" s="580"/>
      <c r="G44" s="580"/>
      <c r="H44" s="580"/>
      <c r="I44" s="580"/>
      <c r="J44" s="580"/>
      <c r="K44" s="580"/>
      <c r="L44" s="581"/>
      <c r="M44" s="581">
        <f>SUMIF($Z$28:$Z$40,"landbouw",M28:M40)</f>
        <v>58310.7</v>
      </c>
      <c r="N44" s="581">
        <f>SUMIF($Z$28:$Z$40,"landbouw",N28:N40)</f>
        <v>262398.15000000002</v>
      </c>
      <c r="O44" s="581">
        <f>SUMIF($Z$28:$Z$40,"landbouw",O28:O40)</f>
        <v>374854.5</v>
      </c>
      <c r="P44" s="581">
        <f>SUMIF($Z$28:$Z$40,"landbouw",P28:P40)</f>
        <v>664547.14285714284</v>
      </c>
      <c r="Q44" s="581">
        <f>SUMIF($Z$28:$Z$40,"landbouw",Q28:Q40)</f>
        <v>85161.857142857159</v>
      </c>
      <c r="R44" s="581">
        <f>SUMIF($Z$28:$Z$40,"landbouw",R28:R40)</f>
        <v>0</v>
      </c>
      <c r="S44" s="581">
        <f>SUMIF($Z$28:$Z$40,"landbouw",S28:S40)</f>
        <v>0</v>
      </c>
      <c r="T44" s="581">
        <f>SUMIF($Z$28:$Z$40,"landbouw",T28:T40)</f>
        <v>0</v>
      </c>
      <c r="U44" s="581">
        <f>SUMIF($Z$28:$Z$40,"landbouw",U28:U40)</f>
        <v>0</v>
      </c>
      <c r="V44" s="581">
        <f>SUMIF($Z$28:$Z$40,"landbouw",V28:V40)</f>
        <v>0</v>
      </c>
      <c r="W44" s="581">
        <f>SUMIF($Z$28:$Z$40,"landbouw",W28:W40)</f>
        <v>0</v>
      </c>
      <c r="X44" s="582"/>
      <c r="Y44" s="582"/>
      <c r="Z44" s="583"/>
    </row>
    <row r="45" spans="1:26" s="525" customFormat="1" ht="15.75" thickBot="1">
      <c r="A45" s="584"/>
      <c r="B45" s="585"/>
      <c r="C45" s="585"/>
      <c r="D45" s="585"/>
      <c r="E45" s="585"/>
      <c r="F45" s="585"/>
      <c r="G45" s="585"/>
      <c r="H45" s="585"/>
      <c r="I45" s="585"/>
      <c r="J45" s="585"/>
      <c r="K45" s="585"/>
      <c r="L45" s="568"/>
      <c r="M45" s="568"/>
      <c r="N45" s="568"/>
      <c r="O45" s="569"/>
      <c r="P45" s="569"/>
    </row>
    <row r="46" spans="1:26" s="525" customFormat="1" ht="45">
      <c r="A46" s="586" t="s">
        <v>269</v>
      </c>
      <c r="B46" s="615" t="s">
        <v>89</v>
      </c>
      <c r="C46" s="615" t="s">
        <v>90</v>
      </c>
      <c r="D46" s="615"/>
      <c r="E46" s="615"/>
      <c r="F46" s="615"/>
      <c r="G46" s="615" t="s">
        <v>91</v>
      </c>
      <c r="H46" s="615" t="s">
        <v>92</v>
      </c>
      <c r="I46" s="615"/>
      <c r="J46" s="615"/>
      <c r="K46" s="615"/>
      <c r="L46" s="615" t="s">
        <v>93</v>
      </c>
      <c r="M46" s="616" t="s">
        <v>286</v>
      </c>
      <c r="N46" s="616" t="s">
        <v>94</v>
      </c>
      <c r="O46" s="616" t="s">
        <v>95</v>
      </c>
      <c r="P46" s="616" t="s">
        <v>520</v>
      </c>
      <c r="Q46" s="616" t="s">
        <v>96</v>
      </c>
      <c r="R46" s="616" t="s">
        <v>97</v>
      </c>
      <c r="S46" s="616" t="s">
        <v>98</v>
      </c>
      <c r="T46" s="616" t="s">
        <v>99</v>
      </c>
      <c r="U46" s="616" t="s">
        <v>100</v>
      </c>
      <c r="V46" s="616" t="s">
        <v>101</v>
      </c>
      <c r="W46" s="615" t="s">
        <v>102</v>
      </c>
      <c r="X46" s="615" t="s">
        <v>287</v>
      </c>
      <c r="Y46" s="615" t="s">
        <v>103</v>
      </c>
      <c r="Z46" s="617" t="s">
        <v>288</v>
      </c>
    </row>
    <row r="47" spans="1:26" s="587" customFormat="1" ht="63.75" hidden="1">
      <c r="A47" s="573"/>
      <c r="B47" s="762">
        <v>13023</v>
      </c>
      <c r="C47" s="762">
        <v>2330</v>
      </c>
      <c r="D47" s="621"/>
      <c r="E47" s="621"/>
      <c r="F47" s="621"/>
      <c r="G47" s="621" t="s">
        <v>900</v>
      </c>
      <c r="H47" s="621" t="s">
        <v>901</v>
      </c>
      <c r="I47" s="621"/>
      <c r="J47" s="761"/>
      <c r="K47" s="761"/>
      <c r="L47" s="621" t="s">
        <v>898</v>
      </c>
      <c r="M47" s="621">
        <v>366</v>
      </c>
      <c r="N47" s="621">
        <v>1647</v>
      </c>
      <c r="O47" s="621">
        <v>0</v>
      </c>
      <c r="P47" s="621">
        <v>0</v>
      </c>
      <c r="Q47" s="621">
        <v>0</v>
      </c>
      <c r="R47" s="621">
        <v>4705.7142857142862</v>
      </c>
      <c r="S47" s="621">
        <v>0</v>
      </c>
      <c r="T47" s="621">
        <v>0</v>
      </c>
      <c r="U47" s="621">
        <v>0</v>
      </c>
      <c r="V47" s="621">
        <v>0</v>
      </c>
      <c r="W47" s="621">
        <v>0</v>
      </c>
      <c r="X47" s="621">
        <v>1600</v>
      </c>
      <c r="Y47" s="621" t="s">
        <v>49</v>
      </c>
      <c r="Z47" s="622" t="s">
        <v>149</v>
      </c>
    </row>
    <row r="48" spans="1:26" s="556" customFormat="1" hidden="1">
      <c r="A48" s="574" t="s">
        <v>268</v>
      </c>
      <c r="B48" s="575"/>
      <c r="C48" s="575"/>
      <c r="D48" s="575"/>
      <c r="E48" s="575"/>
      <c r="F48" s="575"/>
      <c r="G48" s="575"/>
      <c r="H48" s="575"/>
      <c r="I48" s="575"/>
      <c r="J48" s="575"/>
      <c r="K48" s="575"/>
      <c r="L48" s="576"/>
      <c r="M48" s="576">
        <f>SUM(M47:M47)</f>
        <v>366</v>
      </c>
      <c r="N48" s="576">
        <f>SUM(N47:N47)</f>
        <v>1647</v>
      </c>
      <c r="O48" s="576">
        <f>SUM(O47:O47)</f>
        <v>0</v>
      </c>
      <c r="P48" s="576">
        <f>SUM(P47:P47)</f>
        <v>0</v>
      </c>
      <c r="Q48" s="576">
        <f>SUM(Q47:Q47)</f>
        <v>0</v>
      </c>
      <c r="R48" s="576">
        <f>SUM(R47:R47)</f>
        <v>4705.7142857142862</v>
      </c>
      <c r="S48" s="576">
        <f>SUM(S47:S47)</f>
        <v>0</v>
      </c>
      <c r="T48" s="576">
        <f>SUM(T47:T47)</f>
        <v>0</v>
      </c>
      <c r="U48" s="576">
        <f>SUM(U47:U47)</f>
        <v>0</v>
      </c>
      <c r="V48" s="576">
        <f>SUM(V47:V47)</f>
        <v>0</v>
      </c>
      <c r="W48" s="576">
        <f>SUM(W47:W47)</f>
        <v>0</v>
      </c>
      <c r="X48" s="577"/>
      <c r="Y48" s="577"/>
      <c r="Z48" s="578"/>
    </row>
    <row r="49" spans="1:27" s="556" customFormat="1">
      <c r="A49" s="574" t="s">
        <v>275</v>
      </c>
      <c r="B49" s="575"/>
      <c r="C49" s="575"/>
      <c r="D49" s="575"/>
      <c r="E49" s="575"/>
      <c r="F49" s="575"/>
      <c r="G49" s="575"/>
      <c r="H49" s="575"/>
      <c r="I49" s="575"/>
      <c r="J49" s="575"/>
      <c r="K49" s="575"/>
      <c r="L49" s="576"/>
      <c r="M49" s="576">
        <f>SUMIF($Z$47:$Z$47,"industrie",M47:M47)</f>
        <v>0</v>
      </c>
      <c r="N49" s="576">
        <f>SUMIF($Z$47:$Z$47,"industrie",N47:N47)</f>
        <v>0</v>
      </c>
      <c r="O49" s="576">
        <f>SUMIF($Z$47:$Z$47,"industrie",O47:O47)</f>
        <v>0</v>
      </c>
      <c r="P49" s="576">
        <f>SUMIF($Z$47:$Z$47,"industrie",P47:P47)</f>
        <v>0</v>
      </c>
      <c r="Q49" s="576">
        <f>SUMIF($Z$47:$Z$47,"industrie",Q47:Q47)</f>
        <v>0</v>
      </c>
      <c r="R49" s="576">
        <f>SUMIF($Z$47:$Z$47,"industrie",R47:R47)</f>
        <v>0</v>
      </c>
      <c r="S49" s="576">
        <f>SUMIF($Z$47:$Z$47,"industrie",S47:S47)</f>
        <v>0</v>
      </c>
      <c r="T49" s="576">
        <f>SUMIF($Z$47:$Z$47,"industrie",T47:T47)</f>
        <v>0</v>
      </c>
      <c r="U49" s="576">
        <f>SUMIF($Z$47:$Z$47,"industrie",U47:U47)</f>
        <v>0</v>
      </c>
      <c r="V49" s="576">
        <f>SUMIF($Z$47:$Z$47,"industrie",V47:V47)</f>
        <v>0</v>
      </c>
      <c r="W49" s="576">
        <f>SUMIF($Z$47:$Z$47,"industrie",W47:W47)</f>
        <v>0</v>
      </c>
      <c r="X49" s="577"/>
      <c r="Y49" s="577"/>
      <c r="Z49" s="578"/>
    </row>
    <row r="50" spans="1:27" s="556" customFormat="1">
      <c r="A50" s="574" t="s">
        <v>276</v>
      </c>
      <c r="B50" s="575"/>
      <c r="C50" s="575"/>
      <c r="D50" s="575"/>
      <c r="E50" s="575"/>
      <c r="F50" s="575"/>
      <c r="G50" s="575"/>
      <c r="H50" s="575"/>
      <c r="I50" s="575"/>
      <c r="J50" s="575"/>
      <c r="K50" s="575"/>
      <c r="L50" s="576"/>
      <c r="M50" s="576">
        <f>SUMIF($Z$47:$Z$48,"tertiair",M47:M48)</f>
        <v>366</v>
      </c>
      <c r="N50" s="576">
        <f>SUMIF($Z$47:$Z$48,"tertiair",N47:N48)</f>
        <v>1647</v>
      </c>
      <c r="O50" s="576">
        <f>SUMIF($Z$47:$Z$48,"tertiair",O47:O48)</f>
        <v>0</v>
      </c>
      <c r="P50" s="576">
        <f>SUMIF($Z$47:$Z$48,"tertiair",P47:P48)</f>
        <v>0</v>
      </c>
      <c r="Q50" s="576">
        <f>SUMIF($Z$47:$Z$48,"tertiair",Q47:Q48)</f>
        <v>0</v>
      </c>
      <c r="R50" s="576">
        <f>SUMIF($Z$47:$Z$48,"tertiair",R47:R48)</f>
        <v>4705.7142857142862</v>
      </c>
      <c r="S50" s="576">
        <f>SUMIF($Z$47:$Z$48,"tertiair",S47:S48)</f>
        <v>0</v>
      </c>
      <c r="T50" s="576">
        <f>SUMIF($Z$47:$Z$48,"tertiair",T47:T48)</f>
        <v>0</v>
      </c>
      <c r="U50" s="576">
        <f>SUMIF($Z$47:$Z$48,"tertiair",U47:U48)</f>
        <v>0</v>
      </c>
      <c r="V50" s="576">
        <f>SUMIF($Z$47:$Z$48,"tertiair",V47:V48)</f>
        <v>0</v>
      </c>
      <c r="W50" s="576">
        <f>SUMIF($Z$47:$Z$48,"tertiair",W47:W48)</f>
        <v>0</v>
      </c>
      <c r="X50" s="577"/>
      <c r="Y50" s="577"/>
      <c r="Z50" s="578"/>
    </row>
    <row r="51" spans="1:27" s="556" customFormat="1" ht="15.75" thickBot="1">
      <c r="A51" s="579" t="s">
        <v>277</v>
      </c>
      <c r="B51" s="580"/>
      <c r="C51" s="580"/>
      <c r="D51" s="580"/>
      <c r="E51" s="580"/>
      <c r="F51" s="580"/>
      <c r="G51" s="580"/>
      <c r="H51" s="580"/>
      <c r="I51" s="580"/>
      <c r="J51" s="580"/>
      <c r="K51" s="580"/>
      <c r="L51" s="581"/>
      <c r="M51" s="581">
        <f>SUMIF($Z$47:$Z$49,"landbouw",M47:M49)</f>
        <v>0</v>
      </c>
      <c r="N51" s="581">
        <f>SUMIF($Z$47:$Z$49,"landbouw",N47:N49)</f>
        <v>0</v>
      </c>
      <c r="O51" s="581">
        <f>SUMIF($Z$47:$Z$49,"landbouw",O47:O49)</f>
        <v>0</v>
      </c>
      <c r="P51" s="581">
        <f>SUMIF($Z$47:$Z$49,"landbouw",P47:P49)</f>
        <v>0</v>
      </c>
      <c r="Q51" s="581">
        <f>SUMIF($Z$47:$Z$49,"landbouw",Q47:Q49)</f>
        <v>0</v>
      </c>
      <c r="R51" s="581">
        <f>SUMIF($Z$47:$Z$49,"landbouw",R47:R49)</f>
        <v>0</v>
      </c>
      <c r="S51" s="581">
        <f>SUMIF($Z$47:$Z$49,"landbouw",S47:S49)</f>
        <v>0</v>
      </c>
      <c r="T51" s="581">
        <f>SUMIF($Z$47:$Z$49,"landbouw",T47:T49)</f>
        <v>0</v>
      </c>
      <c r="U51" s="581">
        <f>SUMIF($Z$47:$Z$49,"landbouw",U47:U49)</f>
        <v>0</v>
      </c>
      <c r="V51" s="581">
        <f>SUMIF($Z$47:$Z$49,"landbouw",V47:V49)</f>
        <v>0</v>
      </c>
      <c r="W51" s="581">
        <f>SUMIF($Z$47:$Z$49,"landbouw",W47:W49)</f>
        <v>0</v>
      </c>
      <c r="X51" s="582"/>
      <c r="Y51" s="582"/>
      <c r="Z51" s="583"/>
    </row>
    <row r="52" spans="1:27" s="588" customFormat="1">
      <c r="A52" s="584"/>
      <c r="B52" s="568"/>
      <c r="C52" s="568"/>
      <c r="D52" s="568"/>
      <c r="E52" s="568"/>
      <c r="F52" s="568"/>
      <c r="G52" s="568"/>
      <c r="H52" s="568"/>
      <c r="I52" s="568"/>
      <c r="J52" s="568"/>
      <c r="K52" s="568"/>
      <c r="L52" s="568"/>
      <c r="M52" s="568"/>
      <c r="N52" s="568"/>
      <c r="O52" s="568"/>
      <c r="P52" s="568"/>
      <c r="Q52" s="568"/>
      <c r="R52" s="568"/>
      <c r="S52" s="568"/>
      <c r="T52" s="568"/>
      <c r="U52" s="568"/>
      <c r="V52" s="568"/>
      <c r="W52" s="568"/>
      <c r="X52" s="568"/>
      <c r="Y52" s="568"/>
    </row>
    <row r="53" spans="1:27" s="588" customFormat="1" ht="15.75" thickBot="1">
      <c r="A53" s="584"/>
      <c r="B53" s="568"/>
      <c r="C53" s="568"/>
      <c r="D53" s="568"/>
      <c r="E53" s="568"/>
      <c r="F53" s="568"/>
      <c r="G53" s="568"/>
      <c r="H53" s="568"/>
      <c r="I53" s="568"/>
      <c r="J53" s="568"/>
      <c r="K53" s="568"/>
      <c r="L53" s="568"/>
      <c r="M53" s="568"/>
      <c r="N53" s="568"/>
      <c r="O53" s="568"/>
      <c r="P53" s="568"/>
      <c r="Q53" s="568"/>
      <c r="R53" s="568"/>
      <c r="S53" s="568"/>
      <c r="T53" s="568"/>
      <c r="U53" s="568"/>
      <c r="V53" s="568"/>
      <c r="W53" s="568"/>
      <c r="X53" s="568"/>
      <c r="Y53" s="568"/>
      <c r="Z53" s="568"/>
      <c r="AA53" s="568"/>
    </row>
    <row r="54" spans="1:27">
      <c r="A54" s="589" t="s">
        <v>270</v>
      </c>
      <c r="B54" s="590"/>
      <c r="C54" s="590"/>
      <c r="D54" s="590"/>
      <c r="E54" s="590"/>
      <c r="F54" s="590"/>
      <c r="G54" s="590"/>
      <c r="H54" s="590"/>
      <c r="I54" s="591"/>
      <c r="J54" s="592"/>
      <c r="K54" s="592"/>
      <c r="L54" s="593"/>
      <c r="M54" s="593"/>
      <c r="N54" s="593"/>
      <c r="O54" s="593"/>
      <c r="P54" s="593"/>
    </row>
    <row r="55" spans="1:27">
      <c r="A55" s="595"/>
      <c r="B55" s="585"/>
      <c r="C55" s="585"/>
      <c r="D55" s="585"/>
      <c r="E55" s="585"/>
      <c r="F55" s="585"/>
      <c r="G55" s="585"/>
      <c r="H55" s="585"/>
      <c r="I55" s="596"/>
      <c r="J55" s="585"/>
      <c r="K55" s="585"/>
      <c r="L55" s="593"/>
      <c r="M55" s="593"/>
      <c r="N55" s="593"/>
      <c r="O55" s="593"/>
      <c r="P55" s="593"/>
    </row>
    <row r="56" spans="1:27">
      <c r="A56" s="597"/>
      <c r="B56" s="598" t="s">
        <v>271</v>
      </c>
      <c r="C56" s="598" t="s">
        <v>272</v>
      </c>
      <c r="D56" s="598"/>
      <c r="E56" s="598"/>
      <c r="F56" s="598"/>
      <c r="G56" s="598"/>
      <c r="H56" s="598"/>
      <c r="I56" s="599"/>
      <c r="J56" s="598"/>
      <c r="K56" s="598"/>
      <c r="L56" s="598"/>
      <c r="M56" s="598"/>
      <c r="N56" s="598"/>
      <c r="O56" s="598"/>
      <c r="P56" s="593"/>
    </row>
    <row r="57" spans="1:27">
      <c r="A57" s="595" t="s">
        <v>268</v>
      </c>
      <c r="B57" s="600">
        <f>IF(ISERROR(O41/(O41+N41)),0,O41/(O41+N41))</f>
        <v>0.58823529411764708</v>
      </c>
      <c r="C57" s="601">
        <f>IF(ISERROR(N41/(O41+N41)),0,N41/(N41+O41))</f>
        <v>0.41176470588235298</v>
      </c>
      <c r="D57" s="568"/>
      <c r="E57" s="568"/>
      <c r="F57" s="568"/>
      <c r="G57" s="568"/>
      <c r="H57" s="568"/>
      <c r="I57" s="602"/>
      <c r="J57" s="568"/>
      <c r="K57" s="568"/>
      <c r="L57" s="603"/>
      <c r="M57" s="603"/>
      <c r="N57" s="603"/>
      <c r="O57" s="603"/>
      <c r="P57" s="593"/>
    </row>
    <row r="58" spans="1:27">
      <c r="A58" s="595"/>
      <c r="B58" s="604"/>
      <c r="C58" s="604"/>
      <c r="D58" s="604"/>
      <c r="E58" s="604"/>
      <c r="F58" s="604"/>
      <c r="G58" s="604"/>
      <c r="H58" s="604"/>
      <c r="I58" s="605"/>
      <c r="J58" s="604"/>
      <c r="K58" s="604"/>
      <c r="L58" s="606"/>
      <c r="M58" s="606"/>
      <c r="N58" s="606"/>
      <c r="O58" s="606"/>
      <c r="P58" s="593"/>
    </row>
    <row r="59" spans="1:27" ht="30">
      <c r="A59" s="607"/>
      <c r="B59" s="608" t="s">
        <v>520</v>
      </c>
      <c r="C59" s="608" t="s">
        <v>96</v>
      </c>
      <c r="D59" s="608" t="s">
        <v>97</v>
      </c>
      <c r="E59" s="608" t="s">
        <v>98</v>
      </c>
      <c r="F59" s="608" t="s">
        <v>99</v>
      </c>
      <c r="G59" s="608" t="s">
        <v>100</v>
      </c>
      <c r="H59" s="608" t="s">
        <v>101</v>
      </c>
      <c r="I59" s="609" t="s">
        <v>102</v>
      </c>
      <c r="J59" s="598"/>
      <c r="K59" s="598"/>
      <c r="L59" s="606"/>
      <c r="M59" s="606"/>
      <c r="N59" s="606"/>
      <c r="O59" s="593"/>
      <c r="P59" s="593"/>
    </row>
    <row r="60" spans="1:27">
      <c r="A60" s="597" t="s">
        <v>273</v>
      </c>
      <c r="B60" s="610">
        <f t="shared" ref="B60:I60" si="2">$C$57*P41</f>
        <v>273637.05882352946</v>
      </c>
      <c r="C60" s="610">
        <f t="shared" si="2"/>
        <v>35066.647058823539</v>
      </c>
      <c r="D60" s="610">
        <f t="shared" si="2"/>
        <v>0</v>
      </c>
      <c r="E60" s="610">
        <f t="shared" si="2"/>
        <v>0</v>
      </c>
      <c r="F60" s="610">
        <f t="shared" si="2"/>
        <v>0</v>
      </c>
      <c r="G60" s="610">
        <f t="shared" si="2"/>
        <v>0</v>
      </c>
      <c r="H60" s="610">
        <f t="shared" si="2"/>
        <v>0</v>
      </c>
      <c r="I60" s="611">
        <f t="shared" si="2"/>
        <v>0</v>
      </c>
      <c r="J60" s="568"/>
      <c r="K60" s="568"/>
      <c r="L60" s="606"/>
      <c r="M60" s="606"/>
      <c r="N60" s="606"/>
      <c r="O60" s="593"/>
      <c r="P60" s="593"/>
    </row>
    <row r="61" spans="1:27" ht="15.75" thickBot="1">
      <c r="A61" s="612" t="s">
        <v>274</v>
      </c>
      <c r="B61" s="613">
        <f t="shared" ref="B61:I61" si="3">$B$57*P41</f>
        <v>390910.08403361344</v>
      </c>
      <c r="C61" s="613">
        <f t="shared" si="3"/>
        <v>50095.210084033628</v>
      </c>
      <c r="D61" s="613">
        <f t="shared" si="3"/>
        <v>0</v>
      </c>
      <c r="E61" s="613">
        <f t="shared" si="3"/>
        <v>0</v>
      </c>
      <c r="F61" s="613">
        <f t="shared" si="3"/>
        <v>0</v>
      </c>
      <c r="G61" s="613">
        <f t="shared" si="3"/>
        <v>0</v>
      </c>
      <c r="H61" s="613">
        <f t="shared" si="3"/>
        <v>0</v>
      </c>
      <c r="I61" s="614">
        <f t="shared" si="3"/>
        <v>0</v>
      </c>
      <c r="J61" s="568"/>
      <c r="K61" s="568"/>
      <c r="L61" s="606"/>
      <c r="M61" s="606"/>
      <c r="N61" s="606"/>
      <c r="O61" s="593"/>
      <c r="P61" s="593"/>
    </row>
    <row r="62" spans="1:27">
      <c r="J62" s="554"/>
      <c r="K62" s="554"/>
      <c r="L62" s="554"/>
      <c r="M62" s="554"/>
      <c r="N62" s="554"/>
    </row>
    <row r="63" spans="1:27">
      <c r="J63" s="554"/>
      <c r="K63" s="554"/>
      <c r="L63" s="554"/>
      <c r="M63" s="554"/>
      <c r="N63"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841</v>
      </c>
      <c r="B2" s="1055" t="s">
        <v>868</v>
      </c>
      <c r="C2" s="1054" t="s">
        <v>636</v>
      </c>
      <c r="D2" s="1054" t="s">
        <v>685</v>
      </c>
      <c r="E2" s="341"/>
      <c r="F2" s="338" t="s">
        <v>688</v>
      </c>
      <c r="G2" s="338" t="s">
        <v>695</v>
      </c>
      <c r="H2" s="339" t="s">
        <v>696</v>
      </c>
    </row>
    <row r="3" spans="1:8" s="11" customFormat="1">
      <c r="A3" s="1054" t="s">
        <v>877</v>
      </c>
      <c r="B3" s="1055" t="s">
        <v>878</v>
      </c>
      <c r="C3" s="1054" t="s">
        <v>186</v>
      </c>
      <c r="D3" s="1056" t="s">
        <v>879</v>
      </c>
      <c r="E3" s="341"/>
      <c r="F3" s="862" t="s">
        <v>683</v>
      </c>
      <c r="G3" s="862" t="s">
        <v>682</v>
      </c>
      <c r="H3" s="862" t="s">
        <v>684</v>
      </c>
    </row>
    <row r="4" spans="1:8" s="11" customFormat="1">
      <c r="A4" s="340" t="s">
        <v>391</v>
      </c>
      <c r="B4" s="766">
        <v>2018</v>
      </c>
      <c r="C4" s="340" t="s">
        <v>391</v>
      </c>
      <c r="D4" s="340" t="s">
        <v>691</v>
      </c>
      <c r="E4" s="341"/>
      <c r="F4" s="862" t="s">
        <v>679</v>
      </c>
      <c r="G4" s="862" t="s">
        <v>680</v>
      </c>
      <c r="H4" s="862" t="s">
        <v>681</v>
      </c>
    </row>
    <row r="5" spans="1:8">
      <c r="A5" s="335" t="s">
        <v>385</v>
      </c>
      <c r="B5" s="860" t="s">
        <v>710</v>
      </c>
      <c r="C5" s="335" t="s">
        <v>385</v>
      </c>
      <c r="D5" s="335" t="s">
        <v>692</v>
      </c>
      <c r="E5" s="337"/>
      <c r="F5" s="338" t="s">
        <v>386</v>
      </c>
      <c r="G5" s="338" t="s">
        <v>387</v>
      </c>
      <c r="H5" s="339" t="s">
        <v>388</v>
      </c>
    </row>
    <row r="6" spans="1:8">
      <c r="A6" s="335" t="s">
        <v>389</v>
      </c>
      <c r="B6" s="860" t="s">
        <v>739</v>
      </c>
      <c r="C6" s="335" t="s">
        <v>389</v>
      </c>
      <c r="D6" s="335" t="s">
        <v>693</v>
      </c>
      <c r="E6" s="337"/>
      <c r="F6" s="338" t="s">
        <v>665</v>
      </c>
      <c r="G6" s="338" t="s">
        <v>667</v>
      </c>
      <c r="H6" s="339" t="s">
        <v>666</v>
      </c>
    </row>
    <row r="7" spans="1:8">
      <c r="A7" s="340" t="s">
        <v>415</v>
      </c>
      <c r="B7" s="343" t="s">
        <v>416</v>
      </c>
      <c r="C7" s="340" t="s">
        <v>418</v>
      </c>
      <c r="D7" s="340" t="s">
        <v>414</v>
      </c>
      <c r="E7" s="337" t="s">
        <v>417</v>
      </c>
      <c r="F7" s="338"/>
      <c r="G7" s="338"/>
      <c r="H7" s="339"/>
    </row>
    <row r="8" spans="1:8" s="854" customFormat="1">
      <c r="A8" s="340" t="s">
        <v>686</v>
      </c>
      <c r="B8" s="766">
        <v>2017</v>
      </c>
      <c r="C8" s="340" t="s">
        <v>391</v>
      </c>
      <c r="D8" s="340" t="s">
        <v>869</v>
      </c>
      <c r="E8" s="337" t="s">
        <v>687</v>
      </c>
      <c r="F8" s="338"/>
      <c r="G8" s="338"/>
      <c r="H8" s="339"/>
    </row>
    <row r="9" spans="1:8" s="854" customFormat="1">
      <c r="A9" s="340" t="s">
        <v>699</v>
      </c>
      <c r="B9" s="766">
        <v>2017</v>
      </c>
      <c r="C9" s="340" t="s">
        <v>701</v>
      </c>
      <c r="D9" s="340" t="s">
        <v>700</v>
      </c>
      <c r="E9" s="342" t="s">
        <v>698</v>
      </c>
      <c r="F9" s="338"/>
      <c r="G9" s="338"/>
      <c r="H9" s="339"/>
    </row>
    <row r="10" spans="1:8" s="11" customFormat="1">
      <c r="A10" s="340" t="s">
        <v>613</v>
      </c>
      <c r="B10" s="893" t="s">
        <v>727</v>
      </c>
      <c r="C10" s="340" t="s">
        <v>614</v>
      </c>
      <c r="D10" s="340" t="s">
        <v>615</v>
      </c>
      <c r="E10" s="341"/>
      <c r="F10" s="862" t="s">
        <v>668</v>
      </c>
      <c r="G10" s="862" t="s">
        <v>669</v>
      </c>
      <c r="H10" s="339" t="s">
        <v>670</v>
      </c>
    </row>
    <row r="11" spans="1:8">
      <c r="A11" s="335" t="s">
        <v>673</v>
      </c>
      <c r="B11" s="860" t="s">
        <v>738</v>
      </c>
      <c r="C11" s="335" t="s">
        <v>674</v>
      </c>
      <c r="D11" s="335" t="s">
        <v>694</v>
      </c>
      <c r="E11" s="664"/>
      <c r="F11" s="338" t="s">
        <v>677</v>
      </c>
      <c r="G11" s="338" t="s">
        <v>675</v>
      </c>
      <c r="H11" s="339" t="s">
        <v>676</v>
      </c>
    </row>
    <row r="12" spans="1:8" s="854" customFormat="1">
      <c r="A12" s="340" t="s">
        <v>690</v>
      </c>
      <c r="B12" s="766">
        <v>2017</v>
      </c>
      <c r="C12" s="340" t="s">
        <v>409</v>
      </c>
      <c r="D12" s="340" t="s">
        <v>689</v>
      </c>
      <c r="E12" s="337"/>
      <c r="F12" s="338" t="s">
        <v>688</v>
      </c>
      <c r="G12" s="338" t="s">
        <v>695</v>
      </c>
      <c r="H12" s="339" t="s">
        <v>696</v>
      </c>
    </row>
    <row r="13" spans="1:8" s="10" customFormat="1">
      <c r="A13" s="340" t="s">
        <v>393</v>
      </c>
      <c r="B13" s="336" t="s">
        <v>408</v>
      </c>
      <c r="C13" s="335"/>
      <c r="D13" s="344" t="s">
        <v>407</v>
      </c>
      <c r="E13" s="337"/>
      <c r="F13" s="338"/>
      <c r="G13" s="338"/>
      <c r="H13" s="339"/>
    </row>
    <row r="14" spans="1:8">
      <c r="A14" s="335" t="s">
        <v>381</v>
      </c>
      <c r="B14" s="336" t="s">
        <v>710</v>
      </c>
      <c r="C14" s="335" t="s">
        <v>661</v>
      </c>
      <c r="D14" s="335" t="s">
        <v>711</v>
      </c>
      <c r="E14" s="342" t="s">
        <v>382</v>
      </c>
      <c r="F14" s="338" t="s">
        <v>383</v>
      </c>
      <c r="G14" s="338" t="s">
        <v>756</v>
      </c>
      <c r="H14" s="338" t="s">
        <v>384</v>
      </c>
    </row>
    <row r="15" spans="1:8">
      <c r="A15" s="335" t="s">
        <v>392</v>
      </c>
      <c r="B15" s="860" t="s">
        <v>678</v>
      </c>
      <c r="C15" s="335" t="s">
        <v>392</v>
      </c>
      <c r="D15" s="335" t="s">
        <v>406</v>
      </c>
      <c r="E15" s="337"/>
      <c r="F15" s="338" t="s">
        <v>746</v>
      </c>
      <c r="G15" s="868" t="s">
        <v>755</v>
      </c>
      <c r="H15" s="868" t="s">
        <v>754</v>
      </c>
    </row>
    <row r="16" spans="1:8" s="861" customFormat="1">
      <c r="A16" s="864" t="s">
        <v>492</v>
      </c>
      <c r="B16" s="865" t="s">
        <v>366</v>
      </c>
      <c r="C16" s="864" t="s">
        <v>364</v>
      </c>
      <c r="D16" s="866" t="s">
        <v>365</v>
      </c>
      <c r="E16" s="867" t="s">
        <v>367</v>
      </c>
      <c r="F16" s="338" t="s">
        <v>663</v>
      </c>
      <c r="G16" s="868" t="s">
        <v>671</v>
      </c>
      <c r="H16" s="339" t="s">
        <v>672</v>
      </c>
    </row>
    <row r="17" spans="1:8" s="861" customFormat="1">
      <c r="A17" s="864" t="s">
        <v>492</v>
      </c>
      <c r="B17" s="865" t="s">
        <v>739</v>
      </c>
      <c r="C17" s="864" t="s">
        <v>740</v>
      </c>
      <c r="D17" s="866" t="s">
        <v>741</v>
      </c>
      <c r="E17" s="867"/>
      <c r="F17" s="338" t="s">
        <v>663</v>
      </c>
      <c r="G17" s="868" t="s">
        <v>671</v>
      </c>
      <c r="H17" s="339" t="s">
        <v>672</v>
      </c>
    </row>
    <row r="18" spans="1:8" s="11" customFormat="1">
      <c r="A18" s="340" t="s">
        <v>491</v>
      </c>
      <c r="B18" s="865" t="s">
        <v>722</v>
      </c>
      <c r="C18" s="340" t="s">
        <v>409</v>
      </c>
      <c r="D18" s="340" t="s">
        <v>721</v>
      </c>
      <c r="E18" s="341" t="s">
        <v>664</v>
      </c>
      <c r="F18" s="338" t="s">
        <v>663</v>
      </c>
      <c r="G18" s="868" t="s">
        <v>671</v>
      </c>
      <c r="H18" s="339" t="s">
        <v>672</v>
      </c>
    </row>
    <row r="19" spans="1:8">
      <c r="A19" s="340" t="s">
        <v>186</v>
      </c>
      <c r="B19" s="766" t="s">
        <v>710</v>
      </c>
      <c r="C19" s="340" t="s">
        <v>410</v>
      </c>
      <c r="D19" s="340" t="s">
        <v>662</v>
      </c>
      <c r="E19" s="337"/>
      <c r="F19" s="338" t="s">
        <v>411</v>
      </c>
      <c r="G19" s="338" t="s">
        <v>412</v>
      </c>
      <c r="H19" s="339" t="s">
        <v>413</v>
      </c>
    </row>
    <row r="20" spans="1:8" s="11" customFormat="1">
      <c r="A20" s="1049" t="s">
        <v>866</v>
      </c>
      <c r="B20" s="1050" t="s">
        <v>865</v>
      </c>
      <c r="C20" s="1049" t="s">
        <v>186</v>
      </c>
      <c r="D20" s="1049" t="s">
        <v>867</v>
      </c>
      <c r="E20" s="341"/>
      <c r="F20" s="862" t="s">
        <v>683</v>
      </c>
      <c r="G20" s="862" t="s">
        <v>682</v>
      </c>
      <c r="H20" s="862" t="s">
        <v>684</v>
      </c>
    </row>
    <row r="21" spans="1:8" s="854" customFormat="1">
      <c r="A21" s="340" t="s">
        <v>392</v>
      </c>
      <c r="B21" s="766" t="s">
        <v>727</v>
      </c>
      <c r="C21" s="340" t="s">
        <v>392</v>
      </c>
      <c r="D21" s="340" t="s">
        <v>742</v>
      </c>
      <c r="E21" s="337"/>
      <c r="F21" s="338" t="s">
        <v>744</v>
      </c>
      <c r="G21" s="862" t="s">
        <v>753</v>
      </c>
      <c r="H21" s="863" t="s">
        <v>752</v>
      </c>
    </row>
    <row r="22" spans="1:8" s="854" customFormat="1">
      <c r="A22" s="340" t="s">
        <v>392</v>
      </c>
      <c r="B22" s="766" t="s">
        <v>739</v>
      </c>
      <c r="C22" s="340" t="s">
        <v>392</v>
      </c>
      <c r="D22" s="340" t="s">
        <v>743</v>
      </c>
      <c r="E22" s="337"/>
      <c r="F22" s="338" t="s">
        <v>745</v>
      </c>
      <c r="G22" s="862" t="s">
        <v>748</v>
      </c>
      <c r="H22" s="862" t="s">
        <v>747</v>
      </c>
    </row>
    <row r="23" spans="1:8" s="11" customFormat="1">
      <c r="A23" s="340" t="s">
        <v>392</v>
      </c>
      <c r="B23" s="893" t="s">
        <v>728</v>
      </c>
      <c r="C23" s="340" t="s">
        <v>392</v>
      </c>
      <c r="D23" s="340" t="s">
        <v>638</v>
      </c>
      <c r="E23" s="341"/>
      <c r="F23" s="862" t="s">
        <v>751</v>
      </c>
      <c r="G23" s="862" t="s">
        <v>750</v>
      </c>
      <c r="H23" s="862" t="s">
        <v>749</v>
      </c>
    </row>
    <row r="24" spans="1:8" s="11" customFormat="1">
      <c r="A24" s="340" t="s">
        <v>392</v>
      </c>
      <c r="B24" s="893" t="s">
        <v>728</v>
      </c>
      <c r="C24" s="340" t="s">
        <v>392</v>
      </c>
      <c r="D24" s="894" t="s">
        <v>618</v>
      </c>
      <c r="E24" s="341"/>
      <c r="F24" s="862" t="s">
        <v>751</v>
      </c>
      <c r="G24" s="862" t="s">
        <v>750</v>
      </c>
      <c r="H24" s="863" t="s">
        <v>749</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603</v>
      </c>
      <c r="B1" s="869" t="s">
        <v>604</v>
      </c>
      <c r="C1" s="869" t="s">
        <v>606</v>
      </c>
      <c r="D1" s="869" t="s">
        <v>605</v>
      </c>
    </row>
    <row r="2" spans="1:4" s="855" customFormat="1">
      <c r="A2" s="855" t="s">
        <v>703</v>
      </c>
      <c r="B2" s="879">
        <v>43172</v>
      </c>
      <c r="C2" s="855" t="s">
        <v>713</v>
      </c>
      <c r="D2" s="880" t="s">
        <v>712</v>
      </c>
    </row>
    <row r="3" spans="1:4" s="855" customFormat="1">
      <c r="A3" s="855" t="s">
        <v>703</v>
      </c>
      <c r="B3" s="879">
        <v>43172</v>
      </c>
      <c r="C3" s="855" t="s">
        <v>714</v>
      </c>
      <c r="D3" s="880" t="s">
        <v>715</v>
      </c>
    </row>
    <row r="4" spans="1:4" s="855" customFormat="1">
      <c r="A4" s="855" t="s">
        <v>703</v>
      </c>
      <c r="B4" s="879">
        <v>43278</v>
      </c>
      <c r="C4" s="855" t="s">
        <v>724</v>
      </c>
      <c r="D4" s="880"/>
    </row>
    <row r="5" spans="1:4" s="855" customFormat="1">
      <c r="A5" s="855" t="s">
        <v>703</v>
      </c>
      <c r="B5" s="879">
        <v>42525</v>
      </c>
      <c r="C5" s="855" t="s">
        <v>725</v>
      </c>
      <c r="D5" s="891"/>
    </row>
    <row r="6" spans="1:4" s="855" customFormat="1">
      <c r="A6" s="855" t="s">
        <v>703</v>
      </c>
      <c r="B6" s="895">
        <v>43266</v>
      </c>
      <c r="C6" s="854" t="s">
        <v>734</v>
      </c>
      <c r="D6" s="896" t="s">
        <v>730</v>
      </c>
    </row>
    <row r="7" spans="1:4" s="855" customFormat="1">
      <c r="A7" s="855" t="s">
        <v>703</v>
      </c>
      <c r="B7" s="895">
        <v>43266</v>
      </c>
      <c r="C7" s="854" t="s">
        <v>735</v>
      </c>
      <c r="D7" s="896" t="s">
        <v>731</v>
      </c>
    </row>
    <row r="8" spans="1:4" s="855" customFormat="1">
      <c r="A8" s="855" t="s">
        <v>703</v>
      </c>
      <c r="B8" s="895">
        <v>43266</v>
      </c>
      <c r="C8" s="854" t="s">
        <v>736</v>
      </c>
      <c r="D8" s="896" t="s">
        <v>732</v>
      </c>
    </row>
    <row r="9" spans="1:4" s="7" customFormat="1">
      <c r="A9" s="855" t="s">
        <v>703</v>
      </c>
      <c r="B9" s="895">
        <v>43266</v>
      </c>
      <c r="C9" s="854" t="s">
        <v>737</v>
      </c>
      <c r="D9" s="896" t="s">
        <v>733</v>
      </c>
    </row>
    <row r="10" spans="1:4" s="7" customFormat="1">
      <c r="A10" s="855" t="s">
        <v>703</v>
      </c>
      <c r="B10" s="879">
        <v>43278</v>
      </c>
      <c r="C10" s="879" t="s">
        <v>757</v>
      </c>
      <c r="D10" s="896"/>
    </row>
    <row r="11" spans="1:4" s="7" customFormat="1">
      <c r="A11" s="855" t="s">
        <v>763</v>
      </c>
      <c r="B11" s="879">
        <v>43347</v>
      </c>
      <c r="C11" s="879" t="s">
        <v>764</v>
      </c>
      <c r="D11" s="899"/>
    </row>
    <row r="12" spans="1:4" s="7" customFormat="1">
      <c r="A12" s="855" t="s">
        <v>809</v>
      </c>
      <c r="B12" s="879">
        <v>43573</v>
      </c>
      <c r="C12" s="879" t="s">
        <v>810</v>
      </c>
      <c r="D12" s="899"/>
    </row>
    <row r="13" spans="1:4" s="7" customFormat="1">
      <c r="A13" s="855" t="s">
        <v>809</v>
      </c>
      <c r="B13" s="879">
        <v>43599</v>
      </c>
      <c r="C13" s="879" t="s">
        <v>811</v>
      </c>
      <c r="D13" s="899" t="s">
        <v>812</v>
      </c>
    </row>
    <row r="14" spans="1:4" s="7" customFormat="1">
      <c r="A14" s="855" t="s">
        <v>834</v>
      </c>
      <c r="B14" s="879">
        <v>43678</v>
      </c>
      <c r="C14" s="879" t="s">
        <v>835</v>
      </c>
      <c r="D14" s="899" t="s">
        <v>836</v>
      </c>
    </row>
    <row r="15" spans="1:4" s="7" customFormat="1">
      <c r="A15" s="1033" t="s">
        <v>840</v>
      </c>
      <c r="B15" s="1042">
        <v>43930</v>
      </c>
      <c r="C15" s="1038" t="s">
        <v>837</v>
      </c>
      <c r="D15" s="1041" t="s">
        <v>838</v>
      </c>
    </row>
    <row r="16" spans="1:4" s="7" customFormat="1">
      <c r="A16" s="1039" t="s">
        <v>840</v>
      </c>
      <c r="B16" s="1042">
        <v>43930</v>
      </c>
      <c r="C16" s="1038" t="s">
        <v>839</v>
      </c>
      <c r="D16" s="1041" t="s">
        <v>838</v>
      </c>
    </row>
    <row r="17" spans="1:4" s="7" customFormat="1">
      <c r="A17" s="1039" t="s">
        <v>840</v>
      </c>
      <c r="B17" s="1042">
        <v>43943</v>
      </c>
      <c r="C17" s="1038" t="s">
        <v>842</v>
      </c>
      <c r="D17" s="1040" t="s">
        <v>730</v>
      </c>
    </row>
    <row r="18" spans="1:4" s="7" customFormat="1">
      <c r="A18" s="1039" t="s">
        <v>840</v>
      </c>
      <c r="B18" s="1042">
        <v>43943</v>
      </c>
      <c r="C18" s="1038" t="s">
        <v>843</v>
      </c>
      <c r="D18" s="1041" t="s">
        <v>731</v>
      </c>
    </row>
    <row r="19" spans="1:4" s="7" customFormat="1">
      <c r="A19" s="1039" t="s">
        <v>840</v>
      </c>
      <c r="B19" s="1042">
        <v>43943</v>
      </c>
      <c r="C19" s="1038" t="s">
        <v>844</v>
      </c>
      <c r="D19" s="1041" t="s">
        <v>732</v>
      </c>
    </row>
    <row r="20" spans="1:4" s="7" customFormat="1">
      <c r="A20" s="1039" t="s">
        <v>840</v>
      </c>
      <c r="B20" s="1042">
        <v>43943</v>
      </c>
      <c r="C20" s="1038" t="s">
        <v>845</v>
      </c>
      <c r="D20" s="1041" t="s">
        <v>846</v>
      </c>
    </row>
    <row r="21" spans="1:4">
      <c r="A21" s="1039" t="s">
        <v>840</v>
      </c>
      <c r="B21" s="1042">
        <v>43951</v>
      </c>
      <c r="C21" t="s">
        <v>847</v>
      </c>
      <c r="D21" s="1041" t="s">
        <v>848</v>
      </c>
    </row>
    <row r="22" spans="1:4">
      <c r="A22" s="1039" t="s">
        <v>840</v>
      </c>
      <c r="B22" s="1042">
        <v>43965</v>
      </c>
      <c r="C22" t="s">
        <v>849</v>
      </c>
      <c r="D22" s="1040" t="s">
        <v>850</v>
      </c>
    </row>
    <row r="23" spans="1:4">
      <c r="A23" s="1039" t="s">
        <v>853</v>
      </c>
      <c r="B23" s="1042">
        <v>44315</v>
      </c>
      <c r="C23" t="s">
        <v>854</v>
      </c>
      <c r="D23" s="880" t="s">
        <v>712</v>
      </c>
    </row>
    <row r="24" spans="1:4">
      <c r="A24" s="1051" t="s">
        <v>853</v>
      </c>
      <c r="B24" s="1052">
        <v>44326</v>
      </c>
      <c r="C24" t="s">
        <v>870</v>
      </c>
      <c r="D24" s="1053" t="s">
        <v>874</v>
      </c>
    </row>
    <row r="25" spans="1:4">
      <c r="A25" s="1051" t="s">
        <v>853</v>
      </c>
      <c r="B25" s="1052">
        <v>44326</v>
      </c>
      <c r="C25" t="s">
        <v>871</v>
      </c>
      <c r="D25" s="1053" t="s">
        <v>875</v>
      </c>
    </row>
    <row r="26" spans="1:4">
      <c r="A26" s="1051" t="s">
        <v>853</v>
      </c>
      <c r="B26" s="1052">
        <v>44326</v>
      </c>
      <c r="C26" t="s">
        <v>872</v>
      </c>
      <c r="D26" s="1053" t="s">
        <v>731</v>
      </c>
    </row>
    <row r="27" spans="1:4">
      <c r="A27" s="1051" t="s">
        <v>853</v>
      </c>
      <c r="B27" s="1052">
        <v>44326</v>
      </c>
      <c r="C27" t="s">
        <v>873</v>
      </c>
      <c r="D27" s="1053" t="s">
        <v>876</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2021-11-11T12:46:06Z</dcterms:modified>
</cp:coreProperties>
</file>