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08E10B6-4F14-40A6-A524-CDBFCC34068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B8" i="18"/>
  <c r="B46" i="18"/>
  <c r="E50" i="18" s="1"/>
  <c r="E17"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D8"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<sst xmlns="http://schemas.openxmlformats.org/spreadsheetml/2006/main" count="2479" uniqueCount="903">
  <si>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</si>
  <si>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</si>
  <si>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</si>
  <si>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</si>
  <si>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</si>
  <si>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</si>
  <si>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</si>
  <si>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</si>
  <si>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</si>
  <si>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</si>
  <si>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</si>
  <si>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</si>
  <si>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</si>
  <si>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</si>
  <si>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</si>
  <si>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</si>
  <si>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</si>
  <si>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</si>
  <si>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</si>
  <si>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</si>
  <si>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</si>
  <si>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</si>
  <si>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</si>
  <si>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</si>
  <si>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</si>
  <si>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</si>
  <si>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</si>
  <si>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</si>
  <si>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</si>
  <si>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</si>
  <si>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</si>
  <si>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</si>
  <si>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</si>
  <si>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</si>
  <si>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</si>
  <si>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</si>
  <si>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</si>
  <si>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</si>
  <si>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</si>
  <si>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</si>
  <si>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</si>
  <si>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</si>
  <si>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</si>
  <si>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</si>
  <si>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</si>
  <si>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</si>
  <si>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</si>
  <si>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</si>
  <si>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</si>
  <si>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</si>
  <si>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</si>
  <si>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</si>
  <si>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</si>
  <si>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</si>
  <si>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</si>
  <si>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</si>
  <si>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</si>
  <si>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</si>
  <si>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</si>
  <si>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</si>
  <si>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</si>
  <si>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</si>
  <si>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</si>
  <si>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</si>
  <si>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</si>
  <si>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</si>
  <si>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</si>
  <si>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</si>
  <si>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</si>
  <si>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</si>
  <si>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</si>
  <si>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</si>
  <si>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</si>
  <si>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</si>
  <si>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</si>
  <si>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</si>
  <si>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</si>
  <si>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</si>
  <si>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</si>
  <si>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</si>
  <si>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</si>
  <si>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</si>
  <si>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</si>
  <si>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</si>
  <si>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</si>
  <si>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</si>
  <si>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</si>
  <si>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</si>
  <si>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</si>
  <si>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</si>
  <si>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</si>
  <si>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</si>
  <si>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</si>
  <si>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</si>
  <si>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</si>
  <si>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</si>
  <si>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</si>
  <si>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</si>
  <si>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</si>
  <si>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</si>
  <si>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</si>
  <si>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</si>
  <si>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</si>
  <si>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</si>
  <si>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</si>
  <si>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</si>
  <si>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</si>
  <si>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</si>
  <si>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</si>
  <si>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</si>
  <si>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</si>
  <si>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</si>
  <si>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</si>
  <si>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</si>
  <si>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</si>
  <si>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</si>
  <si>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</si>
  <si>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</si>
  <si>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</si>
  <si>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</si>
  <si>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</si>
  <si>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</si>
  <si>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</si>
  <si>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</si>
  <si>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</si>
  <si>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</si>
  <si>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</si>
  <si>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</si>
  <si>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</si>
  <si>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</si>
  <si>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</si>
  <si>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</si>
  <si>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</si>
  <si>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</si>
  <si>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</si>
  <si>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</si>
  <si>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</si>
  <si>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</si>
  <si>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</si>
  <si>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</si>
  <si>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</si>
  <si>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</si>
  <si>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</si>
  <si>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</si>
  <si>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</si>
  <si>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</si>
  <si>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</si>
  <si>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</si>
  <si>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</si>
  <si>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</si>
  <si>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</si>
  <si>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</si>
  <si>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</si>
  <si>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</si>
  <si>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</si>
  <si>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</si>
  <si>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</si>
  <si>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</si>
  <si>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</si>
  <si>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</si>
  <si>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</si>
  <si>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</si>
  <si>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</si>
  <si>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</si>
  <si>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</si>
  <si>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</si>
  <si>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</si>
  <si>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</si>
  <si>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</si>
  <si>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</si>
  <si>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</si>
  <si>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</si>
  <si>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</si>
  <si>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</si>
  <si>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</si>
  <si>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</si>
  <si>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</si>
  <si>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</si>
  <si>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</si>
  <si>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</si>
  <si>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</si>
  <si>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</si>
  <si>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</si>
  <si>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</si>
  <si>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</si>
  <si>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</si>
  <si>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</si>
  <si>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</si>
  <si>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</si>
  <si>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</si>
  <si>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</si>
  <si>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</si>
  <si>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</si>
  <si>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</si>
  <si>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</si>
  <si>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</si>
  <si>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</si>
  <si>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</si>
  <si>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</si>
  <si>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</si>
  <si>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</si>
  <si>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</si>
  <si>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</si>
  <si>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</si>
  <si>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</si>
  <si>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</si>
  <si>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</si>
  <si>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</si>
  <si>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</si>
  <si>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</si>
  <si>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</si>
  <si>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</si>
  <si>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</si>
  <si>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</si>
  <si>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</si>
  <si>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</si>
  <si>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</si>
  <si>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</si>
  <si>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</si>
  <si>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</si>
  <si>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</si>
  <si>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</si>
  <si>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</si>
  <si>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</si>
  <si>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</si>
  <si>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</si>
  <si>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</si>
  <si>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</si>
  <si>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</si>
  <si>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</si>
  <si>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</si>
  <si>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</si>
  <si>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</si>
  <si>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</si>
  <si>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</si>
  <si>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</si>
  <si>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</si>
  <si>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</si>
  <si>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</si>
  <si>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</si>
  <si>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</si>
  <si>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</si>
  <si>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</si>
  <si>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</si>
  <si>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</si>
  <si>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</si>
  <si>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</si>
  <si>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</si>
  <si>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</si>
  <si>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</si>
  <si>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</si>
  <si>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</si>
  <si>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</si>
  <si>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</si>
  <si>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</si>
  <si>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</si>
  <si>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</si>
  <si>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</si>
  <si>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</si>
  <si>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</si>
  <si>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</si>
  <si>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</si>
  <si>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</si>
  <si>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</si>
  <si>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</si>
  <si>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</si>
  <si>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</si>
  <si>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</si>
  <si>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</si>
  <si>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</si>
  <si>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</si>
  <si>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</si>
  <si>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</si>
  <si>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</si>
  <si>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</si>
  <si>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</si>
  <si>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</si>
  <si>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</si>
  <si>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</si>
  <si>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</si>
  <si>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</si>
  <si>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</si>
  <si>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</si>
  <si>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</si>
  <si>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</si>
  <si>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</si>
  <si>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</si>
  <si>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</si>
  <si>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</si>
  <si>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</si>
  <si>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</si>
  <si>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</si>
  <si>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</si>
  <si>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</si>
  <si>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</si>
  <si>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</si>
  <si>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</si>
  <si>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</si>
  <si>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</si>
  <si>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</si>
  <si>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</si>
  <si>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</si>
  <si>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</si>
  <si>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</si>
  <si>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</si>
  <si>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</si>
  <si>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</si>
  <si>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</si>
  <si>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</si>
  <si>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</si>
  <si>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</si>
  <si>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</si>
  <si>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</si>
  <si>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</si>
  <si>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</si>
  <si>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</si>
  <si>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</si>
  <si>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</si>
  <si>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</si>
  <si>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</si>
  <si>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</si>
  <si>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</si>
  <si>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</si>
  <si>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</si>
  <si>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</si>
  <si>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</si>
  <si>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</si>
  <si>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</si>
  <si>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</si>
  <si>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</si>
  <si>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</si>
  <si>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</si>
  <si>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</si>
  <si>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</si>
  <si>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</si>
  <si>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</si>
  <si>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</si>
  <si>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</si>
  <si>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</si>
  <si>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</si>
  <si>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</si>
  <si>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</si>
  <si>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</si>
  <si>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</si>
  <si>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</si>
  <si>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</si>
  <si>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</si>
  <si>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</si>
  <si>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</si>
  <si>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</si>
  <si>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</si>
  <si>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</si>
  <si>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</si>
  <si>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</si>
  <si>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</si>
  <si>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</si>
  <si>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</si>
  <si>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</si>
  <si>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</si>
  <si>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</si>
  <si>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</si>
  <si>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</si>
  <si>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</si>
  <si>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</si>
  <si>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</si>
  <si>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</si>
  <si>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</si>
  <si>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</si>
  <si>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</si>
  <si>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</si>
  <si>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</si>
  <si>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</si>
  <si>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</si>
  <si>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</si>
  <si>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</si>
  <si>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</si>
  <si>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</si>
  <si>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</si>
  <si>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</si>
  <si>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</si>
  <si>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</si>
  <si>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</si>
  <si>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</si>
  <si>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</si>
  <si>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</si>
  <si>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</si>
  <si>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</si>
  <si>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</si>
  <si>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</si>
  <si>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</si>
  <si>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</si>
  <si>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</si>
  <si>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</si>
  <si>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</si>
  <si>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</si>
  <si>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</si>
  <si>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</si>
  <si>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</si>
  <si>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</si>
  <si>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</si>
  <si>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</si>
  <si>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</si>
  <si>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</si>
  <si>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</si>
  <si>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</si>
  <si>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</si>
  <si>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</si>
  <si>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</si>
  <si>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</si>
  <si>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</si>
  <si>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</si>
  <si>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</si>
  <si>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</si>
  <si>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</si>
  <si>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</si>
  <si>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</si>
  <si>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</si>
  <si>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</si>
  <si>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</si>
  <si>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</si>
  <si>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</si>
  <si>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</si>
  <si>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</si>
  <si>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</si>
  <si>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</si>
  <si>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</si>
  <si>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</si>
  <si>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</si>
  <si>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</si>
  <si>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</si>
  <si>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</si>
  <si>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</si>
  <si>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</si>
  <si>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</si>
  <si>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</si>
  <si>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</si>
  <si>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</si>
  <si>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</si>
  <si>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</si>
  <si>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</si>
  <si>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</si>
  <si>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</si>
  <si>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</si>
  <si>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</si>
  <si>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</si>
  <si>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</si>
  <si>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</si>
  <si>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</si>
  <si>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</si>
  <si>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</si>
  <si>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</si>
  <si>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</si>
  <si>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</si>
  <si>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</si>
  <si>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</si>
  <si>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</si>
  <si>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</si>
  <si>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</si>
  <si>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</si>
  <si>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</si>
  <si>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</si>
  <si>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</si>
  <si>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</si>
  <si>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</si>
  <si>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</si>
  <si>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</si>
  <si>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</si>
  <si>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</si>
  <si>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</si>
  <si>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</si>
  <si>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</si>
  <si>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</si>
  <si>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</si>
  <si>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</si>
  <si>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</si>
  <si>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</si>
  <si>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</si>
  <si>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</si>
  <si>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</si>
  <si>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</si>
  <si>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</si>
  <si>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</si>
  <si>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</si>
  <si>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</si>
  <si>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</si>
  <si>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</si>
  <si>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</si>
  <si>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</si>
  <si>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</si>
  <si>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</si>
  <si>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</si>
  <si>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</si>
  <si>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</si>
  <si>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</si>
  <si>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</si>
  <si>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</si>
  <si>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</si>
  <si>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</si>
  <si>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</si>
  <si>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</si>
  <si>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</si>
  <si>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</si>
  <si>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</si>
  <si>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</si>
  <si>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</si>
  <si>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</si>
  <si>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</si>
  <si>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</si>
  <si>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</si>
  <si>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</si>
  <si>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</si>
  <si>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</si>
  <si>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</si>
  <si>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</si>
  <si>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</si>
  <si>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</si>
  <si>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</si>
  <si>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</si>
  <si>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</si>
  <si>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</si>
  <si>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</si>
  <si>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</si>
  <si>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</si>
  <si>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</si>
  <si>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</si>
  <si>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</si>
  <si>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</si>
  <si>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</si>
  <si>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</si>
  <si>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</si>
  <si>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</si>
  <si>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</si>
  <si>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</si>
  <si>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</si>
  <si>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</si>
  <si>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</si>
  <si>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</si>
  <si>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</si>
  <si>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</si>
  <si>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</si>
  <si>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</si>
  <si>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</si>
  <si>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</si>
  <si>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</si>
  <si>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</si>
  <si>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</si>
  <si>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</si>
  <si>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</si>
  <si>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</si>
  <si>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</si>
  <si>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</si>
  <si>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</si>
  <si>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</si>
  <si>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</si>
  <si>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</si>
  <si>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</si>
  <si>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</si>
  <si>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</si>
  <si>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</si>
  <si>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</si>
  <si>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</si>
  <si>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</si>
  <si>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</si>
  <si>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</si>
  <si>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</si>
  <si>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</si>
  <si>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</si>
  <si>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</si>
  <si>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</si>
  <si>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</si>
  <si>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</si>
  <si>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</si>
  <si>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</si>
  <si>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</si>
  <si>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</si>
  <si>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</si>
  <si>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</si>
  <si>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</si>
  <si>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</si>
  <si>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</si>
  <si>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</si>
  <si>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</si>
  <si>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</si>
  <si>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</si>
  <si>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</si>
  <si>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</si>
  <si>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</si>
  <si>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</si>
  <si>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</si>
  <si>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</si>
  <si>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</si>
  <si>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</si>
  <si>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</si>
  <si>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</si>
  <si>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</si>
  <si>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</si>
  <si>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</si>
  <si>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</si>
  <si>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</si>
  <si>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</si>
  <si>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</si>
  <si>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</si>
  <si>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</si>
  <si>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</si>
  <si>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</si>
  <si>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</si>
  <si>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</si>
  <si>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</si>
  <si>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</si>
  <si>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</si>
  <si>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</si>
  <si>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</si>
  <si>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</si>
  <si>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</si>
  <si>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</si>
  <si>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</si>
  <si>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</si>
  <si>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</si>
  <si>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</si>
  <si>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</si>
  <si>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</si>
  <si>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</si>
  <si>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</si>
  <si>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</si>
  <si>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</si>
  <si>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</si>
  <si>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</si>
  <si>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</si>
  <si>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</si>
  <si>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</si>
  <si>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</si>
  <si>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</si>
  <si>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</si>
  <si>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</si>
  <si>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</si>
  <si>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</si>
  <si>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</si>
  <si>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</si>
  <si>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</si>
  <si>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</si>
  <si>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</si>
  <si>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</si>
  <si>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</si>
  <si>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</si>
  <si>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</si>
  <si>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</si>
  <si>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</si>
  <si>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</si>
  <si>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</si>
  <si>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</si>
  <si>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</si>
  <si>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</si>
  <si>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</si>
  <si>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</si>
  <si>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</si>
  <si>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</si>
  <si>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</si>
  <si>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</si>
  <si>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</si>
  <si>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</si>
  <si>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</si>
  <si>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</si>
  <si>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</si>
  <si>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</si>
  <si>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</si>
  <si>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</si>
  <si>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</si>
  <si>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</si>
  <si>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</si>
  <si>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</si>
  <si>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</si>
  <si>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</si>
  <si>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</si>
  <si>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</si>
  <si>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</si>
  <si>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</si>
  <si>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</si>
  <si>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</si>
  <si>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</si>
  <si>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</si>
  <si>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</si>
  <si>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</si>
  <si>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</si>
  <si>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</si>
  <si>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</si>
  <si>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</si>
  <si>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</si>
  <si>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</si>
  <si>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</si>
  <si>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</si>
  <si>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</si>
  <si>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</si>
  <si>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</si>
  <si>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</si>
  <si>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</si>
  <si>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</si>
  <si>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</si>
  <si>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</si>
  <si>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</si>
  <si>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</si>
  <si>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</si>
  <si>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</si>
  <si>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</si>
  <si>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</si>
  <si>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</si>
  <si>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</si>
  <si>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</si>
  <si>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</si>
  <si>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</si>
  <si>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</si>
  <si>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</si>
  <si>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</si>
  <si>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</si>
  <si>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</si>
  <si>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</si>
  <si>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</si>
  <si>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</si>
  <si>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</si>
  <si>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</si>
  <si>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</si>
  <si>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</si>
  <si>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</si>
  <si>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</si>
  <si>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</si>
  <si>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</si>
  <si>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</si>
  <si>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</si>
  <si>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</si>
  <si>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</si>
  <si>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</si>
  <si>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</si>
  <si>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</si>
  <si>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</si>
  <si>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</si>
  <si>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</si>
  <si>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</si>
  <si>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</si>
  <si>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</si>
  <si>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</si>
  <si>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</si>
  <si>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</si>
  <si>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</si>
  <si>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</si>
  <si>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</si>
  <si>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</si>
  <si>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</si>
  <si>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</si>
  <si>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</si>
  <si>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</si>
  <si>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</si>
  <si>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</si>
  <si>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</si>
  <si>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</si>
  <si>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</si>
  <si>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</si>
  <si>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</si>
  <si>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</si>
  <si>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</si>
  <si>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</si>
  <si>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</si>
  <si>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</si>
  <si>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</si>
  <si>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</si>
  <si>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</si>
  <si>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</si>
  <si>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</si>
  <si>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</si>
  <si>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</si>
  <si>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</si>
  <si>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</si>
  <si>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</si>
  <si>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</si>
  <si>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</si>
  <si>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</si>
  <si>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</si>
  <si>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</si>
  <si>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</si>
  <si>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</si>
  <si>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</si>
  <si>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</si>
  <si>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</si>
  <si>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</si>
  <si>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</si>
  <si>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</si>
  <si>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</si>
  <si>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</si>
  <si>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</si>
  <si>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</si>
  <si>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</si>
  <si>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</si>
  <si>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</si>
  <si>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</si>
  <si>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</si>
  <si>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</si>
  <si>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</si>
  <si>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</si>
  <si>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</si>
  <si>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</si>
  <si>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</si>
  <si>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</si>
  <si>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</si>
  <si>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</si>
  <si>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</si>
  <si>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</si>
  <si>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</si>
  <si>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</si>
  <si>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</si>
  <si>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</si>
  <si>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</si>
  <si>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</si>
  <si>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</si>
  <si>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</si>
  <si>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</si>
  <si>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</si>
  <si>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</si>
  <si>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</si>
  <si>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</si>
  <si>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</si>
  <si>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</si>
  <si>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</si>
  <si>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</si>
  <si>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</si>
  <si>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</si>
  <si>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</si>
  <si>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</si>
  <si>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</si>
  <si>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</si>
  <si>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</si>
  <si>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</si>
  <si>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</si>
  <si>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</si>
  <si>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</si>
  <si>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</si>
  <si>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</si>
  <si>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</si>
  <si>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</si>
  <si>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</si>
  <si>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</si>
  <si>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</si>
  <si>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</si>
  <si>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</si>
  <si>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</si>
  <si>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</si>
  <si>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</si>
  <si>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</si>
  <si>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</si>
  <si>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</si>
  <si>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</si>
  <si>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</si>
  <si>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</si>
  <si>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</si>
  <si>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</si>
  <si>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</si>
  <si>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</si>
  <si>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</si>
  <si>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</si>
  <si>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</si>
  <si>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</si>
  <si>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</si>
  <si>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</si>
  <si>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</si>
  <si>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</si>
  <si>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</si>
  <si>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</si>
  <si>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</si>
  <si>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</si>
  <si>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</si>
  <si>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</si>
  <si>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</si>
  <si>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</si>
  <si>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</si>
  <si>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</si>
  <si>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</si>
  <si>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</si>
  <si>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</si>
  <si>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</si>
  <si>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</si>
  <si>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</si>
  <si>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</si>
  <si>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</si>
  <si>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</si>
  <si>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</si>
  <si>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</si>
  <si>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</si>
  <si>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</si>
  <si>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</si>
  <si>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</si>
  <si>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</si>
  <si>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</si>
  <si>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</si>
  <si>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</si>
  <si>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</si>
  <si>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13017</t>
  </si>
  <si>
    <t>KASTERLEE</t>
  </si>
  <si>
    <t>Fluvius</t>
  </si>
  <si>
    <t>referentietaak LNE (2017); Jaarverslag De Lijn</t>
  </si>
  <si>
    <t>interne verbrandingsmotor</t>
  </si>
  <si>
    <t>WKK interne verbrandinsgmotor (gas)</t>
  </si>
  <si>
    <t>IVEKA</t>
  </si>
  <si>
    <t>IVEKA (via EANDIS)</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</si>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</sst>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EA1DA15-BC21-4FB8-9A48-DB49A87CDD48}"/>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162767.67665963675</c:v>
                </c:pt>
                <c:pt idx="1">
                  <c:v>52006.329984547003</c:v>
                </c:pt>
                <c:pt idx="2">
                  <c:v>832.89200000000005</c:v>
                </c:pt>
                <c:pt idx="3">
                  <c:v>23929.403495181563</c:v>
                </c:pt>
                <c:pt idx="4">
                  <c:v>23198.968060944062</c:v>
                </c:pt>
                <c:pt idx="5">
                  <c:v>99005.989486666454</c:v>
                </c:pt>
                <c:pt idx="6">
                  <c:v>1447.0354589654523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162767.67665963675</c:v>
                </c:pt>
                <c:pt idx="1">
                  <c:v>52006.329984547003</c:v>
                </c:pt>
                <c:pt idx="2">
                  <c:v>832.89200000000005</c:v>
                </c:pt>
                <c:pt idx="3">
                  <c:v>23929.403495181563</c:v>
                </c:pt>
                <c:pt idx="4">
                  <c:v>23198.968060944062</c:v>
                </c:pt>
                <c:pt idx="5">
                  <c:v>99005.989486666454</c:v>
                </c:pt>
                <c:pt idx="6">
                  <c:v>1447.0354589654523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32969.355464981083</c:v>
                </c:pt>
                <c:pt idx="2">
                  <c:v>10004.029142000047</c:v>
                </c:pt>
                <c:pt idx="3">
                  <c:v>159.64278014156713</c:v>
                </c:pt>
                <c:pt idx="4">
                  <c:v>6093.7634719110856</c:v>
                </c:pt>
                <c:pt idx="5">
                  <c:v>4460.438161778955</c:v>
                </c:pt>
                <c:pt idx="6">
                  <c:v>24771.19597796661</c:v>
                </c:pt>
                <c:pt idx="7">
                  <c:v>364.44417570456949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32969.355464981083</c:v>
                </c:pt>
                <c:pt idx="2">
                  <c:v>10004.029142000047</c:v>
                </c:pt>
                <c:pt idx="3">
                  <c:v>159.64278014156713</c:v>
                </c:pt>
                <c:pt idx="4">
                  <c:v>6093.7634719110856</c:v>
                </c:pt>
                <c:pt idx="5">
                  <c:v>4460.438161778955</c:v>
                </c:pt>
                <c:pt idx="6">
                  <c:v>24771.19597796661</c:v>
                </c:pt>
                <c:pt idx="7">
                  <c:v>364.44417570456949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13017</v>
      </c>
      <c r="B6" s="382"/>
      <c r="C6" s="383"/>
    </row>
    <row r="7" spans="1:7" s="380" customFormat="1" ht="15.75" customHeight="1">
      <c r="A7" s="384" t="str">
        <f>txtMunicipality</f>
        <v>KASTERLEE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23301.949404188847</v>
      </c>
      <c r="D10" s="971">
        <f ca="1">tertiair!C16</f>
        <v>117.85714285714286</v>
      </c>
      <c r="E10" s="971">
        <f ca="1">tertiair!D16</f>
        <v>22402.577965493925</v>
      </c>
      <c r="F10" s="971">
        <f>tertiair!E16</f>
        <v>252.45707681393202</v>
      </c>
      <c r="G10" s="971">
        <f ca="1">tertiair!F16</f>
        <v>4106.0568131847285</v>
      </c>
      <c r="H10" s="971">
        <f>tertiair!G16</f>
        <v>0</v>
      </c>
      <c r="I10" s="971">
        <f>tertiair!H16</f>
        <v>0</v>
      </c>
      <c r="J10" s="971">
        <f>tertiair!I16</f>
        <v>0</v>
      </c>
      <c r="K10" s="971">
        <f>tertiair!J16</f>
        <v>0.16456444946806395</v>
      </c>
      <c r="L10" s="971">
        <f>tertiair!K16</f>
        <v>0</v>
      </c>
      <c r="M10" s="971">
        <f ca="1">tertiair!L16</f>
        <v>0</v>
      </c>
      <c r="N10" s="971">
        <f>tertiair!M16</f>
        <v>0</v>
      </c>
      <c r="O10" s="971">
        <f ca="1">tertiair!N16</f>
        <v>2628.1490175589488</v>
      </c>
      <c r="P10" s="971">
        <f>tertiair!O16</f>
        <v>10.943333333333335</v>
      </c>
      <c r="Q10" s="972">
        <f>tertiair!P16</f>
        <v>19.066666666666666</v>
      </c>
      <c r="R10" s="666">
        <f ca="1">SUM(C10:Q10)</f>
        <v>52839.221984546995</v>
      </c>
      <c r="S10" s="67"/>
    </row>
    <row r="11" spans="1:19" s="439" customFormat="1">
      <c r="A11" s="775" t="s">
        <v>213</v>
      </c>
      <c r="B11" s="780"/>
      <c r="C11" s="971">
        <f>huishoudens!B8</f>
        <v>32133.021681688118</v>
      </c>
      <c r="D11" s="971">
        <f>huishoudens!C8</f>
        <v>0</v>
      </c>
      <c r="E11" s="971">
        <f>huishoudens!D8</f>
        <v>67089.102296704863</v>
      </c>
      <c r="F11" s="971">
        <f>huishoudens!E8</f>
        <v>1884.6935741584541</v>
      </c>
      <c r="G11" s="971">
        <f>huishoudens!F8</f>
        <v>47749.686994366915</v>
      </c>
      <c r="H11" s="971">
        <f>huishoudens!G8</f>
        <v>0</v>
      </c>
      <c r="I11" s="971">
        <f>huishoudens!H8</f>
        <v>0</v>
      </c>
      <c r="J11" s="971">
        <f>huishoudens!I8</f>
        <v>0</v>
      </c>
      <c r="K11" s="971">
        <f>huishoudens!J8</f>
        <v>229.766136722087</v>
      </c>
      <c r="L11" s="971">
        <f>huishoudens!K8</f>
        <v>0</v>
      </c>
      <c r="M11" s="971">
        <f>huishoudens!L8</f>
        <v>0</v>
      </c>
      <c r="N11" s="971">
        <f>huishoudens!M8</f>
        <v>0</v>
      </c>
      <c r="O11" s="971">
        <f>huishoudens!N8</f>
        <v>11048.492642662995</v>
      </c>
      <c r="P11" s="971">
        <f>huishoudens!O8</f>
        <v>478.38000000000005</v>
      </c>
      <c r="Q11" s="972">
        <f>huishoudens!P8</f>
        <v>2154.5333333333333</v>
      </c>
      <c r="R11" s="666">
        <f>SUM(C11:Q11)</f>
        <v>162767.67665963675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15386.603200485955</v>
      </c>
      <c r="D13" s="971">
        <f>industrie!C18</f>
        <v>0</v>
      </c>
      <c r="E13" s="971">
        <f>industrie!D18</f>
        <v>3983.7938994119313</v>
      </c>
      <c r="F13" s="971">
        <f>industrie!E18</f>
        <v>515.18027338177444</v>
      </c>
      <c r="G13" s="971">
        <f>industrie!F18</f>
        <v>2206.1740261841228</v>
      </c>
      <c r="H13" s="971">
        <f>industrie!G18</f>
        <v>0</v>
      </c>
      <c r="I13" s="971">
        <f>industrie!H18</f>
        <v>0</v>
      </c>
      <c r="J13" s="971">
        <f>industrie!I18</f>
        <v>0</v>
      </c>
      <c r="K13" s="971">
        <f>industrie!J18</f>
        <v>1.478473613450358</v>
      </c>
      <c r="L13" s="971">
        <f>industrie!K18</f>
        <v>0</v>
      </c>
      <c r="M13" s="971">
        <f>industrie!L18</f>
        <v>0</v>
      </c>
      <c r="N13" s="971">
        <f>industrie!M18</f>
        <v>0</v>
      </c>
      <c r="O13" s="971">
        <f>industrie!N18</f>
        <v>1105.7381878668273</v>
      </c>
      <c r="P13" s="971">
        <f>industrie!O18</f>
        <v>0</v>
      </c>
      <c r="Q13" s="972">
        <f>industrie!P18</f>
        <v>0</v>
      </c>
      <c r="R13" s="666">
        <f>SUM(C13:Q13)</f>
        <v>23198.968060944062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70821.574286362928</v>
      </c>
      <c r="D16" s="698">
        <f t="shared" ref="D16:R16" ca="1" si="0">SUM(D9:D15)</f>
        <v>117.85714285714286</v>
      </c>
      <c r="E16" s="698">
        <f t="shared" ca="1" si="0"/>
        <v>93475.47416161072</v>
      </c>
      <c r="F16" s="698">
        <f t="shared" si="0"/>
        <v>2652.3309243541607</v>
      </c>
      <c r="G16" s="698">
        <f t="shared" ca="1" si="0"/>
        <v>54061.917833735766</v>
      </c>
      <c r="H16" s="698">
        <f t="shared" si="0"/>
        <v>0</v>
      </c>
      <c r="I16" s="698">
        <f t="shared" si="0"/>
        <v>0</v>
      </c>
      <c r="J16" s="698">
        <f t="shared" si="0"/>
        <v>0</v>
      </c>
      <c r="K16" s="698">
        <f t="shared" si="0"/>
        <v>231.4091747850054</v>
      </c>
      <c r="L16" s="698">
        <f t="shared" si="0"/>
        <v>0</v>
      </c>
      <c r="M16" s="698">
        <f t="shared" ca="1" si="0"/>
        <v>0</v>
      </c>
      <c r="N16" s="698">
        <f t="shared" si="0"/>
        <v>0</v>
      </c>
      <c r="O16" s="698">
        <f t="shared" ca="1" si="0"/>
        <v>14782.379848088771</v>
      </c>
      <c r="P16" s="698">
        <f t="shared" si="0"/>
        <v>489.32333333333338</v>
      </c>
      <c r="Q16" s="698">
        <f t="shared" si="0"/>
        <v>2173.6</v>
      </c>
      <c r="R16" s="698">
        <f t="shared" ca="1" si="0"/>
        <v>238805.86670512782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14.419913599953903</v>
      </c>
      <c r="D19" s="971">
        <f>transport!C54</f>
        <v>0</v>
      </c>
      <c r="E19" s="971">
        <f>transport!D54</f>
        <v>0</v>
      </c>
      <c r="F19" s="971">
        <f>transport!E54</f>
        <v>0</v>
      </c>
      <c r="G19" s="971">
        <f>transport!F54</f>
        <v>0</v>
      </c>
      <c r="H19" s="971">
        <f>transport!G54</f>
        <v>1354.6077521506286</v>
      </c>
      <c r="I19" s="971">
        <f>transport!H54</f>
        <v>0</v>
      </c>
      <c r="J19" s="971">
        <f>transport!I54</f>
        <v>0</v>
      </c>
      <c r="K19" s="971">
        <f>transport!J54</f>
        <v>0</v>
      </c>
      <c r="L19" s="971">
        <f>transport!K54</f>
        <v>0</v>
      </c>
      <c r="M19" s="971">
        <f>transport!L54</f>
        <v>0</v>
      </c>
      <c r="N19" s="971">
        <f>transport!M54</f>
        <v>78.007793214869949</v>
      </c>
      <c r="O19" s="971">
        <f>transport!N54</f>
        <v>0</v>
      </c>
      <c r="P19" s="971">
        <f>transport!O54</f>
        <v>0</v>
      </c>
      <c r="Q19" s="972">
        <f>transport!P54</f>
        <v>0</v>
      </c>
      <c r="R19" s="666">
        <f>SUM(C19:Q19)</f>
        <v>1447.0354589654523</v>
      </c>
      <c r="S19" s="67"/>
    </row>
    <row r="20" spans="1:19" s="439" customFormat="1">
      <c r="A20" s="775" t="s">
        <v>295</v>
      </c>
      <c r="B20" s="780"/>
      <c r="C20" s="971">
        <f>transport!B14</f>
        <v>62.671842819464686</v>
      </c>
      <c r="D20" s="971">
        <f>transport!C14</f>
        <v>0</v>
      </c>
      <c r="E20" s="971">
        <f>transport!D14</f>
        <v>110.60120975121477</v>
      </c>
      <c r="F20" s="971">
        <f>transport!E14</f>
        <v>192.48834769470159</v>
      </c>
      <c r="G20" s="971">
        <f>transport!F14</f>
        <v>0</v>
      </c>
      <c r="H20" s="971">
        <f>transport!G14</f>
        <v>75906.751156748884</v>
      </c>
      <c r="I20" s="971">
        <f>transport!H14</f>
        <v>17775.279635879921</v>
      </c>
      <c r="J20" s="971">
        <f>transport!I14</f>
        <v>0</v>
      </c>
      <c r="K20" s="971">
        <f>transport!J14</f>
        <v>0</v>
      </c>
      <c r="L20" s="971">
        <f>transport!K14</f>
        <v>0</v>
      </c>
      <c r="M20" s="971">
        <f>transport!L14</f>
        <v>0</v>
      </c>
      <c r="N20" s="971">
        <f>transport!M14</f>
        <v>4958.1972937722567</v>
      </c>
      <c r="O20" s="971">
        <f>transport!N14</f>
        <v>0</v>
      </c>
      <c r="P20" s="971">
        <f>transport!O14</f>
        <v>0</v>
      </c>
      <c r="Q20" s="972">
        <f>transport!P14</f>
        <v>0</v>
      </c>
      <c r="R20" s="666">
        <f>SUM(C20:Q20)</f>
        <v>99005.989486666454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77.091756419418587</v>
      </c>
      <c r="D22" s="778">
        <f t="shared" ref="D22:R22" si="1">SUM(D18:D21)</f>
        <v>0</v>
      </c>
      <c r="E22" s="778">
        <f t="shared" si="1"/>
        <v>110.60120975121477</v>
      </c>
      <c r="F22" s="778">
        <f t="shared" si="1"/>
        <v>192.48834769470159</v>
      </c>
      <c r="G22" s="778">
        <f t="shared" si="1"/>
        <v>0</v>
      </c>
      <c r="H22" s="778">
        <f t="shared" si="1"/>
        <v>77261.358908899507</v>
      </c>
      <c r="I22" s="778">
        <f t="shared" si="1"/>
        <v>17775.279635879921</v>
      </c>
      <c r="J22" s="778">
        <f t="shared" si="1"/>
        <v>0</v>
      </c>
      <c r="K22" s="778">
        <f t="shared" si="1"/>
        <v>0</v>
      </c>
      <c r="L22" s="778">
        <f t="shared" si="1"/>
        <v>0</v>
      </c>
      <c r="M22" s="778">
        <f t="shared" si="1"/>
        <v>0</v>
      </c>
      <c r="N22" s="778">
        <f t="shared" si="1"/>
        <v>5036.2050869871264</v>
      </c>
      <c r="O22" s="778">
        <f t="shared" si="1"/>
        <v>0</v>
      </c>
      <c r="P22" s="778">
        <f t="shared" si="1"/>
        <v>0</v>
      </c>
      <c r="Q22" s="778">
        <f t="shared" si="1"/>
        <v>0</v>
      </c>
      <c r="R22" s="778">
        <f t="shared" si="1"/>
        <v>100453.0249456319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4459.2469753226042</v>
      </c>
      <c r="D24" s="971">
        <f>+landbouw!C8</f>
        <v>62.357142857142847</v>
      </c>
      <c r="E24" s="971">
        <f>+landbouw!D8</f>
        <v>53.697430850391214</v>
      </c>
      <c r="F24" s="971">
        <f>+landbouw!E8</f>
        <v>131.07088871704775</v>
      </c>
      <c r="G24" s="971">
        <f>+landbouw!F8</f>
        <v>18576.981934135118</v>
      </c>
      <c r="H24" s="971">
        <f>+landbouw!G8</f>
        <v>0</v>
      </c>
      <c r="I24" s="971">
        <f>+landbouw!H8</f>
        <v>0</v>
      </c>
      <c r="J24" s="971">
        <f>+landbouw!I8</f>
        <v>0</v>
      </c>
      <c r="K24" s="971">
        <f>+landbouw!J8</f>
        <v>646.0491232992573</v>
      </c>
      <c r="L24" s="971">
        <f>+landbouw!K8</f>
        <v>0</v>
      </c>
      <c r="M24" s="971">
        <f>+landbouw!L8</f>
        <v>0</v>
      </c>
      <c r="N24" s="971">
        <f>+landbouw!M8</f>
        <v>0</v>
      </c>
      <c r="O24" s="971">
        <f>+landbouw!N8</f>
        <v>0</v>
      </c>
      <c r="P24" s="971">
        <f>+landbouw!O8</f>
        <v>0</v>
      </c>
      <c r="Q24" s="972">
        <f>+landbouw!P8</f>
        <v>0</v>
      </c>
      <c r="R24" s="666">
        <f>SUM(C24:Q24)</f>
        <v>23929.403495181563</v>
      </c>
      <c r="S24" s="67"/>
    </row>
    <row r="25" spans="1:19" s="439" customFormat="1" ht="15" thickBot="1">
      <c r="A25" s="797" t="s">
        <v>802</v>
      </c>
      <c r="B25" s="974"/>
      <c r="C25" s="975">
        <f>IF(Onbekend_ele_kWh="---",0,Onbekend_ele_kWh)/1000+IF(REST_rest_ele_kWh="---",0,REST_rest_ele_kWh)/1000</f>
        <v>1316.99436934444</v>
      </c>
      <c r="D25" s="975"/>
      <c r="E25" s="975">
        <f>IF(onbekend_gas_kWh="---",0,onbekend_gas_kWh)/1000+IF(REST_rest_gas_kWh="---",0,REST_rest_gas_kWh)/1000</f>
        <v>3653.2998416757</v>
      </c>
      <c r="F25" s="975"/>
      <c r="G25" s="975"/>
      <c r="H25" s="975"/>
      <c r="I25" s="975"/>
      <c r="J25" s="975"/>
      <c r="K25" s="975"/>
      <c r="L25" s="975"/>
      <c r="M25" s="975"/>
      <c r="N25" s="975"/>
      <c r="O25" s="975"/>
      <c r="P25" s="975"/>
      <c r="Q25" s="976"/>
      <c r="R25" s="666">
        <f>SUM(C25:Q25)</f>
        <v>4970.2942110201402</v>
      </c>
      <c r="S25" s="67"/>
    </row>
    <row r="26" spans="1:19" s="439" customFormat="1" ht="15.75" thickBot="1">
      <c r="A26" s="671" t="s">
        <v>803</v>
      </c>
      <c r="B26" s="783"/>
      <c r="C26" s="778">
        <f>SUM(C24:C25)</f>
        <v>5776.2413446670444</v>
      </c>
      <c r="D26" s="778">
        <f t="shared" ref="D26:R26" si="2">SUM(D24:D25)</f>
        <v>62.357142857142847</v>
      </c>
      <c r="E26" s="778">
        <f t="shared" si="2"/>
        <v>3706.9972725260914</v>
      </c>
      <c r="F26" s="778">
        <f t="shared" si="2"/>
        <v>131.07088871704775</v>
      </c>
      <c r="G26" s="778">
        <f t="shared" si="2"/>
        <v>18576.981934135118</v>
      </c>
      <c r="H26" s="778">
        <f t="shared" si="2"/>
        <v>0</v>
      </c>
      <c r="I26" s="778">
        <f t="shared" si="2"/>
        <v>0</v>
      </c>
      <c r="J26" s="778">
        <f t="shared" si="2"/>
        <v>0</v>
      </c>
      <c r="K26" s="778">
        <f t="shared" si="2"/>
        <v>646.0491232992573</v>
      </c>
      <c r="L26" s="778">
        <f t="shared" si="2"/>
        <v>0</v>
      </c>
      <c r="M26" s="778">
        <f t="shared" si="2"/>
        <v>0</v>
      </c>
      <c r="N26" s="778">
        <f t="shared" si="2"/>
        <v>0</v>
      </c>
      <c r="O26" s="778">
        <f t="shared" si="2"/>
        <v>0</v>
      </c>
      <c r="P26" s="778">
        <f t="shared" si="2"/>
        <v>0</v>
      </c>
      <c r="Q26" s="778">
        <f t="shared" si="2"/>
        <v>0</v>
      </c>
      <c r="R26" s="778">
        <f t="shared" si="2"/>
        <v>28899.697706201703</v>
      </c>
      <c r="S26" s="67"/>
    </row>
    <row r="27" spans="1:19" s="439" customFormat="1" ht="17.25" thickTop="1" thickBot="1">
      <c r="A27" s="672" t="s">
        <v>109</v>
      </c>
      <c r="B27" s="771"/>
      <c r="C27" s="673">
        <f ca="1">C22+C16+C26</f>
        <v>76674.907387449392</v>
      </c>
      <c r="D27" s="673">
        <f t="shared" ref="D27:R27" ca="1" si="3">D22+D16+D26</f>
        <v>180.21428571428572</v>
      </c>
      <c r="E27" s="673">
        <f t="shared" ca="1" si="3"/>
        <v>97293.072643888023</v>
      </c>
      <c r="F27" s="673">
        <f t="shared" si="3"/>
        <v>2975.89016076591</v>
      </c>
      <c r="G27" s="673">
        <f t="shared" ca="1" si="3"/>
        <v>72638.899767870884</v>
      </c>
      <c r="H27" s="673">
        <f t="shared" si="3"/>
        <v>77261.358908899507</v>
      </c>
      <c r="I27" s="673">
        <f t="shared" si="3"/>
        <v>17775.279635879921</v>
      </c>
      <c r="J27" s="673">
        <f t="shared" si="3"/>
        <v>0</v>
      </c>
      <c r="K27" s="673">
        <f t="shared" si="3"/>
        <v>877.45829808426265</v>
      </c>
      <c r="L27" s="673">
        <f t="shared" si="3"/>
        <v>0</v>
      </c>
      <c r="M27" s="673">
        <f t="shared" ca="1" si="3"/>
        <v>0</v>
      </c>
      <c r="N27" s="673">
        <f t="shared" si="3"/>
        <v>5036.2050869871264</v>
      </c>
      <c r="O27" s="673">
        <f t="shared" ca="1" si="3"/>
        <v>14782.379848088771</v>
      </c>
      <c r="P27" s="673">
        <f t="shared" si="3"/>
        <v>489.32333333333338</v>
      </c>
      <c r="Q27" s="673">
        <f t="shared" si="3"/>
        <v>2173.6</v>
      </c>
      <c r="R27" s="673">
        <f t="shared" ca="1" si="3"/>
        <v>368158.58935696143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4466.350962192987</v>
      </c>
      <c r="D40" s="971">
        <f ca="1">tertiair!C20</f>
        <v>18.317029546658141</v>
      </c>
      <c r="E40" s="971">
        <f ca="1">tertiair!D20</f>
        <v>4525.3207490297727</v>
      </c>
      <c r="F40" s="971">
        <f>tertiair!E20</f>
        <v>57.307756436762567</v>
      </c>
      <c r="G40" s="971">
        <f ca="1">tertiair!F20</f>
        <v>1096.3171691203227</v>
      </c>
      <c r="H40" s="971">
        <f>tertiair!G20</f>
        <v>0</v>
      </c>
      <c r="I40" s="971">
        <f>tertiair!H20</f>
        <v>0</v>
      </c>
      <c r="J40" s="971">
        <f>tertiair!I20</f>
        <v>0</v>
      </c>
      <c r="K40" s="971">
        <f>tertiair!J20</f>
        <v>5.8255815111694635E-2</v>
      </c>
      <c r="L40" s="971">
        <f>tertiair!K20</f>
        <v>0</v>
      </c>
      <c r="M40" s="971">
        <f ca="1">tertiair!L20</f>
        <v>0</v>
      </c>
      <c r="N40" s="971">
        <f>tertiair!M20</f>
        <v>0</v>
      </c>
      <c r="O40" s="971">
        <f ca="1">tertiair!N20</f>
        <v>0</v>
      </c>
      <c r="P40" s="971">
        <f>tertiair!O20</f>
        <v>0</v>
      </c>
      <c r="Q40" s="740">
        <f>tertiair!P20</f>
        <v>0</v>
      </c>
      <c r="R40" s="816">
        <f t="shared" ca="1" si="4"/>
        <v>10163.671922141615</v>
      </c>
    </row>
    <row r="41" spans="1:18">
      <c r="A41" s="788" t="s">
        <v>213</v>
      </c>
      <c r="B41" s="795"/>
      <c r="C41" s="971">
        <f ca="1">huishoudens!B12</f>
        <v>6159.0277198171507</v>
      </c>
      <c r="D41" s="971">
        <f ca="1">huishoudens!C12</f>
        <v>0</v>
      </c>
      <c r="E41" s="971">
        <f>huishoudens!D12</f>
        <v>13551.998663934382</v>
      </c>
      <c r="F41" s="971">
        <f>huishoudens!E12</f>
        <v>427.82544133396908</v>
      </c>
      <c r="G41" s="971">
        <f>huishoudens!F12</f>
        <v>12749.166427495968</v>
      </c>
      <c r="H41" s="971">
        <f>huishoudens!G12</f>
        <v>0</v>
      </c>
      <c r="I41" s="971">
        <f>huishoudens!H12</f>
        <v>0</v>
      </c>
      <c r="J41" s="971">
        <f>huishoudens!I12</f>
        <v>0</v>
      </c>
      <c r="K41" s="971">
        <f>huishoudens!J12</f>
        <v>81.337212399618792</v>
      </c>
      <c r="L41" s="971">
        <f>huishoudens!K12</f>
        <v>0</v>
      </c>
      <c r="M41" s="971">
        <f>huishoudens!L12</f>
        <v>0</v>
      </c>
      <c r="N41" s="971">
        <f>huishoudens!M12</f>
        <v>0</v>
      </c>
      <c r="O41" s="971">
        <f>huishoudens!N12</f>
        <v>0</v>
      </c>
      <c r="P41" s="971">
        <f>huishoudens!O12</f>
        <v>0</v>
      </c>
      <c r="Q41" s="740">
        <f>huishoudens!P12</f>
        <v>0</v>
      </c>
      <c r="R41" s="816">
        <f t="shared" ca="1" si="4"/>
        <v>32969.355464981083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2949.1940273897608</v>
      </c>
      <c r="D43" s="971">
        <f ca="1">industrie!C22</f>
        <v>0</v>
      </c>
      <c r="E43" s="971">
        <f>industrie!D22</f>
        <v>804.72636768121015</v>
      </c>
      <c r="F43" s="971">
        <f>industrie!E22</f>
        <v>116.9459220576628</v>
      </c>
      <c r="G43" s="971">
        <f>industrie!F22</f>
        <v>589.04846499116081</v>
      </c>
      <c r="H43" s="971">
        <f>industrie!G22</f>
        <v>0</v>
      </c>
      <c r="I43" s="971">
        <f>industrie!H22</f>
        <v>0</v>
      </c>
      <c r="J43" s="971">
        <f>industrie!I22</f>
        <v>0</v>
      </c>
      <c r="K43" s="971">
        <f>industrie!J22</f>
        <v>0.5233796591614267</v>
      </c>
      <c r="L43" s="971">
        <f>industrie!K22</f>
        <v>0</v>
      </c>
      <c r="M43" s="971">
        <f>industrie!L22</f>
        <v>0</v>
      </c>
      <c r="N43" s="971">
        <f>industrie!M22</f>
        <v>0</v>
      </c>
      <c r="O43" s="971">
        <f>industrie!N22</f>
        <v>0</v>
      </c>
      <c r="P43" s="971">
        <f>industrie!O22</f>
        <v>0</v>
      </c>
      <c r="Q43" s="740">
        <f>industrie!P22</f>
        <v>0</v>
      </c>
      <c r="R43" s="815">
        <f t="shared" ca="1" si="4"/>
        <v>4460.438161778955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13574.572709399898</v>
      </c>
      <c r="D46" s="698">
        <f t="shared" ref="D46:Q46" ca="1" si="5">SUM(D39:D45)</f>
        <v>18.317029546658141</v>
      </c>
      <c r="E46" s="698">
        <f t="shared" ca="1" si="5"/>
        <v>18882.045780645367</v>
      </c>
      <c r="F46" s="698">
        <f t="shared" si="5"/>
        <v>602.07911982839448</v>
      </c>
      <c r="G46" s="698">
        <f t="shared" ca="1" si="5"/>
        <v>14434.532061607451</v>
      </c>
      <c r="H46" s="698">
        <f t="shared" si="5"/>
        <v>0</v>
      </c>
      <c r="I46" s="698">
        <f t="shared" si="5"/>
        <v>0</v>
      </c>
      <c r="J46" s="698">
        <f t="shared" si="5"/>
        <v>0</v>
      </c>
      <c r="K46" s="698">
        <f t="shared" si="5"/>
        <v>81.918847873891906</v>
      </c>
      <c r="L46" s="698">
        <f t="shared" si="5"/>
        <v>0</v>
      </c>
      <c r="M46" s="698">
        <f t="shared" ca="1" si="5"/>
        <v>0</v>
      </c>
      <c r="N46" s="698">
        <f t="shared" si="5"/>
        <v>0</v>
      </c>
      <c r="O46" s="698">
        <f t="shared" ca="1" si="5"/>
        <v>0</v>
      </c>
      <c r="P46" s="698">
        <f t="shared" si="5"/>
        <v>0</v>
      </c>
      <c r="Q46" s="698">
        <f t="shared" si="5"/>
        <v>0</v>
      </c>
      <c r="R46" s="698">
        <f ca="1">SUM(R39:R45)</f>
        <v>47593.465548901651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2.7639058803516359</v>
      </c>
      <c r="D49" s="971">
        <f ca="1">transport!C58</f>
        <v>0</v>
      </c>
      <c r="E49" s="971">
        <f>transport!D58</f>
        <v>0</v>
      </c>
      <c r="F49" s="971">
        <f>transport!E58</f>
        <v>0</v>
      </c>
      <c r="G49" s="971">
        <f>transport!F58</f>
        <v>0</v>
      </c>
      <c r="H49" s="971">
        <f>transport!G58</f>
        <v>361.68026982421787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364.44417570456949</v>
      </c>
    </row>
    <row r="50" spans="1:18">
      <c r="A50" s="791" t="s">
        <v>295</v>
      </c>
      <c r="B50" s="801"/>
      <c r="C50" s="669">
        <f ca="1">transport!B18</f>
        <v>12.012490484113972</v>
      </c>
      <c r="D50" s="669">
        <f>transport!C18</f>
        <v>0</v>
      </c>
      <c r="E50" s="669">
        <f>transport!D18</f>
        <v>22.341444369745386</v>
      </c>
      <c r="F50" s="669">
        <f>transport!E18</f>
        <v>43.694854926697261</v>
      </c>
      <c r="G50" s="669">
        <f>transport!F18</f>
        <v>0</v>
      </c>
      <c r="H50" s="669">
        <f>transport!G18</f>
        <v>20267.102558851951</v>
      </c>
      <c r="I50" s="669">
        <f>transport!H18</f>
        <v>4426.0446293341001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24771.19597796661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14.776396364465608</v>
      </c>
      <c r="D52" s="698">
        <f t="shared" ref="D52:Q52" ca="1" si="6">SUM(D48:D51)</f>
        <v>0</v>
      </c>
      <c r="E52" s="698">
        <f t="shared" si="6"/>
        <v>22.341444369745386</v>
      </c>
      <c r="F52" s="698">
        <f t="shared" si="6"/>
        <v>43.694854926697261</v>
      </c>
      <c r="G52" s="698">
        <f t="shared" si="6"/>
        <v>0</v>
      </c>
      <c r="H52" s="698">
        <f t="shared" si="6"/>
        <v>20628.782828676169</v>
      </c>
      <c r="I52" s="698">
        <f t="shared" si="6"/>
        <v>4426.0446293341001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25135.640153671178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854.71655926383585</v>
      </c>
      <c r="D54" s="669">
        <f ca="1">+landbouw!C12</f>
        <v>9.691373814686397</v>
      </c>
      <c r="E54" s="669">
        <f>+landbouw!D12</f>
        <v>10.846881031779025</v>
      </c>
      <c r="F54" s="669">
        <f>+landbouw!E12</f>
        <v>29.753091738769839</v>
      </c>
      <c r="G54" s="669">
        <f>+landbouw!F12</f>
        <v>4960.0541764140771</v>
      </c>
      <c r="H54" s="669">
        <f>+landbouw!G12</f>
        <v>0</v>
      </c>
      <c r="I54" s="669">
        <f>+landbouw!H12</f>
        <v>0</v>
      </c>
      <c r="J54" s="669">
        <f>+landbouw!I12</f>
        <v>0</v>
      </c>
      <c r="K54" s="669">
        <f>+landbouw!J12</f>
        <v>228.70138964793708</v>
      </c>
      <c r="L54" s="669">
        <f>+landbouw!K12</f>
        <v>0</v>
      </c>
      <c r="M54" s="669">
        <f>+landbouw!L12</f>
        <v>0</v>
      </c>
      <c r="N54" s="669">
        <f>+landbouw!M12</f>
        <v>0</v>
      </c>
      <c r="O54" s="669">
        <f>+landbouw!N12</f>
        <v>0</v>
      </c>
      <c r="P54" s="669">
        <f>+landbouw!O12</f>
        <v>0</v>
      </c>
      <c r="Q54" s="670">
        <f>+landbouw!P12</f>
        <v>0</v>
      </c>
      <c r="R54" s="697">
        <f ca="1">SUM(C54:Q54)</f>
        <v>6093.7634719110856</v>
      </c>
    </row>
    <row r="55" spans="1:18" ht="15" thickBot="1">
      <c r="A55" s="791" t="s">
        <v>802</v>
      </c>
      <c r="B55" s="801"/>
      <c r="C55" s="669">
        <f ca="1">C25*'EF ele_warmte'!B12</f>
        <v>252.43205908201338</v>
      </c>
      <c r="D55" s="669"/>
      <c r="E55" s="669">
        <f>E25*EF_CO2_aardgas</f>
        <v>737.96656801849144</v>
      </c>
      <c r="F55" s="669"/>
      <c r="G55" s="669"/>
      <c r="H55" s="669"/>
      <c r="I55" s="669"/>
      <c r="J55" s="669"/>
      <c r="K55" s="669"/>
      <c r="L55" s="669"/>
      <c r="M55" s="669"/>
      <c r="N55" s="669"/>
      <c r="O55" s="669"/>
      <c r="P55" s="669"/>
      <c r="Q55" s="670"/>
      <c r="R55" s="697">
        <f ca="1">SUM(C55:Q55)</f>
        <v>990.39862710050488</v>
      </c>
    </row>
    <row r="56" spans="1:18" ht="15.75" thickBot="1">
      <c r="A56" s="789" t="s">
        <v>803</v>
      </c>
      <c r="B56" s="802"/>
      <c r="C56" s="698">
        <f ca="1">SUM(C54:C55)</f>
        <v>1107.1486183458492</v>
      </c>
      <c r="D56" s="698">
        <f t="shared" ref="D56:Q56" ca="1" si="7">SUM(D54:D55)</f>
        <v>9.691373814686397</v>
      </c>
      <c r="E56" s="698">
        <f t="shared" si="7"/>
        <v>748.81344905027049</v>
      </c>
      <c r="F56" s="698">
        <f t="shared" si="7"/>
        <v>29.753091738769839</v>
      </c>
      <c r="G56" s="698">
        <f t="shared" si="7"/>
        <v>4960.0541764140771</v>
      </c>
      <c r="H56" s="698">
        <f t="shared" si="7"/>
        <v>0</v>
      </c>
      <c r="I56" s="698">
        <f t="shared" si="7"/>
        <v>0</v>
      </c>
      <c r="J56" s="698">
        <f t="shared" si="7"/>
        <v>0</v>
      </c>
      <c r="K56" s="698">
        <f t="shared" si="7"/>
        <v>228.70138964793708</v>
      </c>
      <c r="L56" s="698">
        <f t="shared" si="7"/>
        <v>0</v>
      </c>
      <c r="M56" s="698">
        <f t="shared" si="7"/>
        <v>0</v>
      </c>
      <c r="N56" s="698">
        <f t="shared" si="7"/>
        <v>0</v>
      </c>
      <c r="O56" s="698">
        <f t="shared" si="7"/>
        <v>0</v>
      </c>
      <c r="P56" s="698">
        <f t="shared" si="7"/>
        <v>0</v>
      </c>
      <c r="Q56" s="699">
        <f t="shared" si="7"/>
        <v>0</v>
      </c>
      <c r="R56" s="700">
        <f ca="1">SUM(R54:R55)</f>
        <v>7084.1620990115907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14696.497724110211</v>
      </c>
      <c r="D61" s="706">
        <f t="shared" ref="D61:Q61" ca="1" si="8">D46+D52+D56</f>
        <v>28.008403361344538</v>
      </c>
      <c r="E61" s="706">
        <f t="shared" ca="1" si="8"/>
        <v>19653.200674065381</v>
      </c>
      <c r="F61" s="706">
        <f t="shared" si="8"/>
        <v>675.52706649386164</v>
      </c>
      <c r="G61" s="706">
        <f t="shared" ca="1" si="8"/>
        <v>19394.586238021529</v>
      </c>
      <c r="H61" s="706">
        <f t="shared" si="8"/>
        <v>20628.782828676169</v>
      </c>
      <c r="I61" s="706">
        <f t="shared" si="8"/>
        <v>4426.0446293341001</v>
      </c>
      <c r="J61" s="706">
        <f t="shared" si="8"/>
        <v>0</v>
      </c>
      <c r="K61" s="706">
        <f t="shared" si="8"/>
        <v>310.62023752182898</v>
      </c>
      <c r="L61" s="706">
        <f t="shared" si="8"/>
        <v>0</v>
      </c>
      <c r="M61" s="706">
        <f t="shared" ca="1" si="8"/>
        <v>0</v>
      </c>
      <c r="N61" s="706">
        <f t="shared" si="8"/>
        <v>0</v>
      </c>
      <c r="O61" s="706">
        <f t="shared" ca="1" si="8"/>
        <v>0</v>
      </c>
      <c r="P61" s="706">
        <f t="shared" si="8"/>
        <v>0</v>
      </c>
      <c r="Q61" s="706">
        <f t="shared" si="8"/>
        <v>0</v>
      </c>
      <c r="R61" s="706">
        <f ca="1">R46+R52+R56</f>
        <v>79813.267801584414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0.19167284610917995</v>
      </c>
      <c r="D63" s="747">
        <f t="shared" ca="1" si="9"/>
        <v>0.15541722039588723</v>
      </c>
      <c r="E63" s="982">
        <f t="shared" ca="1" si="9"/>
        <v>0.20200000000000001</v>
      </c>
      <c r="F63" s="747">
        <f t="shared" si="9"/>
        <v>0.22700000000000004</v>
      </c>
      <c r="G63" s="747">
        <f t="shared" ca="1" si="9"/>
        <v>0.26700000000000007</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1136.8157626680572</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7659.6663227122363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43.649999999999991</v>
      </c>
      <c r="C76" s="716">
        <f>'lokale energieproductie'!B8*IFERROR(SUM(D76:H76)/SUM(D76:O76),0)</f>
        <v>82.5</v>
      </c>
      <c r="D76" s="992">
        <f>'lokale energieproductie'!C8</f>
        <v>97.058823529411768</v>
      </c>
      <c r="E76" s="993">
        <f>'lokale energieproductie'!D8</f>
        <v>0</v>
      </c>
      <c r="F76" s="993">
        <f>'lokale energieproductie'!E8</f>
        <v>0</v>
      </c>
      <c r="G76" s="993">
        <f>'lokale energieproductie'!F8</f>
        <v>0</v>
      </c>
      <c r="H76" s="993">
        <f>'lokale energieproductie'!G8</f>
        <v>0</v>
      </c>
      <c r="I76" s="993">
        <f>'lokale energieproductie'!I8</f>
        <v>0</v>
      </c>
      <c r="J76" s="993">
        <f>'lokale energieproductie'!J8</f>
        <v>51.35294117647058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19.60588235294118</v>
      </c>
      <c r="R76" s="818">
        <v>0</v>
      </c>
    </row>
    <row r="77" spans="1:18" ht="30.75" thickBot="1">
      <c r="A77" s="719" t="s">
        <v>339</v>
      </c>
      <c r="B77" s="716">
        <f>'lokale energieproductie'!B9*IFERROR(SUM(I77:O77)/SUM(D77:O77),0)</f>
        <v>1341</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3831.4285714285716</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10181.132085380294</v>
      </c>
      <c r="C78" s="721">
        <f>SUM(C72:C77)</f>
        <v>82.5</v>
      </c>
      <c r="D78" s="722">
        <f t="shared" ref="D78:H78" si="10">SUM(D76:D77)</f>
        <v>97.058823529411768</v>
      </c>
      <c r="E78" s="722">
        <f t="shared" si="10"/>
        <v>0</v>
      </c>
      <c r="F78" s="722">
        <f t="shared" si="10"/>
        <v>0</v>
      </c>
      <c r="G78" s="722">
        <f t="shared" si="10"/>
        <v>0</v>
      </c>
      <c r="H78" s="722">
        <f t="shared" si="10"/>
        <v>0</v>
      </c>
      <c r="I78" s="722">
        <f>SUM(I76:I77)</f>
        <v>0</v>
      </c>
      <c r="J78" s="722">
        <f>SUM(J76:J77)</f>
        <v>3882.7815126050423</v>
      </c>
      <c r="K78" s="722">
        <f t="shared" ref="K78:L78" si="11">SUM(K76:K77)</f>
        <v>0</v>
      </c>
      <c r="L78" s="722">
        <f t="shared" si="11"/>
        <v>0</v>
      </c>
      <c r="M78" s="722">
        <f>SUM(M76:M77)</f>
        <v>0</v>
      </c>
      <c r="N78" s="722">
        <f>SUM(N76:N77)</f>
        <v>0</v>
      </c>
      <c r="O78" s="826">
        <f>SUM(O76:O77)</f>
        <v>0</v>
      </c>
      <c r="P78" s="723">
        <v>0</v>
      </c>
      <c r="Q78" s="723">
        <f>SUM(Q76:Q77)</f>
        <v>19.60588235294118</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62.357142857142854</v>
      </c>
      <c r="C87" s="732">
        <f>'lokale energieproductie'!B17*IFERROR(SUM(D87:H87)/SUM(D87:O87),0)</f>
        <v>117.85714285714288</v>
      </c>
      <c r="D87" s="743">
        <f>'lokale energieproductie'!C17</f>
        <v>138.65546218487395</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28.008403361344541</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62.357142857142854</v>
      </c>
      <c r="C90" s="721">
        <f>SUM(C87:C89)</f>
        <v>117.85714285714288</v>
      </c>
      <c r="D90" s="721">
        <f t="shared" ref="D90:H90" si="12">SUM(D87:D89)</f>
        <v>138.65546218487395</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28.008403361344541</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32133.021681688118</v>
      </c>
      <c r="C4" s="443">
        <f>huishoudens!C8</f>
        <v>0</v>
      </c>
      <c r="D4" s="443">
        <f>huishoudens!D8</f>
        <v>67089.102296704863</v>
      </c>
      <c r="E4" s="443">
        <f>huishoudens!E8</f>
        <v>1884.6935741584541</v>
      </c>
      <c r="F4" s="443">
        <f>huishoudens!F8</f>
        <v>47749.686994366915</v>
      </c>
      <c r="G4" s="443">
        <f>huishoudens!G8</f>
        <v>0</v>
      </c>
      <c r="H4" s="443">
        <f>huishoudens!H8</f>
        <v>0</v>
      </c>
      <c r="I4" s="443">
        <f>huishoudens!I8</f>
        <v>0</v>
      </c>
      <c r="J4" s="443">
        <f>huishoudens!J8</f>
        <v>229.766136722087</v>
      </c>
      <c r="K4" s="443">
        <f>huishoudens!K8</f>
        <v>0</v>
      </c>
      <c r="L4" s="443">
        <f>huishoudens!L8</f>
        <v>0</v>
      </c>
      <c r="M4" s="443">
        <f>huishoudens!M8</f>
        <v>0</v>
      </c>
      <c r="N4" s="443">
        <f>huishoudens!N8</f>
        <v>11048.492642662995</v>
      </c>
      <c r="O4" s="443">
        <f>huishoudens!O8</f>
        <v>478.38000000000005</v>
      </c>
      <c r="P4" s="444">
        <f>huishoudens!P8</f>
        <v>2154.5333333333333</v>
      </c>
      <c r="Q4" s="445">
        <f>SUM(B4:P4)</f>
        <v>162767.67665963675</v>
      </c>
    </row>
    <row r="5" spans="1:17">
      <c r="A5" s="442" t="s">
        <v>149</v>
      </c>
      <c r="B5" s="443">
        <f ca="1">tertiair!B16</f>
        <v>22469.057404188847</v>
      </c>
      <c r="C5" s="443">
        <f ca="1">tertiair!C16</f>
        <v>117.85714285714286</v>
      </c>
      <c r="D5" s="443">
        <f ca="1">tertiair!D16</f>
        <v>22402.577965493925</v>
      </c>
      <c r="E5" s="443">
        <f>tertiair!E16</f>
        <v>252.45707681393202</v>
      </c>
      <c r="F5" s="443">
        <f ca="1">tertiair!F16</f>
        <v>4106.0568131847285</v>
      </c>
      <c r="G5" s="443">
        <f>tertiair!G16</f>
        <v>0</v>
      </c>
      <c r="H5" s="443">
        <f>tertiair!H16</f>
        <v>0</v>
      </c>
      <c r="I5" s="443">
        <f>tertiair!I16</f>
        <v>0</v>
      </c>
      <c r="J5" s="443">
        <f>tertiair!J16</f>
        <v>0.16456444946806395</v>
      </c>
      <c r="K5" s="443">
        <f>tertiair!K16</f>
        <v>0</v>
      </c>
      <c r="L5" s="443">
        <f ca="1">tertiair!L16</f>
        <v>0</v>
      </c>
      <c r="M5" s="443">
        <f>tertiair!M16</f>
        <v>0</v>
      </c>
      <c r="N5" s="443">
        <f ca="1">tertiair!N16</f>
        <v>2628.1490175589488</v>
      </c>
      <c r="O5" s="443">
        <f>tertiair!O16</f>
        <v>10.943333333333335</v>
      </c>
      <c r="P5" s="444">
        <f>tertiair!P16</f>
        <v>19.066666666666666</v>
      </c>
      <c r="Q5" s="442">
        <f t="shared" ref="Q5:Q14" ca="1" si="0">SUM(B5:P5)</f>
        <v>52006.329984547003</v>
      </c>
    </row>
    <row r="6" spans="1:17">
      <c r="A6" s="442" t="s">
        <v>187</v>
      </c>
      <c r="B6" s="443">
        <f>'openbare verlichting'!B8</f>
        <v>832.89200000000005</v>
      </c>
      <c r="C6" s="443"/>
      <c r="D6" s="443"/>
      <c r="E6" s="443"/>
      <c r="F6" s="443"/>
      <c r="G6" s="443"/>
      <c r="H6" s="443"/>
      <c r="I6" s="443"/>
      <c r="J6" s="443"/>
      <c r="K6" s="443"/>
      <c r="L6" s="443"/>
      <c r="M6" s="443"/>
      <c r="N6" s="443"/>
      <c r="O6" s="443"/>
      <c r="P6" s="444"/>
      <c r="Q6" s="442">
        <f t="shared" si="0"/>
        <v>832.89200000000005</v>
      </c>
    </row>
    <row r="7" spans="1:17">
      <c r="A7" s="442" t="s">
        <v>105</v>
      </c>
      <c r="B7" s="443">
        <f>landbouw!B8</f>
        <v>4459.2469753226042</v>
      </c>
      <c r="C7" s="443">
        <f>landbouw!C8</f>
        <v>62.357142857142847</v>
      </c>
      <c r="D7" s="443">
        <f>landbouw!D8</f>
        <v>53.697430850391214</v>
      </c>
      <c r="E7" s="443">
        <f>landbouw!E8</f>
        <v>131.07088871704775</v>
      </c>
      <c r="F7" s="443">
        <f>landbouw!F8</f>
        <v>18576.981934135118</v>
      </c>
      <c r="G7" s="443">
        <f>landbouw!G8</f>
        <v>0</v>
      </c>
      <c r="H7" s="443">
        <f>landbouw!H8</f>
        <v>0</v>
      </c>
      <c r="I7" s="443">
        <f>landbouw!I8</f>
        <v>0</v>
      </c>
      <c r="J7" s="443">
        <f>landbouw!J8</f>
        <v>646.0491232992573</v>
      </c>
      <c r="K7" s="443">
        <f>landbouw!K8</f>
        <v>0</v>
      </c>
      <c r="L7" s="443">
        <f>landbouw!L8</f>
        <v>0</v>
      </c>
      <c r="M7" s="443">
        <f>landbouw!M8</f>
        <v>0</v>
      </c>
      <c r="N7" s="443">
        <f>landbouw!N8</f>
        <v>0</v>
      </c>
      <c r="O7" s="443">
        <f>landbouw!O8</f>
        <v>0</v>
      </c>
      <c r="P7" s="444">
        <f>landbouw!P8</f>
        <v>0</v>
      </c>
      <c r="Q7" s="442">
        <f t="shared" si="0"/>
        <v>23929.403495181563</v>
      </c>
    </row>
    <row r="8" spans="1:17">
      <c r="A8" s="442" t="s">
        <v>621</v>
      </c>
      <c r="B8" s="443">
        <f>industrie!B18</f>
        <v>15386.603200485955</v>
      </c>
      <c r="C8" s="443">
        <f>industrie!C18</f>
        <v>0</v>
      </c>
      <c r="D8" s="443">
        <f>industrie!D18</f>
        <v>3983.7938994119313</v>
      </c>
      <c r="E8" s="443">
        <f>industrie!E18</f>
        <v>515.18027338177444</v>
      </c>
      <c r="F8" s="443">
        <f>industrie!F18</f>
        <v>2206.1740261841228</v>
      </c>
      <c r="G8" s="443">
        <f>industrie!G18</f>
        <v>0</v>
      </c>
      <c r="H8" s="443">
        <f>industrie!H18</f>
        <v>0</v>
      </c>
      <c r="I8" s="443">
        <f>industrie!I18</f>
        <v>0</v>
      </c>
      <c r="J8" s="443">
        <f>industrie!J18</f>
        <v>1.478473613450358</v>
      </c>
      <c r="K8" s="443">
        <f>industrie!K18</f>
        <v>0</v>
      </c>
      <c r="L8" s="443">
        <f>industrie!L18</f>
        <v>0</v>
      </c>
      <c r="M8" s="443">
        <f>industrie!M18</f>
        <v>0</v>
      </c>
      <c r="N8" s="443">
        <f>industrie!N18</f>
        <v>1105.7381878668273</v>
      </c>
      <c r="O8" s="443">
        <f>industrie!O18</f>
        <v>0</v>
      </c>
      <c r="P8" s="444">
        <f>industrie!P18</f>
        <v>0</v>
      </c>
      <c r="Q8" s="442">
        <f t="shared" si="0"/>
        <v>23198.968060944062</v>
      </c>
    </row>
    <row r="9" spans="1:17" s="448" customFormat="1">
      <c r="A9" s="446" t="s">
        <v>547</v>
      </c>
      <c r="B9" s="447">
        <f>transport!B14</f>
        <v>62.671842819464686</v>
      </c>
      <c r="C9" s="447">
        <f>transport!C14</f>
        <v>0</v>
      </c>
      <c r="D9" s="447">
        <f>transport!D14</f>
        <v>110.60120975121477</v>
      </c>
      <c r="E9" s="447">
        <f>transport!E14</f>
        <v>192.48834769470159</v>
      </c>
      <c r="F9" s="447">
        <f>transport!F14</f>
        <v>0</v>
      </c>
      <c r="G9" s="447">
        <f>transport!G14</f>
        <v>75906.751156748884</v>
      </c>
      <c r="H9" s="447">
        <f>transport!H14</f>
        <v>17775.279635879921</v>
      </c>
      <c r="I9" s="447">
        <f>transport!I14</f>
        <v>0</v>
      </c>
      <c r="J9" s="447">
        <f>transport!J14</f>
        <v>0</v>
      </c>
      <c r="K9" s="447">
        <f>transport!K14</f>
        <v>0</v>
      </c>
      <c r="L9" s="447">
        <f>transport!L14</f>
        <v>0</v>
      </c>
      <c r="M9" s="447">
        <f>transport!M14</f>
        <v>4958.1972937722567</v>
      </c>
      <c r="N9" s="447">
        <f>transport!N14</f>
        <v>0</v>
      </c>
      <c r="O9" s="447">
        <f>transport!O14</f>
        <v>0</v>
      </c>
      <c r="P9" s="447">
        <f>transport!P14</f>
        <v>0</v>
      </c>
      <c r="Q9" s="446">
        <f>SUM(B9:P9)</f>
        <v>99005.989486666454</v>
      </c>
    </row>
    <row r="10" spans="1:17">
      <c r="A10" s="442" t="s">
        <v>537</v>
      </c>
      <c r="B10" s="443">
        <f>transport!B54</f>
        <v>14.419913599953903</v>
      </c>
      <c r="C10" s="443">
        <f>transport!C54</f>
        <v>0</v>
      </c>
      <c r="D10" s="443">
        <f>transport!D54</f>
        <v>0</v>
      </c>
      <c r="E10" s="443">
        <f>transport!E54</f>
        <v>0</v>
      </c>
      <c r="F10" s="443">
        <f>transport!F54</f>
        <v>0</v>
      </c>
      <c r="G10" s="443">
        <f>transport!G54</f>
        <v>1354.6077521506286</v>
      </c>
      <c r="H10" s="443">
        <f>transport!H54</f>
        <v>0</v>
      </c>
      <c r="I10" s="443">
        <f>transport!I54</f>
        <v>0</v>
      </c>
      <c r="J10" s="443">
        <f>transport!J54</f>
        <v>0</v>
      </c>
      <c r="K10" s="443">
        <f>transport!K54</f>
        <v>0</v>
      </c>
      <c r="L10" s="443">
        <f>transport!L54</f>
        <v>0</v>
      </c>
      <c r="M10" s="443">
        <f>transport!M54</f>
        <v>78.007793214869949</v>
      </c>
      <c r="N10" s="443">
        <f>transport!N54</f>
        <v>0</v>
      </c>
      <c r="O10" s="443">
        <f>transport!O54</f>
        <v>0</v>
      </c>
      <c r="P10" s="444">
        <f>transport!P54</f>
        <v>0</v>
      </c>
      <c r="Q10" s="442">
        <f t="shared" si="0"/>
        <v>1447.0354589654523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1316.99436934444</v>
      </c>
      <c r="C14" s="450"/>
      <c r="D14" s="450">
        <f>'SEAP template'!E25</f>
        <v>3653.2998416757</v>
      </c>
      <c r="E14" s="450"/>
      <c r="F14" s="450"/>
      <c r="G14" s="450"/>
      <c r="H14" s="450"/>
      <c r="I14" s="450"/>
      <c r="J14" s="450"/>
      <c r="K14" s="450"/>
      <c r="L14" s="450"/>
      <c r="M14" s="450"/>
      <c r="N14" s="450"/>
      <c r="O14" s="450"/>
      <c r="P14" s="451"/>
      <c r="Q14" s="442">
        <f t="shared" si="0"/>
        <v>4970.2942110201402</v>
      </c>
    </row>
    <row r="15" spans="1:17" s="452" customFormat="1">
      <c r="A15" s="997" t="s">
        <v>541</v>
      </c>
      <c r="B15" s="945">
        <f ca="1">SUM(B4:B14)</f>
        <v>76674.907387449362</v>
      </c>
      <c r="C15" s="945">
        <f t="shared" ref="C15:Q15" ca="1" si="1">SUM(C4:C14)</f>
        <v>180.21428571428572</v>
      </c>
      <c r="D15" s="945">
        <f t="shared" ca="1" si="1"/>
        <v>97293.072643888023</v>
      </c>
      <c r="E15" s="945">
        <f t="shared" si="1"/>
        <v>2975.89016076591</v>
      </c>
      <c r="F15" s="945">
        <f t="shared" ca="1" si="1"/>
        <v>72638.899767870884</v>
      </c>
      <c r="G15" s="945">
        <f t="shared" si="1"/>
        <v>77261.358908899507</v>
      </c>
      <c r="H15" s="945">
        <f t="shared" si="1"/>
        <v>17775.279635879921</v>
      </c>
      <c r="I15" s="945">
        <f t="shared" si="1"/>
        <v>0</v>
      </c>
      <c r="J15" s="945">
        <f t="shared" si="1"/>
        <v>877.45829808426265</v>
      </c>
      <c r="K15" s="945">
        <f t="shared" si="1"/>
        <v>0</v>
      </c>
      <c r="L15" s="945">
        <f t="shared" ca="1" si="1"/>
        <v>0</v>
      </c>
      <c r="M15" s="945">
        <f t="shared" si="1"/>
        <v>5036.2050869871264</v>
      </c>
      <c r="N15" s="945">
        <f t="shared" ca="1" si="1"/>
        <v>14782.379848088771</v>
      </c>
      <c r="O15" s="945">
        <f t="shared" si="1"/>
        <v>489.32333333333338</v>
      </c>
      <c r="P15" s="945">
        <f t="shared" si="1"/>
        <v>2173.6</v>
      </c>
      <c r="Q15" s="945">
        <f t="shared" ca="1" si="1"/>
        <v>368158.58935696143</v>
      </c>
    </row>
    <row r="17" spans="1:17">
      <c r="A17" s="453" t="s">
        <v>542</v>
      </c>
      <c r="B17" s="752">
        <f ca="1">huishoudens!B10</f>
        <v>0.19167284610917998</v>
      </c>
      <c r="C17" s="752">
        <f ca="1">huishoudens!C10</f>
        <v>0.15541722039588726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6159.0277198171507</v>
      </c>
      <c r="C22" s="443">
        <f t="shared" ref="C22:C32" ca="1" si="3">C4*$C$17</f>
        <v>0</v>
      </c>
      <c r="D22" s="443">
        <f t="shared" ref="D22:D32" si="4">D4*$D$17</f>
        <v>13551.998663934382</v>
      </c>
      <c r="E22" s="443">
        <f t="shared" ref="E22:E32" si="5">E4*$E$17</f>
        <v>427.82544133396908</v>
      </c>
      <c r="F22" s="443">
        <f t="shared" ref="F22:F32" si="6">F4*$F$17</f>
        <v>12749.166427495968</v>
      </c>
      <c r="G22" s="443">
        <f t="shared" ref="G22:G32" si="7">G4*$G$17</f>
        <v>0</v>
      </c>
      <c r="H22" s="443">
        <f t="shared" ref="H22:H32" si="8">H4*$H$17</f>
        <v>0</v>
      </c>
      <c r="I22" s="443">
        <f t="shared" ref="I22:I32" si="9">I4*$I$17</f>
        <v>0</v>
      </c>
      <c r="J22" s="443">
        <f t="shared" ref="J22:J32" si="10">J4*$J$17</f>
        <v>81.337212399618792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32969.355464981083</v>
      </c>
    </row>
    <row r="23" spans="1:17">
      <c r="A23" s="442" t="s">
        <v>149</v>
      </c>
      <c r="B23" s="443">
        <f t="shared" ca="1" si="2"/>
        <v>4306.7081820514195</v>
      </c>
      <c r="C23" s="443">
        <f t="shared" ca="1" si="3"/>
        <v>18.317029546658141</v>
      </c>
      <c r="D23" s="443">
        <f t="shared" ca="1" si="4"/>
        <v>4525.3207490297727</v>
      </c>
      <c r="E23" s="443">
        <f t="shared" si="5"/>
        <v>57.307756436762567</v>
      </c>
      <c r="F23" s="443">
        <f t="shared" ca="1" si="6"/>
        <v>1096.3171691203227</v>
      </c>
      <c r="G23" s="443">
        <f t="shared" si="7"/>
        <v>0</v>
      </c>
      <c r="H23" s="443">
        <f t="shared" si="8"/>
        <v>0</v>
      </c>
      <c r="I23" s="443">
        <f t="shared" si="9"/>
        <v>0</v>
      </c>
      <c r="J23" s="443">
        <f t="shared" si="10"/>
        <v>5.8255815111694635E-2</v>
      </c>
      <c r="K23" s="443">
        <f t="shared" si="11"/>
        <v>0</v>
      </c>
      <c r="L23" s="443">
        <f t="shared" ca="1" si="12"/>
        <v>0</v>
      </c>
      <c r="M23" s="443">
        <f t="shared" si="13"/>
        <v>0</v>
      </c>
      <c r="N23" s="443">
        <f t="shared" ca="1" si="14"/>
        <v>0</v>
      </c>
      <c r="O23" s="443">
        <f t="shared" si="15"/>
        <v>0</v>
      </c>
      <c r="P23" s="444">
        <f t="shared" si="16"/>
        <v>0</v>
      </c>
      <c r="Q23" s="442">
        <f t="shared" ref="Q23:Q32" ca="1" si="17">SUM(B23:P23)</f>
        <v>10004.029142000047</v>
      </c>
    </row>
    <row r="24" spans="1:17">
      <c r="A24" s="442" t="s">
        <v>187</v>
      </c>
      <c r="B24" s="443">
        <f t="shared" ca="1" si="2"/>
        <v>159.64278014156713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159.64278014156713</v>
      </c>
    </row>
    <row r="25" spans="1:17">
      <c r="A25" s="442" t="s">
        <v>105</v>
      </c>
      <c r="B25" s="443">
        <f t="shared" ca="1" si="2"/>
        <v>854.71655926383585</v>
      </c>
      <c r="C25" s="443">
        <f t="shared" ca="1" si="3"/>
        <v>9.691373814686397</v>
      </c>
      <c r="D25" s="443">
        <f t="shared" si="4"/>
        <v>10.846881031779025</v>
      </c>
      <c r="E25" s="443">
        <f t="shared" si="5"/>
        <v>29.753091738769839</v>
      </c>
      <c r="F25" s="443">
        <f t="shared" si="6"/>
        <v>4960.0541764140771</v>
      </c>
      <c r="G25" s="443">
        <f t="shared" si="7"/>
        <v>0</v>
      </c>
      <c r="H25" s="443">
        <f t="shared" si="8"/>
        <v>0</v>
      </c>
      <c r="I25" s="443">
        <f t="shared" si="9"/>
        <v>0</v>
      </c>
      <c r="J25" s="443">
        <f t="shared" si="10"/>
        <v>228.70138964793708</v>
      </c>
      <c r="K25" s="443">
        <f t="shared" si="11"/>
        <v>0</v>
      </c>
      <c r="L25" s="443">
        <f t="shared" si="12"/>
        <v>0</v>
      </c>
      <c r="M25" s="443">
        <f t="shared" si="13"/>
        <v>0</v>
      </c>
      <c r="N25" s="443">
        <f t="shared" si="14"/>
        <v>0</v>
      </c>
      <c r="O25" s="443">
        <f t="shared" si="15"/>
        <v>0</v>
      </c>
      <c r="P25" s="444">
        <f t="shared" si="16"/>
        <v>0</v>
      </c>
      <c r="Q25" s="442">
        <f t="shared" ca="1" si="17"/>
        <v>6093.7634719110856</v>
      </c>
    </row>
    <row r="26" spans="1:17">
      <c r="A26" s="442" t="s">
        <v>621</v>
      </c>
      <c r="B26" s="443">
        <f t="shared" ca="1" si="2"/>
        <v>2949.1940273897608</v>
      </c>
      <c r="C26" s="443">
        <f t="shared" ca="1" si="3"/>
        <v>0</v>
      </c>
      <c r="D26" s="443">
        <f t="shared" si="4"/>
        <v>804.72636768121015</v>
      </c>
      <c r="E26" s="443">
        <f t="shared" si="5"/>
        <v>116.9459220576628</v>
      </c>
      <c r="F26" s="443">
        <f t="shared" si="6"/>
        <v>589.04846499116081</v>
      </c>
      <c r="G26" s="443">
        <f t="shared" si="7"/>
        <v>0</v>
      </c>
      <c r="H26" s="443">
        <f t="shared" si="8"/>
        <v>0</v>
      </c>
      <c r="I26" s="443">
        <f t="shared" si="9"/>
        <v>0</v>
      </c>
      <c r="J26" s="443">
        <f t="shared" si="10"/>
        <v>0.5233796591614267</v>
      </c>
      <c r="K26" s="443">
        <f t="shared" si="11"/>
        <v>0</v>
      </c>
      <c r="L26" s="443">
        <f t="shared" si="12"/>
        <v>0</v>
      </c>
      <c r="M26" s="443">
        <f t="shared" si="13"/>
        <v>0</v>
      </c>
      <c r="N26" s="443">
        <f t="shared" si="14"/>
        <v>0</v>
      </c>
      <c r="O26" s="443">
        <f t="shared" si="15"/>
        <v>0</v>
      </c>
      <c r="P26" s="444">
        <f t="shared" si="16"/>
        <v>0</v>
      </c>
      <c r="Q26" s="442">
        <f t="shared" ca="1" si="17"/>
        <v>4460.438161778955</v>
      </c>
    </row>
    <row r="27" spans="1:17" s="448" customFormat="1">
      <c r="A27" s="446" t="s">
        <v>547</v>
      </c>
      <c r="B27" s="746">
        <f t="shared" ca="1" si="2"/>
        <v>12.012490484113972</v>
      </c>
      <c r="C27" s="447">
        <f t="shared" ca="1" si="3"/>
        <v>0</v>
      </c>
      <c r="D27" s="447">
        <f t="shared" si="4"/>
        <v>22.341444369745386</v>
      </c>
      <c r="E27" s="447">
        <f t="shared" si="5"/>
        <v>43.694854926697261</v>
      </c>
      <c r="F27" s="447">
        <f t="shared" si="6"/>
        <v>0</v>
      </c>
      <c r="G27" s="447">
        <f t="shared" si="7"/>
        <v>20267.102558851951</v>
      </c>
      <c r="H27" s="447">
        <f t="shared" si="8"/>
        <v>4426.0446293341001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24771.19597796661</v>
      </c>
    </row>
    <row r="28" spans="1:17">
      <c r="A28" s="442" t="s">
        <v>537</v>
      </c>
      <c r="B28" s="443">
        <f t="shared" ca="1" si="2"/>
        <v>2.7639058803516359</v>
      </c>
      <c r="C28" s="443">
        <f t="shared" ca="1" si="3"/>
        <v>0</v>
      </c>
      <c r="D28" s="443">
        <f t="shared" si="4"/>
        <v>0</v>
      </c>
      <c r="E28" s="443">
        <f t="shared" si="5"/>
        <v>0</v>
      </c>
      <c r="F28" s="443">
        <f t="shared" si="6"/>
        <v>0</v>
      </c>
      <c r="G28" s="443">
        <f t="shared" si="7"/>
        <v>361.68026982421787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364.44417570456949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252.43205908201338</v>
      </c>
      <c r="C32" s="443">
        <f t="shared" ca="1" si="3"/>
        <v>0</v>
      </c>
      <c r="D32" s="443">
        <f t="shared" si="4"/>
        <v>737.96656801849144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990.39862710050488</v>
      </c>
    </row>
    <row r="33" spans="1:17" s="452" customFormat="1">
      <c r="A33" s="997" t="s">
        <v>541</v>
      </c>
      <c r="B33" s="945">
        <f ca="1">SUM(B22:B32)</f>
        <v>14696.497724110215</v>
      </c>
      <c r="C33" s="945">
        <f t="shared" ref="C33:Q33" ca="1" si="18">SUM(C22:C32)</f>
        <v>28.008403361344538</v>
      </c>
      <c r="D33" s="945">
        <f t="shared" ca="1" si="18"/>
        <v>19653.200674065381</v>
      </c>
      <c r="E33" s="945">
        <f t="shared" si="18"/>
        <v>675.52706649386153</v>
      </c>
      <c r="F33" s="945">
        <f t="shared" ca="1" si="18"/>
        <v>19394.586238021526</v>
      </c>
      <c r="G33" s="945">
        <f t="shared" si="18"/>
        <v>20628.782828676169</v>
      </c>
      <c r="H33" s="945">
        <f t="shared" si="18"/>
        <v>4426.0446293341001</v>
      </c>
      <c r="I33" s="945">
        <f t="shared" si="18"/>
        <v>0</v>
      </c>
      <c r="J33" s="945">
        <f t="shared" si="18"/>
        <v>310.62023752182898</v>
      </c>
      <c r="K33" s="945">
        <f t="shared" si="18"/>
        <v>0</v>
      </c>
      <c r="L33" s="945">
        <f t="shared" ca="1" si="18"/>
        <v>0</v>
      </c>
      <c r="M33" s="945">
        <f t="shared" si="18"/>
        <v>0</v>
      </c>
      <c r="N33" s="945">
        <f t="shared" ca="1" si="18"/>
        <v>0</v>
      </c>
      <c r="O33" s="945">
        <f t="shared" si="18"/>
        <v>0</v>
      </c>
      <c r="P33" s="945">
        <f t="shared" si="18"/>
        <v>0</v>
      </c>
      <c r="Q33" s="945">
        <f t="shared" ca="1" si="18"/>
        <v>79813.267801584414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1136.8157626680572</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7659.6663227122363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43.649999999999991</v>
      </c>
      <c r="C8" s="1014">
        <f>'SEAP template'!C76</f>
        <v>82.5</v>
      </c>
      <c r="D8" s="1014">
        <f>'SEAP template'!D76</f>
        <v>97.058823529411768</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19.60588235294118</v>
      </c>
    </row>
    <row r="9" spans="1:16">
      <c r="A9" s="1017" t="s">
        <v>819</v>
      </c>
      <c r="B9" s="1014">
        <f>'SEAP template'!B77</f>
        <v>1341</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3831.4285714285716</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10181.132085380294</v>
      </c>
      <c r="C10" s="1018">
        <f>SUM(C4:C9)</f>
        <v>82.5</v>
      </c>
      <c r="D10" s="1018">
        <f t="shared" ref="D10:H10" si="0">SUM(D8:D9)</f>
        <v>97.058823529411768</v>
      </c>
      <c r="E10" s="1018">
        <f t="shared" si="0"/>
        <v>0</v>
      </c>
      <c r="F10" s="1018">
        <f t="shared" si="0"/>
        <v>0</v>
      </c>
      <c r="G10" s="1018">
        <f t="shared" si="0"/>
        <v>0</v>
      </c>
      <c r="H10" s="1018">
        <f t="shared" si="0"/>
        <v>0</v>
      </c>
      <c r="I10" s="1018">
        <f>SUM(I8:I9)</f>
        <v>0</v>
      </c>
      <c r="J10" s="1018">
        <f>SUM(J8:J9)</f>
        <v>3882.7815126050423</v>
      </c>
      <c r="K10" s="1018">
        <f t="shared" ref="K10:L10" si="1">SUM(K8:K9)</f>
        <v>0</v>
      </c>
      <c r="L10" s="1018">
        <f t="shared" si="1"/>
        <v>0</v>
      </c>
      <c r="M10" s="1018">
        <f>SUM(M8:M9)</f>
        <v>0</v>
      </c>
      <c r="N10" s="1018">
        <f>SUM(N8:N9)</f>
        <v>0</v>
      </c>
      <c r="O10" s="1018">
        <f>SUM(O8:O9)</f>
        <v>0</v>
      </c>
      <c r="P10" s="1018">
        <f>SUM(P8:P9)</f>
        <v>19.60588235294118</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0.19167284610917998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62.357142857142854</v>
      </c>
      <c r="C17" s="1020">
        <f>'SEAP template'!C87</f>
        <v>117.85714285714288</v>
      </c>
      <c r="D17" s="1015">
        <f>'SEAP template'!D87</f>
        <v>138.65546218487395</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28.008403361344541</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62.357142857142854</v>
      </c>
      <c r="C20" s="1018">
        <f>SUM(C17:C19)</f>
        <v>117.85714285714288</v>
      </c>
      <c r="D20" s="1018">
        <f t="shared" ref="D20:H20" si="2">SUM(D17:D19)</f>
        <v>138.65546218487395</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28.008403361344541</v>
      </c>
    </row>
    <row r="22" spans="1:16">
      <c r="A22" s="453" t="s">
        <v>827</v>
      </c>
      <c r="B22" s="752" t="s">
        <v>821</v>
      </c>
      <c r="C22" s="752">
        <f ca="1">'EF ele_warmte'!B22</f>
        <v>0.15541722039588726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0.19167284610917998</v>
      </c>
      <c r="C17" s="490">
        <f ca="1">'EF ele_warmte'!B22</f>
        <v>0.15541722039588726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0.19167284610917998</v>
      </c>
      <c r="C17" s="490">
        <f ca="1">'EF ele_warmte'!B22</f>
        <v>0.15541722039588726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0.19167284610917998</v>
      </c>
      <c r="C29" s="491">
        <f ca="1">'EF ele_warmte'!B22</f>
        <v>0.15541722039588726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7441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3062.39</v>
      </c>
      <c r="C14" s="324"/>
      <c r="D14" s="324"/>
      <c r="E14" s="324"/>
      <c r="F14" s="324"/>
    </row>
    <row r="15" spans="1:6">
      <c r="A15" s="1289" t="s">
        <v>177</v>
      </c>
      <c r="B15" s="1290">
        <v>14429</v>
      </c>
      <c r="C15" s="324"/>
      <c r="D15" s="324"/>
      <c r="E15" s="324"/>
      <c r="F15" s="324"/>
    </row>
    <row r="16" spans="1:6">
      <c r="A16" s="1289" t="s">
        <v>6</v>
      </c>
      <c r="B16" s="1290">
        <v>3043</v>
      </c>
      <c r="C16" s="324"/>
      <c r="D16" s="324"/>
      <c r="E16" s="324"/>
      <c r="F16" s="324"/>
    </row>
    <row r="17" spans="1:6">
      <c r="A17" s="1289" t="s">
        <v>7</v>
      </c>
      <c r="B17" s="1290">
        <v>223</v>
      </c>
      <c r="C17" s="324"/>
      <c r="D17" s="324"/>
      <c r="E17" s="324"/>
      <c r="F17" s="324"/>
    </row>
    <row r="18" spans="1:6">
      <c r="A18" s="1289" t="s">
        <v>8</v>
      </c>
      <c r="B18" s="1290">
        <v>1577</v>
      </c>
      <c r="C18" s="324"/>
      <c r="D18" s="324"/>
      <c r="E18" s="324"/>
      <c r="F18" s="324"/>
    </row>
    <row r="19" spans="1:6">
      <c r="A19" s="1289" t="s">
        <v>9</v>
      </c>
      <c r="B19" s="1290">
        <v>1430</v>
      </c>
      <c r="C19" s="324"/>
      <c r="D19" s="324"/>
      <c r="E19" s="324"/>
      <c r="F19" s="324"/>
    </row>
    <row r="20" spans="1:6">
      <c r="A20" s="1289" t="s">
        <v>10</v>
      </c>
      <c r="B20" s="1290">
        <v>554</v>
      </c>
      <c r="C20" s="324"/>
      <c r="D20" s="324"/>
      <c r="E20" s="324"/>
      <c r="F20" s="324"/>
    </row>
    <row r="21" spans="1:6">
      <c r="A21" s="1289" t="s">
        <v>11</v>
      </c>
      <c r="B21" s="1290">
        <v>11193</v>
      </c>
      <c r="C21" s="324"/>
      <c r="D21" s="324"/>
      <c r="E21" s="324"/>
      <c r="F21" s="324"/>
    </row>
    <row r="22" spans="1:6">
      <c r="A22" s="1289" t="s">
        <v>12</v>
      </c>
      <c r="B22" s="1290">
        <v>27772</v>
      </c>
      <c r="C22" s="324"/>
      <c r="D22" s="324"/>
      <c r="E22" s="324"/>
      <c r="F22" s="324"/>
    </row>
    <row r="23" spans="1:6">
      <c r="A23" s="1289" t="s">
        <v>13</v>
      </c>
      <c r="B23" s="1290">
        <v>585</v>
      </c>
      <c r="C23" s="324"/>
      <c r="D23" s="324"/>
      <c r="E23" s="324"/>
      <c r="F23" s="324"/>
    </row>
    <row r="24" spans="1:6">
      <c r="A24" s="1289" t="s">
        <v>14</v>
      </c>
      <c r="B24" s="1290">
        <v>9</v>
      </c>
      <c r="C24" s="324"/>
      <c r="D24" s="324"/>
      <c r="E24" s="324"/>
      <c r="F24" s="324"/>
    </row>
    <row r="25" spans="1:6">
      <c r="A25" s="1289" t="s">
        <v>15</v>
      </c>
      <c r="B25" s="1290">
        <v>2667</v>
      </c>
      <c r="C25" s="324"/>
      <c r="D25" s="324"/>
      <c r="E25" s="324"/>
      <c r="F25" s="324"/>
    </row>
    <row r="26" spans="1:6">
      <c r="A26" s="1289" t="s">
        <v>16</v>
      </c>
      <c r="B26" s="1290">
        <v>207</v>
      </c>
      <c r="C26" s="324"/>
      <c r="D26" s="324"/>
      <c r="E26" s="324"/>
      <c r="F26" s="324"/>
    </row>
    <row r="27" spans="1:6">
      <c r="A27" s="1289" t="s">
        <v>17</v>
      </c>
      <c r="B27" s="1290">
        <v>771</v>
      </c>
      <c r="C27" s="324"/>
      <c r="D27" s="324"/>
      <c r="E27" s="324"/>
      <c r="F27" s="324"/>
    </row>
    <row r="28" spans="1:6">
      <c r="A28" s="1289" t="s">
        <v>18</v>
      </c>
      <c r="B28" s="1291">
        <v>541842</v>
      </c>
      <c r="C28" s="324"/>
      <c r="D28" s="324"/>
      <c r="E28" s="324"/>
      <c r="F28" s="324"/>
    </row>
    <row r="29" spans="1:6">
      <c r="A29" s="1289" t="s">
        <v>716</v>
      </c>
      <c r="B29" s="1291">
        <v>287</v>
      </c>
      <c r="C29" s="324"/>
      <c r="D29" s="324"/>
      <c r="E29" s="324"/>
      <c r="F29" s="324"/>
    </row>
    <row r="30" spans="1:6">
      <c r="A30" s="1284" t="s">
        <v>717</v>
      </c>
      <c r="B30" s="1292">
        <v>51</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81543.621442577496</v>
      </c>
      <c r="E38" s="1290">
        <v>6</v>
      </c>
      <c r="F38" s="1290">
        <v>317909.80705405999</v>
      </c>
    </row>
    <row r="39" spans="1:6">
      <c r="A39" s="1289" t="s">
        <v>29</v>
      </c>
      <c r="B39" s="1289" t="s">
        <v>30</v>
      </c>
      <c r="C39" s="1290">
        <v>4303</v>
      </c>
      <c r="D39" s="1290">
        <v>74378162.191468805</v>
      </c>
      <c r="E39" s="1290">
        <v>7332</v>
      </c>
      <c r="F39" s="1290">
        <v>25927607.472357899</v>
      </c>
    </row>
    <row r="40" spans="1:6">
      <c r="A40" s="1289" t="s">
        <v>29</v>
      </c>
      <c r="B40" s="1289" t="s">
        <v>28</v>
      </c>
      <c r="C40" s="1290">
        <v>0</v>
      </c>
      <c r="D40" s="1290">
        <v>0</v>
      </c>
      <c r="E40" s="1290">
        <v>0</v>
      </c>
      <c r="F40" s="1290">
        <v>0</v>
      </c>
    </row>
    <row r="41" spans="1:6">
      <c r="A41" s="1289" t="s">
        <v>31</v>
      </c>
      <c r="B41" s="1289" t="s">
        <v>32</v>
      </c>
      <c r="C41" s="1290">
        <v>73</v>
      </c>
      <c r="D41" s="1290">
        <v>1715502.01278773</v>
      </c>
      <c r="E41" s="1290">
        <v>172</v>
      </c>
      <c r="F41" s="1290">
        <v>1585678.7687868101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7</v>
      </c>
      <c r="F44" s="1290">
        <v>118340.192119652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4</v>
      </c>
      <c r="F47" s="1290">
        <v>102934.47869160501</v>
      </c>
    </row>
    <row r="48" spans="1:6">
      <c r="A48" s="1289" t="s">
        <v>31</v>
      </c>
      <c r="B48" s="1289" t="s">
        <v>28</v>
      </c>
      <c r="C48" s="1290">
        <v>24</v>
      </c>
      <c r="D48" s="1290">
        <v>966906.715544087</v>
      </c>
      <c r="E48" s="1290">
        <v>29</v>
      </c>
      <c r="F48" s="1290">
        <v>408536.75935638801</v>
      </c>
    </row>
    <row r="49" spans="1:6">
      <c r="A49" s="1289" t="s">
        <v>31</v>
      </c>
      <c r="B49" s="1289" t="s">
        <v>39</v>
      </c>
      <c r="C49" s="1290">
        <v>0</v>
      </c>
      <c r="D49" s="1290">
        <v>0</v>
      </c>
      <c r="E49" s="1290">
        <v>0</v>
      </c>
      <c r="F49" s="1290">
        <v>0</v>
      </c>
    </row>
    <row r="50" spans="1:6">
      <c r="A50" s="1289" t="s">
        <v>31</v>
      </c>
      <c r="B50" s="1289" t="s">
        <v>40</v>
      </c>
      <c r="C50" s="1290">
        <v>7</v>
      </c>
      <c r="D50" s="1290">
        <v>1734214.2200184399</v>
      </c>
      <c r="E50" s="1290">
        <v>16</v>
      </c>
      <c r="F50" s="1290">
        <v>13171113.0015315</v>
      </c>
    </row>
    <row r="51" spans="1:6">
      <c r="A51" s="1289" t="s">
        <v>41</v>
      </c>
      <c r="B51" s="1289" t="s">
        <v>42</v>
      </c>
      <c r="C51" s="1290">
        <v>0</v>
      </c>
      <c r="D51" s="1290">
        <v>0</v>
      </c>
      <c r="E51" s="1290">
        <v>138</v>
      </c>
      <c r="F51" s="1290">
        <v>4255449.8371135602</v>
      </c>
    </row>
    <row r="52" spans="1:6">
      <c r="A52" s="1289" t="s">
        <v>41</v>
      </c>
      <c r="B52" s="1289" t="s">
        <v>28</v>
      </c>
      <c r="C52" s="1290">
        <v>4</v>
      </c>
      <c r="D52" s="1290">
        <v>59531.519789790698</v>
      </c>
      <c r="E52" s="1290">
        <v>7</v>
      </c>
      <c r="F52" s="1290">
        <v>203797.138209044</v>
      </c>
    </row>
    <row r="53" spans="1:6">
      <c r="A53" s="1289" t="s">
        <v>43</v>
      </c>
      <c r="B53" s="1289" t="s">
        <v>44</v>
      </c>
      <c r="C53" s="1290">
        <v>110</v>
      </c>
      <c r="D53" s="1290">
        <v>3653299.8416757002</v>
      </c>
      <c r="E53" s="1290">
        <v>278</v>
      </c>
      <c r="F53" s="1290">
        <v>1316994.3693444401</v>
      </c>
    </row>
    <row r="54" spans="1:6">
      <c r="A54" s="1289" t="s">
        <v>45</v>
      </c>
      <c r="B54" s="1289" t="s">
        <v>46</v>
      </c>
      <c r="C54" s="1290">
        <v>0</v>
      </c>
      <c r="D54" s="1290">
        <v>0</v>
      </c>
      <c r="E54" s="1290">
        <v>1</v>
      </c>
      <c r="F54" s="1290">
        <v>832892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43</v>
      </c>
      <c r="D57" s="1290">
        <v>3434734.0461062999</v>
      </c>
      <c r="E57" s="1290">
        <v>170</v>
      </c>
      <c r="F57" s="1290">
        <v>7311201.9939598003</v>
      </c>
    </row>
    <row r="58" spans="1:6">
      <c r="A58" s="1289" t="s">
        <v>48</v>
      </c>
      <c r="B58" s="1289" t="s">
        <v>50</v>
      </c>
      <c r="C58" s="1290">
        <v>31</v>
      </c>
      <c r="D58" s="1290">
        <v>1406694.14937336</v>
      </c>
      <c r="E58" s="1290">
        <v>45</v>
      </c>
      <c r="F58" s="1290">
        <v>443706.29883306299</v>
      </c>
    </row>
    <row r="59" spans="1:6">
      <c r="A59" s="1289" t="s">
        <v>48</v>
      </c>
      <c r="B59" s="1289" t="s">
        <v>51</v>
      </c>
      <c r="C59" s="1290">
        <v>67</v>
      </c>
      <c r="D59" s="1290">
        <v>2265090.9317703801</v>
      </c>
      <c r="E59" s="1290">
        <v>162</v>
      </c>
      <c r="F59" s="1290">
        <v>4083534.5554121202</v>
      </c>
    </row>
    <row r="60" spans="1:6">
      <c r="A60" s="1289" t="s">
        <v>48</v>
      </c>
      <c r="B60" s="1289" t="s">
        <v>52</v>
      </c>
      <c r="C60" s="1290">
        <v>72</v>
      </c>
      <c r="D60" s="1290">
        <v>8077553.4248056402</v>
      </c>
      <c r="E60" s="1290">
        <v>117</v>
      </c>
      <c r="F60" s="1290">
        <v>4355509.2587497504</v>
      </c>
    </row>
    <row r="61" spans="1:6">
      <c r="A61" s="1289" t="s">
        <v>48</v>
      </c>
      <c r="B61" s="1289" t="s">
        <v>53</v>
      </c>
      <c r="C61" s="1290">
        <v>130</v>
      </c>
      <c r="D61" s="1290">
        <v>3200088.6156122899</v>
      </c>
      <c r="E61" s="1290">
        <v>240</v>
      </c>
      <c r="F61" s="1290">
        <v>2221030.9031179398</v>
      </c>
    </row>
    <row r="62" spans="1:6">
      <c r="A62" s="1289" t="s">
        <v>48</v>
      </c>
      <c r="B62" s="1289" t="s">
        <v>54</v>
      </c>
      <c r="C62" s="1290">
        <v>6</v>
      </c>
      <c r="D62" s="1290">
        <v>494183.33872831299</v>
      </c>
      <c r="E62" s="1290">
        <v>14</v>
      </c>
      <c r="F62" s="1290">
        <v>207757.067580915</v>
      </c>
    </row>
    <row r="63" spans="1:6">
      <c r="A63" s="1289" t="s">
        <v>48</v>
      </c>
      <c r="B63" s="1289" t="s">
        <v>28</v>
      </c>
      <c r="C63" s="1290">
        <v>92</v>
      </c>
      <c r="D63" s="1290">
        <v>6219540.4727702504</v>
      </c>
      <c r="E63" s="1290">
        <v>109</v>
      </c>
      <c r="F63" s="1290">
        <v>2422817.3265352598</v>
      </c>
    </row>
    <row r="64" spans="1:6">
      <c r="A64" s="1289" t="s">
        <v>55</v>
      </c>
      <c r="B64" s="1289" t="s">
        <v>56</v>
      </c>
      <c r="C64" s="1290">
        <v>0</v>
      </c>
      <c r="D64" s="1290">
        <v>0</v>
      </c>
      <c r="E64" s="1290">
        <v>0</v>
      </c>
      <c r="F64" s="1290">
        <v>0</v>
      </c>
    </row>
    <row r="65" spans="1:6">
      <c r="A65" s="1289" t="s">
        <v>55</v>
      </c>
      <c r="B65" s="1289" t="s">
        <v>28</v>
      </c>
      <c r="C65" s="1290">
        <v>2</v>
      </c>
      <c r="D65" s="1290">
        <v>251346.30852044499</v>
      </c>
      <c r="E65" s="1290">
        <v>1</v>
      </c>
      <c r="F65" s="1290">
        <v>5082</v>
      </c>
    </row>
    <row r="66" spans="1:6">
      <c r="A66" s="1289" t="s">
        <v>55</v>
      </c>
      <c r="B66" s="1289" t="s">
        <v>57</v>
      </c>
      <c r="C66" s="1290">
        <v>0</v>
      </c>
      <c r="D66" s="1290">
        <v>0</v>
      </c>
      <c r="E66" s="1290">
        <v>11</v>
      </c>
      <c r="F66" s="1290">
        <v>641416.76895735704</v>
      </c>
    </row>
    <row r="67" spans="1:6">
      <c r="A67" s="1289" t="s">
        <v>55</v>
      </c>
      <c r="B67" s="1289" t="s">
        <v>58</v>
      </c>
      <c r="C67" s="1290">
        <v>0</v>
      </c>
      <c r="D67" s="1290">
        <v>0</v>
      </c>
      <c r="E67" s="1290">
        <v>0</v>
      </c>
      <c r="F67" s="1290">
        <v>0</v>
      </c>
    </row>
    <row r="68" spans="1:6">
      <c r="A68" s="1284" t="s">
        <v>55</v>
      </c>
      <c r="B68" s="1284" t="s">
        <v>59</v>
      </c>
      <c r="C68" s="1292">
        <v>3</v>
      </c>
      <c r="D68" s="1292">
        <v>70977.563558341906</v>
      </c>
      <c r="E68" s="1292">
        <v>6</v>
      </c>
      <c r="F68" s="1292">
        <v>26578.2574672726</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100414727</v>
      </c>
      <c r="E73" s="441"/>
      <c r="F73" s="324"/>
    </row>
    <row r="74" spans="1:6">
      <c r="A74" s="1289" t="s">
        <v>63</v>
      </c>
      <c r="B74" s="1289" t="s">
        <v>642</v>
      </c>
      <c r="C74" s="1302" t="s">
        <v>644</v>
      </c>
      <c r="D74" s="1290">
        <v>6423475</v>
      </c>
      <c r="E74" s="441"/>
      <c r="F74" s="324"/>
    </row>
    <row r="75" spans="1:6">
      <c r="A75" s="1289" t="s">
        <v>64</v>
      </c>
      <c r="B75" s="1289" t="s">
        <v>641</v>
      </c>
      <c r="C75" s="1302" t="s">
        <v>645</v>
      </c>
      <c r="D75" s="1290">
        <v>20410236</v>
      </c>
      <c r="E75" s="441"/>
      <c r="F75" s="324"/>
    </row>
    <row r="76" spans="1:6">
      <c r="A76" s="1289" t="s">
        <v>64</v>
      </c>
      <c r="B76" s="1289" t="s">
        <v>642</v>
      </c>
      <c r="C76" s="1302" t="s">
        <v>646</v>
      </c>
      <c r="D76" s="1290">
        <v>903692</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393574</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1136.8157626680572</v>
      </c>
      <c r="C90" s="324"/>
      <c r="D90" s="324"/>
      <c r="E90" s="324"/>
      <c r="F90" s="324"/>
    </row>
    <row r="91" spans="1:6">
      <c r="A91" s="1289" t="s">
        <v>67</v>
      </c>
      <c r="B91" s="1290">
        <v>6205.4142093302189</v>
      </c>
      <c r="C91" s="324"/>
      <c r="D91" s="324"/>
      <c r="E91" s="324"/>
      <c r="F91" s="324"/>
    </row>
    <row r="92" spans="1:6">
      <c r="A92" s="1284" t="s">
        <v>68</v>
      </c>
      <c r="B92" s="1285">
        <v>1454.2521133820171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2144</v>
      </c>
      <c r="C97" s="324"/>
      <c r="D97" s="324"/>
      <c r="E97" s="324"/>
      <c r="F97" s="324"/>
    </row>
    <row r="98" spans="1:6">
      <c r="A98" s="1289" t="s">
        <v>71</v>
      </c>
      <c r="B98" s="1290">
        <v>12</v>
      </c>
      <c r="C98" s="324"/>
      <c r="D98" s="324"/>
      <c r="E98" s="324"/>
      <c r="F98" s="324"/>
    </row>
    <row r="99" spans="1:6">
      <c r="A99" s="1289" t="s">
        <v>72</v>
      </c>
      <c r="B99" s="1290">
        <v>63</v>
      </c>
      <c r="C99" s="324"/>
      <c r="D99" s="324"/>
      <c r="E99" s="324"/>
      <c r="F99" s="324"/>
    </row>
    <row r="100" spans="1:6">
      <c r="A100" s="1289" t="s">
        <v>73</v>
      </c>
      <c r="B100" s="1290">
        <v>245</v>
      </c>
      <c r="C100" s="324"/>
      <c r="D100" s="324"/>
      <c r="E100" s="324"/>
      <c r="F100" s="324"/>
    </row>
    <row r="101" spans="1:6">
      <c r="A101" s="1289" t="s">
        <v>74</v>
      </c>
      <c r="B101" s="1290">
        <v>193</v>
      </c>
      <c r="C101" s="324"/>
      <c r="D101" s="324"/>
      <c r="E101" s="324"/>
      <c r="F101" s="324"/>
    </row>
    <row r="102" spans="1:6">
      <c r="A102" s="1289" t="s">
        <v>75</v>
      </c>
      <c r="B102" s="1290">
        <v>70</v>
      </c>
      <c r="C102" s="324"/>
      <c r="D102" s="324"/>
      <c r="E102" s="324"/>
      <c r="F102" s="324"/>
    </row>
    <row r="103" spans="1:6">
      <c r="A103" s="1289" t="s">
        <v>76</v>
      </c>
      <c r="B103" s="1290">
        <v>116</v>
      </c>
      <c r="C103" s="324"/>
      <c r="D103" s="324"/>
      <c r="E103" s="324"/>
      <c r="F103" s="324"/>
    </row>
    <row r="104" spans="1:6">
      <c r="A104" s="1289" t="s">
        <v>77</v>
      </c>
      <c r="B104" s="1290">
        <v>3477</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62</v>
      </c>
      <c r="C123" s="1290">
        <v>50</v>
      </c>
      <c r="D123" s="324"/>
      <c r="E123" s="324"/>
      <c r="F123" s="324"/>
    </row>
    <row r="124" spans="1:6">
      <c r="A124" s="1289" t="s">
        <v>88</v>
      </c>
      <c r="B124" s="1290">
        <v>3</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256</v>
      </c>
      <c r="C129" s="324"/>
      <c r="D129" s="324"/>
      <c r="E129" s="324"/>
      <c r="F129" s="324"/>
    </row>
    <row r="130" spans="1:6">
      <c r="A130" s="1289" t="s">
        <v>283</v>
      </c>
      <c r="B130" s="1290">
        <v>7</v>
      </c>
      <c r="C130" s="324"/>
      <c r="D130" s="324"/>
      <c r="E130" s="324"/>
      <c r="F130" s="324"/>
    </row>
    <row r="131" spans="1:6">
      <c r="A131" s="1289" t="s">
        <v>284</v>
      </c>
      <c r="B131" s="1290">
        <v>1</v>
      </c>
      <c r="C131" s="324"/>
      <c r="D131" s="324"/>
      <c r="E131" s="324"/>
      <c r="F131" s="324"/>
    </row>
    <row r="132" spans="1:6">
      <c r="A132" s="1284" t="s">
        <v>285</v>
      </c>
      <c r="B132" s="1285">
        <v>48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76674.907387449392</v>
      </c>
      <c r="C3" s="43" t="s">
        <v>163</v>
      </c>
      <c r="D3" s="43"/>
      <c r="E3" s="154"/>
      <c r="F3" s="43"/>
      <c r="G3" s="43"/>
      <c r="H3" s="43"/>
      <c r="I3" s="43"/>
      <c r="J3" s="43"/>
      <c r="K3" s="96"/>
    </row>
    <row r="4" spans="1:11">
      <c r="A4" s="350" t="s">
        <v>164</v>
      </c>
      <c r="B4" s="49">
        <f>IF(ISERROR('SEAP template'!B78+'SEAP template'!C78),0,'SEAP template'!B78+'SEAP template'!C78)</f>
        <v>10263.632085380294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19.60588235294118</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0.19167284610917998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28.008403361344541</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180.21428571428572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0.15541722039588726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832.89200000000005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832.89200000000005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0.19167284610917998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159.64278014156713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25927.6074723579</v>
      </c>
      <c r="C5" s="17">
        <f>IF(ISERROR('Eigen informatie GS &amp; warmtenet'!B57),0,'Eigen informatie GS &amp; warmtenet'!B57)</f>
        <v>0</v>
      </c>
      <c r="D5" s="30">
        <f>(SUM(HH_hh_gas_kWh,HH_rest_gas_kWh)/1000)*0.902</f>
        <v>67089.102296704863</v>
      </c>
      <c r="E5" s="17">
        <f>B32*B41</f>
        <v>1884.6935741584541</v>
      </c>
      <c r="F5" s="17">
        <f>B36*B45</f>
        <v>47749.686994366915</v>
      </c>
      <c r="G5" s="18"/>
      <c r="H5" s="17"/>
      <c r="I5" s="17"/>
      <c r="J5" s="17">
        <f>B35*B44+C35*C44</f>
        <v>229.766136722087</v>
      </c>
      <c r="K5" s="17"/>
      <c r="L5" s="17"/>
      <c r="M5" s="17"/>
      <c r="N5" s="17">
        <f>B34*B43+C34*C43</f>
        <v>11048.492642662995</v>
      </c>
      <c r="O5" s="17">
        <f>B52*B53*B54</f>
        <v>478.38000000000005</v>
      </c>
      <c r="P5" s="17">
        <f>B60*B61*B62/1000-B60*B61*B62/1000/B63</f>
        <v>2154.5333333333333</v>
      </c>
    </row>
    <row r="6" spans="1:16">
      <c r="A6" s="16" t="s">
        <v>607</v>
      </c>
      <c r="B6" s="754">
        <f>kWh_PV_kleiner_dan_10kW</f>
        <v>6205.4142093302189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32133.021681688118</v>
      </c>
      <c r="C8" s="21">
        <f>C5</f>
        <v>0</v>
      </c>
      <c r="D8" s="21">
        <f>D5</f>
        <v>67089.102296704863</v>
      </c>
      <c r="E8" s="21">
        <f>E5</f>
        <v>1884.6935741584541</v>
      </c>
      <c r="F8" s="21">
        <f>F5</f>
        <v>47749.686994366915</v>
      </c>
      <c r="G8" s="21"/>
      <c r="H8" s="21"/>
      <c r="I8" s="21"/>
      <c r="J8" s="21">
        <f>J5</f>
        <v>229.766136722087</v>
      </c>
      <c r="K8" s="21"/>
      <c r="L8" s="21">
        <f>L5</f>
        <v>0</v>
      </c>
      <c r="M8" s="21">
        <f>M5</f>
        <v>0</v>
      </c>
      <c r="N8" s="21">
        <f>N5</f>
        <v>11048.492642662995</v>
      </c>
      <c r="O8" s="21">
        <f>O5</f>
        <v>478.38000000000005</v>
      </c>
      <c r="P8" s="21">
        <f>P5</f>
        <v>2154.5333333333333</v>
      </c>
    </row>
    <row r="9" spans="1:16">
      <c r="B9" s="19"/>
      <c r="C9" s="19"/>
      <c r="D9" s="254"/>
      <c r="E9" s="19"/>
      <c r="F9" s="19"/>
      <c r="G9" s="19"/>
      <c r="H9" s="19"/>
      <c r="I9" s="19"/>
      <c r="J9" s="19"/>
      <c r="K9" s="19"/>
      <c r="L9" s="19"/>
      <c r="M9" s="19"/>
      <c r="N9" s="19"/>
      <c r="O9" s="19"/>
      <c r="P9" s="19"/>
    </row>
    <row r="10" spans="1:16">
      <c r="A10" s="24" t="s">
        <v>207</v>
      </c>
      <c r="B10" s="25">
        <f ca="1">'EF ele_warmte'!B12</f>
        <v>0.19167284610917998</v>
      </c>
      <c r="C10" s="25">
        <f ca="1">'EF ele_warmte'!B22</f>
        <v>0.15541722039588726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6159.0277198171507</v>
      </c>
      <c r="C12" s="23">
        <f ca="1">C10*C8</f>
        <v>0</v>
      </c>
      <c r="D12" s="23">
        <f>D8*D10</f>
        <v>13551.998663934382</v>
      </c>
      <c r="E12" s="23">
        <f>E10*E8</f>
        <v>427.82544133396908</v>
      </c>
      <c r="F12" s="23">
        <f>F10*F8</f>
        <v>12749.166427495968</v>
      </c>
      <c r="G12" s="23"/>
      <c r="H12" s="23"/>
      <c r="I12" s="23"/>
      <c r="J12" s="23">
        <f>J10*J8</f>
        <v>81.337212399618792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7441</v>
      </c>
      <c r="C26" s="36"/>
      <c r="D26" s="225"/>
    </row>
    <row r="27" spans="1:5" s="15" customFormat="1">
      <c r="A27" s="227" t="s">
        <v>762</v>
      </c>
      <c r="B27" s="37">
        <f>SUM(HH_hh_gas_aantal,HH_rest_gas_aantal)</f>
        <v>4303</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4087.85</v>
      </c>
      <c r="C31" s="34" t="s">
        <v>104</v>
      </c>
      <c r="D31" s="171"/>
    </row>
    <row r="32" spans="1:5">
      <c r="A32" s="168" t="s">
        <v>72</v>
      </c>
      <c r="B32" s="33">
        <f>IF((B21*($B$26-($B$27-0.05*$B$27)-$B$60))&lt;0,0,B21*($B$26-($B$27-0.05*$B$27)-$B$60))</f>
        <v>35.643251604163112</v>
      </c>
      <c r="C32" s="34" t="s">
        <v>104</v>
      </c>
      <c r="D32" s="171"/>
    </row>
    <row r="33" spans="1:6">
      <c r="A33" s="168" t="s">
        <v>73</v>
      </c>
      <c r="B33" s="33">
        <f>IF((B22*($B$26-($B$27-0.05*$B$27)-$B$60))&lt;0,0,B22*($B$26-($B$27-0.05*$B$27)-$B$60))</f>
        <v>741.05313295840915</v>
      </c>
      <c r="C33" s="34" t="s">
        <v>104</v>
      </c>
      <c r="D33" s="171"/>
    </row>
    <row r="34" spans="1:6">
      <c r="A34" s="168" t="s">
        <v>74</v>
      </c>
      <c r="B34" s="33">
        <f>IF((B24*($B$26-($B$27-0.05*$B$27)-$B$60))&lt;0,0,B24*($B$26-($B$27-0.05*$B$27)-$B$60))</f>
        <v>147.36912419066741</v>
      </c>
      <c r="C34" s="33">
        <f>B26*C24</f>
        <v>1523.139603410154</v>
      </c>
      <c r="D34" s="230"/>
    </row>
    <row r="35" spans="1:6">
      <c r="A35" s="168" t="s">
        <v>76</v>
      </c>
      <c r="B35" s="33">
        <f>IF((B19*($B$26-($B$27-0.05*$B$27)-$B$60))&lt;0,0,B19*($B$26-($B$27-0.05*$B$27)-$B$60))</f>
        <v>26.978098028383215</v>
      </c>
      <c r="C35" s="33">
        <f>B35/2</f>
        <v>13.489049014191608</v>
      </c>
      <c r="D35" s="230"/>
    </row>
    <row r="36" spans="1:6">
      <c r="A36" s="168" t="s">
        <v>77</v>
      </c>
      <c r="B36" s="33">
        <f>IF((B18*($B$26-($B$27-0.05*$B$27)-$B$60))&lt;0,0,B18*($B$26-($B$27-0.05*$B$27)-$B$60))</f>
        <v>2289.1063932183774</v>
      </c>
      <c r="C36" s="34" t="s">
        <v>104</v>
      </c>
      <c r="D36" s="171"/>
    </row>
    <row r="37" spans="1:6">
      <c r="A37" s="168" t="s">
        <v>78</v>
      </c>
      <c r="B37" s="33">
        <f>B60</f>
        <v>113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306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113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21045.557404188847</v>
      </c>
      <c r="C5" s="17">
        <f>IF(ISERROR('Eigen informatie GS &amp; warmtenet'!B58),0,'Eigen informatie GS &amp; warmtenet'!B58)</f>
        <v>0</v>
      </c>
      <c r="D5" s="30">
        <f>SUM(D6:D12)</f>
        <v>22638.292251208211</v>
      </c>
      <c r="E5" s="17">
        <f>SUM(E6:E12)</f>
        <v>252.45707681393202</v>
      </c>
      <c r="F5" s="17">
        <f>SUM(F6:F12)</f>
        <v>4106.0568131847285</v>
      </c>
      <c r="G5" s="18"/>
      <c r="H5" s="17"/>
      <c r="I5" s="17"/>
      <c r="J5" s="17">
        <f>SUM(J6:J12)</f>
        <v>0.16456444946806395</v>
      </c>
      <c r="K5" s="17"/>
      <c r="L5" s="17"/>
      <c r="M5" s="17"/>
      <c r="N5" s="17">
        <f>SUM(N6:N12)</f>
        <v>6459.5775889875204</v>
      </c>
      <c r="O5" s="17">
        <f>B38*B39*B40</f>
        <v>10.943333333333335</v>
      </c>
      <c r="P5" s="17">
        <f>B46*B47*B48/1000-B46*B47*B48/1000/B49</f>
        <v>19.066666666666666</v>
      </c>
      <c r="R5" s="32"/>
    </row>
    <row r="6" spans="1:18">
      <c r="A6" s="32" t="s">
        <v>53</v>
      </c>
      <c r="B6" s="37">
        <f>B26</f>
        <v>2221.0309031179399</v>
      </c>
      <c r="C6" s="33"/>
      <c r="D6" s="37">
        <f>IF(ISERROR(TER_kantoor_gas_kWh/1000),0,TER_kantoor_gas_kWh/1000)*0.902</f>
        <v>2886.4799312822852</v>
      </c>
      <c r="E6" s="33">
        <f>$C$26*'E Balans VL '!I12/100/3.6*1000000</f>
        <v>1.39206829974377E-2</v>
      </c>
      <c r="F6" s="33">
        <f>$C$26*('E Balans VL '!L12+'E Balans VL '!N12)/100/3.6*1000000</f>
        <v>333.75888321615236</v>
      </c>
      <c r="G6" s="34"/>
      <c r="H6" s="33"/>
      <c r="I6" s="33"/>
      <c r="J6" s="33">
        <f>$C$26*('E Balans VL '!D12+'E Balans VL '!E12)/100/3.6*1000000</f>
        <v>0</v>
      </c>
      <c r="K6" s="33"/>
      <c r="L6" s="33"/>
      <c r="M6" s="33"/>
      <c r="N6" s="33">
        <f>$C$26*'E Balans VL '!Y12/100/3.6*1000000</f>
        <v>2.1240867548617328</v>
      </c>
      <c r="O6" s="33"/>
      <c r="P6" s="33"/>
      <c r="R6" s="32"/>
    </row>
    <row r="7" spans="1:18">
      <c r="A7" s="32" t="s">
        <v>52</v>
      </c>
      <c r="B7" s="37">
        <f t="shared" ref="B7:B12" si="0">B27</f>
        <v>4355.5092587497502</v>
      </c>
      <c r="C7" s="33"/>
      <c r="D7" s="37">
        <f>IF(ISERROR(TER_horeca_gas_kWh/1000),0,TER_horeca_gas_kWh/1000)*0.902</f>
        <v>7285.9531891746874</v>
      </c>
      <c r="E7" s="33">
        <f>$C$27*'E Balans VL '!I9/100/3.6*1000000</f>
        <v>62.37016709594846</v>
      </c>
      <c r="F7" s="33">
        <f>$C$27*('E Balans VL '!L9+'E Balans VL '!N9)/100/3.6*1000000</f>
        <v>551.55112238732124</v>
      </c>
      <c r="G7" s="34"/>
      <c r="H7" s="33"/>
      <c r="I7" s="33"/>
      <c r="J7" s="33">
        <f>$C$27*('E Balans VL '!D9+'E Balans VL '!E9)/100/3.6*1000000</f>
        <v>0</v>
      </c>
      <c r="K7" s="33"/>
      <c r="L7" s="33"/>
      <c r="M7" s="33"/>
      <c r="N7" s="33">
        <f>$C$27*'E Balans VL '!Y9/100/3.6*1000000</f>
        <v>1.2521128811546443</v>
      </c>
      <c r="O7" s="33"/>
      <c r="P7" s="33"/>
      <c r="R7" s="32"/>
    </row>
    <row r="8" spans="1:18">
      <c r="A8" s="6" t="s">
        <v>51</v>
      </c>
      <c r="B8" s="37">
        <f t="shared" si="0"/>
        <v>4083.53455541212</v>
      </c>
      <c r="C8" s="33"/>
      <c r="D8" s="37">
        <f>IF(ISERROR(TER_handel_gas_kWh/1000),0,TER_handel_gas_kWh/1000)*0.902</f>
        <v>2043.1120204568826</v>
      </c>
      <c r="E8" s="33">
        <f>$C$28*'E Balans VL '!I13/100/3.6*1000000</f>
        <v>148.10929476587643</v>
      </c>
      <c r="F8" s="33">
        <f>$C$28*('E Balans VL '!L13+'E Balans VL '!N13)/100/3.6*1000000</f>
        <v>786.53010378859813</v>
      </c>
      <c r="G8" s="34"/>
      <c r="H8" s="33"/>
      <c r="I8" s="33"/>
      <c r="J8" s="33">
        <f>$C$28*('E Balans VL '!D13+'E Balans VL '!E13)/100/3.6*1000000</f>
        <v>0</v>
      </c>
      <c r="K8" s="33"/>
      <c r="L8" s="33"/>
      <c r="M8" s="33"/>
      <c r="N8" s="33">
        <f>$C$28*'E Balans VL '!Y13/100/3.6*1000000</f>
        <v>5.656634938643001</v>
      </c>
      <c r="O8" s="33"/>
      <c r="P8" s="33"/>
      <c r="R8" s="32"/>
    </row>
    <row r="9" spans="1:18">
      <c r="A9" s="32" t="s">
        <v>50</v>
      </c>
      <c r="B9" s="37">
        <f t="shared" si="0"/>
        <v>443.70629883306299</v>
      </c>
      <c r="C9" s="33"/>
      <c r="D9" s="37">
        <f>IF(ISERROR(TER_gezond_gas_kWh/1000),0,TER_gezond_gas_kWh/1000)*0.902</f>
        <v>1268.8381227347706</v>
      </c>
      <c r="E9" s="33">
        <f>$C$29*'E Balans VL '!I10/100/3.6*1000000</f>
        <v>2.7780395115211947E-2</v>
      </c>
      <c r="F9" s="33">
        <f>$C$29*('E Balans VL '!L10+'E Balans VL '!N10)/100/3.6*1000000</f>
        <v>65.91392164867311</v>
      </c>
      <c r="G9" s="34"/>
      <c r="H9" s="33"/>
      <c r="I9" s="33"/>
      <c r="J9" s="33">
        <f>$C$29*('E Balans VL '!D10+'E Balans VL '!E10)/100/3.6*1000000</f>
        <v>0</v>
      </c>
      <c r="K9" s="33"/>
      <c r="L9" s="33"/>
      <c r="M9" s="33"/>
      <c r="N9" s="33">
        <f>$C$29*'E Balans VL '!Y10/100/3.6*1000000</f>
        <v>6.8632918443479083</v>
      </c>
      <c r="O9" s="33"/>
      <c r="P9" s="33"/>
      <c r="R9" s="32"/>
    </row>
    <row r="10" spans="1:18">
      <c r="A10" s="32" t="s">
        <v>49</v>
      </c>
      <c r="B10" s="37">
        <f t="shared" si="0"/>
        <v>7311.2019939598003</v>
      </c>
      <c r="C10" s="33"/>
      <c r="D10" s="37">
        <f>IF(ISERROR(TER_ander_gas_kWh/1000),0,TER_ander_gas_kWh/1000)*0.902</f>
        <v>3098.1301095878825</v>
      </c>
      <c r="E10" s="33">
        <f>$C$30*'E Balans VL '!I14/100/3.6*1000000</f>
        <v>8.714691518585699</v>
      </c>
      <c r="F10" s="33">
        <f>$C$30*('E Balans VL '!L14+'E Balans VL '!N14)/100/3.6*1000000</f>
        <v>1912.9354721316172</v>
      </c>
      <c r="G10" s="34"/>
      <c r="H10" s="33"/>
      <c r="I10" s="33"/>
      <c r="J10" s="33">
        <f>$C$30*('E Balans VL '!D14+'E Balans VL '!E14)/100/3.6*1000000</f>
        <v>0.15869753616838542</v>
      </c>
      <c r="K10" s="33"/>
      <c r="L10" s="33"/>
      <c r="M10" s="33"/>
      <c r="N10" s="33">
        <f>$C$30*'E Balans VL '!Y14/100/3.6*1000000</f>
        <v>6208.4938306761032</v>
      </c>
      <c r="O10" s="33"/>
      <c r="P10" s="33"/>
      <c r="R10" s="32"/>
    </row>
    <row r="11" spans="1:18">
      <c r="A11" s="32" t="s">
        <v>54</v>
      </c>
      <c r="B11" s="37">
        <f t="shared" si="0"/>
        <v>207.75706758091499</v>
      </c>
      <c r="C11" s="33"/>
      <c r="D11" s="37">
        <f>IF(ISERROR(TER_onderwijs_gas_kWh/1000),0,TER_onderwijs_gas_kWh/1000)*0.902</f>
        <v>445.75337153293833</v>
      </c>
      <c r="E11" s="33">
        <f>$C$31*'E Balans VL '!I11/100/3.6*1000000</f>
        <v>3.1347195252193201</v>
      </c>
      <c r="F11" s="33">
        <f>$C$31*('E Balans VL '!L11+'E Balans VL '!N11)/100/3.6*1000000</f>
        <v>36.402357258070587</v>
      </c>
      <c r="G11" s="34"/>
      <c r="H11" s="33"/>
      <c r="I11" s="33"/>
      <c r="J11" s="33">
        <f>$C$31*('E Balans VL '!D11+'E Balans VL '!E11)/100/3.6*1000000</f>
        <v>0</v>
      </c>
      <c r="K11" s="33"/>
      <c r="L11" s="33"/>
      <c r="M11" s="33"/>
      <c r="N11" s="33">
        <f>$C$31*'E Balans VL '!Y11/100/3.6*1000000</f>
        <v>0.58464418246644856</v>
      </c>
      <c r="O11" s="33"/>
      <c r="P11" s="33"/>
      <c r="R11" s="32"/>
    </row>
    <row r="12" spans="1:18">
      <c r="A12" s="32" t="s">
        <v>248</v>
      </c>
      <c r="B12" s="37">
        <f t="shared" si="0"/>
        <v>2422.8173265352598</v>
      </c>
      <c r="C12" s="33"/>
      <c r="D12" s="37">
        <f>IF(ISERROR(TER_rest_gas_kWh/1000),0,TER_rest_gas_kWh/1000)*0.902</f>
        <v>5610.0255064387666</v>
      </c>
      <c r="E12" s="33">
        <f>$C$32*'E Balans VL '!I8/100/3.6*1000000</f>
        <v>30.08650283018947</v>
      </c>
      <c r="F12" s="33">
        <f>$C$32*('E Balans VL '!L8+'E Balans VL '!N8)/100/3.6*1000000</f>
        <v>418.96495275429618</v>
      </c>
      <c r="G12" s="34"/>
      <c r="H12" s="33"/>
      <c r="I12" s="33"/>
      <c r="J12" s="33">
        <f>$C$32*('E Balans VL '!D8+'E Balans VL '!E8)/100/3.6*1000000</f>
        <v>5.8669132996785256E-3</v>
      </c>
      <c r="K12" s="33"/>
      <c r="L12" s="33"/>
      <c r="M12" s="33"/>
      <c r="N12" s="33">
        <f>$C$32*'E Balans VL '!Y8/100/3.6*1000000</f>
        <v>234.60298770994359</v>
      </c>
      <c r="O12" s="33"/>
      <c r="P12" s="33"/>
      <c r="R12" s="32"/>
    </row>
    <row r="13" spans="1:18">
      <c r="A13" s="16" t="s">
        <v>474</v>
      </c>
      <c r="B13" s="243">
        <f ca="1">'lokale energieproductie'!N39+'lokale energieproductie'!N32</f>
        <v>1423.5</v>
      </c>
      <c r="C13" s="243">
        <f ca="1">'lokale energieproductie'!O39+'lokale energieproductie'!O32</f>
        <v>117.85714285714286</v>
      </c>
      <c r="D13" s="302">
        <f ca="1">('lokale energieproductie'!P32+'lokale energieproductie'!P39)*(-1)</f>
        <v>-235.71428571428572</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-3831.4285714285716</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22469.057404188847</v>
      </c>
      <c r="C16" s="21">
        <f t="shared" ca="1" si="1"/>
        <v>117.85714285714286</v>
      </c>
      <c r="D16" s="21">
        <f t="shared" ca="1" si="1"/>
        <v>22402.577965493925</v>
      </c>
      <c r="E16" s="21">
        <f t="shared" si="1"/>
        <v>252.45707681393202</v>
      </c>
      <c r="F16" s="21">
        <f t="shared" ca="1" si="1"/>
        <v>4106.0568131847285</v>
      </c>
      <c r="G16" s="21">
        <f t="shared" si="1"/>
        <v>0</v>
      </c>
      <c r="H16" s="21">
        <f t="shared" si="1"/>
        <v>0</v>
      </c>
      <c r="I16" s="21">
        <f t="shared" si="1"/>
        <v>0</v>
      </c>
      <c r="J16" s="21">
        <f t="shared" si="1"/>
        <v>0.16456444946806395</v>
      </c>
      <c r="K16" s="21">
        <f t="shared" si="1"/>
        <v>0</v>
      </c>
      <c r="L16" s="21">
        <f t="shared" ca="1" si="1"/>
        <v>0</v>
      </c>
      <c r="M16" s="21">
        <f t="shared" si="1"/>
        <v>0</v>
      </c>
      <c r="N16" s="21">
        <f t="shared" ca="1" si="1"/>
        <v>2628.1490175589488</v>
      </c>
      <c r="O16" s="21">
        <f>O5</f>
        <v>10.943333333333335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0.19167284610917998</v>
      </c>
      <c r="C18" s="25">
        <f ca="1">'EF ele_warmte'!B22</f>
        <v>0.15541722039588726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4306.7081820514195</v>
      </c>
      <c r="C20" s="23">
        <f t="shared" ref="C20:P20" ca="1" si="2">C16*C18</f>
        <v>18.317029546658141</v>
      </c>
      <c r="D20" s="23">
        <f t="shared" ca="1" si="2"/>
        <v>4525.3207490297727</v>
      </c>
      <c r="E20" s="23">
        <f t="shared" si="2"/>
        <v>57.307756436762567</v>
      </c>
      <c r="F20" s="23">
        <f t="shared" ca="1" si="2"/>
        <v>1096.3171691203227</v>
      </c>
      <c r="G20" s="23">
        <f t="shared" si="2"/>
        <v>0</v>
      </c>
      <c r="H20" s="23">
        <f t="shared" si="2"/>
        <v>0</v>
      </c>
      <c r="I20" s="23">
        <f t="shared" si="2"/>
        <v>0</v>
      </c>
      <c r="J20" s="23">
        <f t="shared" si="2"/>
        <v>5.8255815111694635E-2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2221.0309031179399</v>
      </c>
      <c r="C26" s="39">
        <f>IF(ISERROR(B26*3.6/1000000/'E Balans VL '!Z12*100),0,B26*3.6/1000000/'E Balans VL '!Z12*100)</f>
        <v>4.6949074894763937E-2</v>
      </c>
      <c r="D26" s="233" t="s">
        <v>726</v>
      </c>
      <c r="F26" s="6"/>
    </row>
    <row r="27" spans="1:18">
      <c r="A27" s="228" t="s">
        <v>52</v>
      </c>
      <c r="B27" s="33">
        <f>IF(ISERROR(TER_horeca_ele_kWh/1000),0,TER_horeca_ele_kWh/1000)</f>
        <v>4355.5092587497502</v>
      </c>
      <c r="C27" s="39">
        <f>IF(ISERROR(B27*3.6/1000000/'E Balans VL '!Z9*100),0,B27*3.6/1000000/'E Balans VL '!Z9*100)</f>
        <v>0.34334317148606552</v>
      </c>
      <c r="D27" s="233" t="s">
        <v>726</v>
      </c>
      <c r="F27" s="6"/>
    </row>
    <row r="28" spans="1:18">
      <c r="A28" s="168" t="s">
        <v>51</v>
      </c>
      <c r="B28" s="33">
        <f>IF(ISERROR(TER_handel_ele_kWh/1000),0,TER_handel_ele_kWh/1000)</f>
        <v>4083.53455541212</v>
      </c>
      <c r="C28" s="39">
        <f>IF(ISERROR(B28*3.6/1000000/'E Balans VL '!Z13*100),0,B28*3.6/1000000/'E Balans VL '!Z13*100)</f>
        <v>0.11852067212651406</v>
      </c>
      <c r="D28" s="233" t="s">
        <v>726</v>
      </c>
      <c r="F28" s="6"/>
    </row>
    <row r="29" spans="1:18">
      <c r="A29" s="228" t="s">
        <v>50</v>
      </c>
      <c r="B29" s="33">
        <f>IF(ISERROR(TER_gezond_ele_kWh/1000),0,TER_gezond_ele_kWh/1000)</f>
        <v>443.70629883306299</v>
      </c>
      <c r="C29" s="39">
        <f>IF(ISERROR(B29*3.6/1000000/'E Balans VL '!Z10*100),0,B29*3.6/1000000/'E Balans VL '!Z10*100)</f>
        <v>4.6729559116866645E-2</v>
      </c>
      <c r="D29" s="233" t="s">
        <v>726</v>
      </c>
      <c r="F29" s="6"/>
    </row>
    <row r="30" spans="1:18">
      <c r="A30" s="228" t="s">
        <v>49</v>
      </c>
      <c r="B30" s="33">
        <f>IF(ISERROR(TER_ander_ele_kWh/1000),0,TER_ander_ele_kWh/1000)</f>
        <v>7311.2019939598003</v>
      </c>
      <c r="C30" s="39">
        <f>IF(ISERROR(B30*3.6/1000000/'E Balans VL '!Z14*100),0,B30*3.6/1000000/'E Balans VL '!Z14*100)</f>
        <v>0.53927584705964871</v>
      </c>
      <c r="D30" s="233" t="s">
        <v>726</v>
      </c>
      <c r="F30" s="6"/>
    </row>
    <row r="31" spans="1:18">
      <c r="A31" s="228" t="s">
        <v>54</v>
      </c>
      <c r="B31" s="33">
        <f>IF(ISERROR(TER_onderwijs_ele_kWh/1000),0,TER_onderwijs_ele_kWh/1000)</f>
        <v>207.75706758091499</v>
      </c>
      <c r="C31" s="39">
        <f>IF(ISERROR(B31*3.6/1000000/'E Balans VL '!Z11*100),0,B31*3.6/1000000/'E Balans VL '!Z11*100)</f>
        <v>5.1595811794519157E-2</v>
      </c>
      <c r="D31" s="233" t="s">
        <v>726</v>
      </c>
    </row>
    <row r="32" spans="1:18">
      <c r="A32" s="228" t="s">
        <v>248</v>
      </c>
      <c r="B32" s="33">
        <f>IF(ISERROR(TER_rest_ele_kWh/1000),0,TER_rest_ele_kWh/1000)</f>
        <v>2422.8173265352598</v>
      </c>
      <c r="C32" s="39">
        <f>IF(ISERROR(B32*3.6/1000000/'E Balans VL '!Z8*100),0,B32*3.6/1000000/'E Balans VL '!Z8*100)</f>
        <v>1.9936570634295343E-2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7</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15386.603200485955</v>
      </c>
      <c r="C5" s="17">
        <f>IF(ISERROR('Eigen informatie GS &amp; warmtenet'!B59),0,'Eigen informatie GS &amp; warmtenet'!B59)</f>
        <v>0</v>
      </c>
      <c r="D5" s="30">
        <f>SUM(D6:D15)</f>
        <v>3983.7938994119313</v>
      </c>
      <c r="E5" s="17">
        <f>SUM(E6:E15)</f>
        <v>515.18027338177444</v>
      </c>
      <c r="F5" s="17">
        <f>SUM(F6:F15)</f>
        <v>2206.1740261841228</v>
      </c>
      <c r="G5" s="18"/>
      <c r="H5" s="17"/>
      <c r="I5" s="17"/>
      <c r="J5" s="17">
        <f>SUM(J6:J15)</f>
        <v>1.478473613450358</v>
      </c>
      <c r="K5" s="17"/>
      <c r="L5" s="17"/>
      <c r="M5" s="17"/>
      <c r="N5" s="17">
        <f>SUM(N6:N15)</f>
        <v>1105.7381878668273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118.340192119652</v>
      </c>
      <c r="C8" s="33"/>
      <c r="D8" s="37">
        <f>IF( ISERROR(IND_metaal_Gas_kWH/1000),0,IND_metaal_Gas_kWH/1000)*0.902</f>
        <v>0</v>
      </c>
      <c r="E8" s="33">
        <f>C30*'E Balans VL '!I18/100/3.6*1000000</f>
        <v>1.0880237724957114</v>
      </c>
      <c r="F8" s="33">
        <f>C30*'E Balans VL '!L18/100/3.6*1000000+C30*'E Balans VL '!N18/100/3.6*1000000</f>
        <v>11.096370077008519</v>
      </c>
      <c r="G8" s="34"/>
      <c r="H8" s="33"/>
      <c r="I8" s="33"/>
      <c r="J8" s="40">
        <f>C30*'E Balans VL '!D18/100/3.6*1000000+C30*'E Balans VL '!E18/100/3.6*1000000</f>
        <v>0</v>
      </c>
      <c r="K8" s="33"/>
      <c r="L8" s="33"/>
      <c r="M8" s="33"/>
      <c r="N8" s="33">
        <f>C30*'E Balans VL '!Y18/100/3.6*1000000</f>
        <v>1.6883184059897776</v>
      </c>
      <c r="O8" s="33"/>
      <c r="P8" s="33"/>
      <c r="R8" s="32"/>
    </row>
    <row r="9" spans="1:18">
      <c r="A9" s="6" t="s">
        <v>32</v>
      </c>
      <c r="B9" s="37">
        <f t="shared" si="0"/>
        <v>1585.67876878681</v>
      </c>
      <c r="C9" s="33"/>
      <c r="D9" s="37">
        <f>IF( ISERROR(IND_andere_gas_kWh/1000),0,IND_andere_gas_kWh/1000)*0.902</f>
        <v>1547.3828155345325</v>
      </c>
      <c r="E9" s="33">
        <f>C31*'E Balans VL '!I19/100/3.6*1000000</f>
        <v>463.52477364097348</v>
      </c>
      <c r="F9" s="33">
        <f>C31*'E Balans VL '!L19/100/3.6*1000000+C31*'E Balans VL '!N19/100/3.6*1000000</f>
        <v>1274.2129155744046</v>
      </c>
      <c r="G9" s="34"/>
      <c r="H9" s="33"/>
      <c r="I9" s="33"/>
      <c r="J9" s="40">
        <f>C31*'E Balans VL '!D19/100/3.6*1000000+C31*'E Balans VL '!E19/100/3.6*1000000</f>
        <v>0</v>
      </c>
      <c r="K9" s="33"/>
      <c r="L9" s="33"/>
      <c r="M9" s="33"/>
      <c r="N9" s="33">
        <f>C31*'E Balans VL '!Y19/100/3.6*1000000</f>
        <v>124.37848900409557</v>
      </c>
      <c r="O9" s="33"/>
      <c r="P9" s="33"/>
      <c r="R9" s="32"/>
    </row>
    <row r="10" spans="1:18">
      <c r="A10" s="6" t="s">
        <v>40</v>
      </c>
      <c r="B10" s="37">
        <f t="shared" si="0"/>
        <v>13171.113001531501</v>
      </c>
      <c r="C10" s="33"/>
      <c r="D10" s="37">
        <f>IF( ISERROR(IND_voed_gas_kWh/1000),0,IND_voed_gas_kWh/1000)*0.902</f>
        <v>1564.2612264566328</v>
      </c>
      <c r="E10" s="33">
        <f>C32*'E Balans VL '!I20/100/3.6*1000000</f>
        <v>27.863693775265737</v>
      </c>
      <c r="F10" s="33">
        <f>C32*'E Balans VL '!L20/100/3.6*1000000+C32*'E Balans VL '!N20/100/3.6*1000000</f>
        <v>837.43281853477447</v>
      </c>
      <c r="G10" s="34"/>
      <c r="H10" s="33"/>
      <c r="I10" s="33"/>
      <c r="J10" s="40">
        <f>C32*'E Balans VL '!D20/100/3.6*1000000+C32*'E Balans VL '!E20/100/3.6*1000000</f>
        <v>0</v>
      </c>
      <c r="K10" s="33"/>
      <c r="L10" s="33"/>
      <c r="M10" s="33"/>
      <c r="N10" s="33">
        <f>C32*'E Balans VL '!Y20/100/3.6*1000000</f>
        <v>908.93677282467513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102.93447869160501</v>
      </c>
      <c r="C13" s="33"/>
      <c r="D13" s="37">
        <f>IF( ISERROR(IND_papier_gas_kWh/1000),0,IND_papier_gas_kWh/1000)*0.902</f>
        <v>0</v>
      </c>
      <c r="E13" s="33">
        <f>C35*'E Balans VL '!I23/100/3.6*1000000</f>
        <v>0.14604048433085853</v>
      </c>
      <c r="F13" s="33">
        <f>C35*'E Balans VL '!L23/100/3.6*1000000+C35*'E Balans VL '!N23/100/3.6*1000000</f>
        <v>2.5130176834573326</v>
      </c>
      <c r="G13" s="34"/>
      <c r="H13" s="33"/>
      <c r="I13" s="33"/>
      <c r="J13" s="40">
        <f>C35*'E Balans VL '!D23/100/3.6*1000000+C35*'E Balans VL '!E23/100/3.6*1000000</f>
        <v>1.5919783537433098E-2</v>
      </c>
      <c r="K13" s="33"/>
      <c r="L13" s="33"/>
      <c r="M13" s="33"/>
      <c r="N13" s="33">
        <f>C35*'E Balans VL '!Y23/100/3.6*1000000</f>
        <v>42.057535543541462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408.53675935638802</v>
      </c>
      <c r="C15" s="33"/>
      <c r="D15" s="37">
        <f>IF( ISERROR(IND_rest_gas_kWh/1000),0,IND_rest_gas_kWh/1000)*0.902</f>
        <v>872.14985742076647</v>
      </c>
      <c r="E15" s="33">
        <f>C37*'E Balans VL '!I15/100/3.6*1000000</f>
        <v>22.55774170870863</v>
      </c>
      <c r="F15" s="33">
        <f>C37*'E Balans VL '!L15/100/3.6*1000000+C37*'E Balans VL '!N15/100/3.6*1000000</f>
        <v>80.918904314478013</v>
      </c>
      <c r="G15" s="34"/>
      <c r="H15" s="33"/>
      <c r="I15" s="33"/>
      <c r="J15" s="40">
        <f>C37*'E Balans VL '!D15/100/3.6*1000000+C37*'E Balans VL '!E15/100/3.6*1000000</f>
        <v>1.4625538299129248</v>
      </c>
      <c r="K15" s="33"/>
      <c r="L15" s="33"/>
      <c r="M15" s="33"/>
      <c r="N15" s="33">
        <f>C37*'E Balans VL '!Y15/100/3.6*1000000</f>
        <v>28.677072088525367</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15386.603200485955</v>
      </c>
      <c r="C18" s="21">
        <f>C5+C16</f>
        <v>0</v>
      </c>
      <c r="D18" s="21">
        <f>MAX((D5+D16),0)</f>
        <v>3983.7938994119313</v>
      </c>
      <c r="E18" s="21">
        <f>MAX((E5+E16),0)</f>
        <v>515.18027338177444</v>
      </c>
      <c r="F18" s="21">
        <f>MAX((F5+F16),0)</f>
        <v>2206.1740261841228</v>
      </c>
      <c r="G18" s="21"/>
      <c r="H18" s="21"/>
      <c r="I18" s="21"/>
      <c r="J18" s="21">
        <f>MAX((J5+J16),0)</f>
        <v>1.478473613450358</v>
      </c>
      <c r="K18" s="21"/>
      <c r="L18" s="21">
        <f>MAX((L5+L16),0)</f>
        <v>0</v>
      </c>
      <c r="M18" s="21"/>
      <c r="N18" s="21">
        <f>MAX((N5+N16),0)</f>
        <v>1105.7381878668273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0.19167284610917998</v>
      </c>
      <c r="C20" s="25">
        <f ca="1">'EF ele_warmte'!B22</f>
        <v>0.15541722039588726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2949.1940273897608</v>
      </c>
      <c r="C22" s="23">
        <f ca="1">C18*C20</f>
        <v>0</v>
      </c>
      <c r="D22" s="23">
        <f>D18*D20</f>
        <v>804.72636768121015</v>
      </c>
      <c r="E22" s="23">
        <f>E18*E20</f>
        <v>116.9459220576628</v>
      </c>
      <c r="F22" s="23">
        <f>F18*F20</f>
        <v>589.04846499116081</v>
      </c>
      <c r="G22" s="23"/>
      <c r="H22" s="23"/>
      <c r="I22" s="23"/>
      <c r="J22" s="23">
        <f>J18*J20</f>
        <v>0.5233796591614267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118.340192119652</v>
      </c>
      <c r="C30" s="39">
        <f>IF(ISERROR(B30*3.6/1000000/'E Balans VL '!Z18*100),0,B30*3.6/1000000/'E Balans VL '!Z18*100)</f>
        <v>6.7066421315199864E-3</v>
      </c>
      <c r="D30" s="233" t="s">
        <v>726</v>
      </c>
    </row>
    <row r="31" spans="1:18">
      <c r="A31" s="6" t="s">
        <v>32</v>
      </c>
      <c r="B31" s="37">
        <f>IF( ISERROR(IND_ander_ele_kWh/1000),0,IND_ander_ele_kWh/1000)</f>
        <v>1585.67876878681</v>
      </c>
      <c r="C31" s="39">
        <f>IF(ISERROR(B31*3.6/1000000/'E Balans VL '!Z19*100),0,B31*3.6/1000000/'E Balans VL '!Z19*100)</f>
        <v>7.1919786300693608E-2</v>
      </c>
      <c r="D31" s="233" t="s">
        <v>726</v>
      </c>
    </row>
    <row r="32" spans="1:18">
      <c r="A32" s="168" t="s">
        <v>40</v>
      </c>
      <c r="B32" s="37">
        <f>IF( ISERROR(IND_voed_ele_kWh/1000),0,IND_voed_ele_kWh/1000)</f>
        <v>13171.113001531501</v>
      </c>
      <c r="C32" s="39">
        <f>IF(ISERROR(B32*3.6/1000000/'E Balans VL '!Z20*100),0,B32*3.6/1000000/'E Balans VL '!Z20*100)</f>
        <v>0.40744231694184574</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102.93447869160501</v>
      </c>
      <c r="C35" s="39">
        <f>IF(ISERROR(B35*3.6/1000000/'E Balans VL '!Z22*100),0,B35*3.6/1000000/'E Balans VL '!Z22*100)</f>
        <v>1.8514701197871353E-2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408.53675935638802</v>
      </c>
      <c r="C37" s="39">
        <f>IF(ISERROR(B37*3.6/1000000/'E Balans VL '!Z15*100),0,B37*3.6/1000000/'E Balans VL '!Z15*100)</f>
        <v>3.2381555487568841E-3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4459.2469753226042</v>
      </c>
      <c r="C5" s="17">
        <f>'Eigen informatie GS &amp; warmtenet'!B60</f>
        <v>0</v>
      </c>
      <c r="D5" s="30">
        <f>IF(ISERROR(SUM(LB_lb_gas_kWh,LB_rest_gas_kWh)/1000),0,SUM(LB_lb_gas_kWh,LB_rest_gas_kWh)/1000)*0.902</f>
        <v>53.697430850391214</v>
      </c>
      <c r="E5" s="17">
        <f>B17*'E Balans VL '!I25/3.6*1000000/100</f>
        <v>131.07088871704775</v>
      </c>
      <c r="F5" s="17">
        <f>B17*('E Balans VL '!L25/3.6*1000000+'E Balans VL '!N25/3.6*1000000)/100</f>
        <v>18576.981934135118</v>
      </c>
      <c r="G5" s="18"/>
      <c r="H5" s="17"/>
      <c r="I5" s="17"/>
      <c r="J5" s="17">
        <f>('E Balans VL '!D25+'E Balans VL '!E25)/3.6*1000000*landbouw!B17/100</f>
        <v>646.0491232992573</v>
      </c>
      <c r="K5" s="17"/>
      <c r="L5" s="17">
        <f>L6*(-1)</f>
        <v>0</v>
      </c>
      <c r="M5" s="17"/>
      <c r="N5" s="17">
        <f>N6*(-1)</f>
        <v>124.71428571428569</v>
      </c>
      <c r="O5" s="17"/>
      <c r="P5" s="17"/>
      <c r="R5" s="32"/>
    </row>
    <row r="6" spans="1:18">
      <c r="A6" s="16" t="s">
        <v>474</v>
      </c>
      <c r="B6" s="17" t="s">
        <v>204</v>
      </c>
      <c r="C6" s="17">
        <f>'lokale energieproductie'!O40+'lokale energieproductie'!O33</f>
        <v>62.357142857142847</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4459.2469753226042</v>
      </c>
      <c r="C8" s="21">
        <f>C5+C6</f>
        <v>62.357142857142847</v>
      </c>
      <c r="D8" s="21">
        <f>MAX((D5+D6),0)</f>
        <v>53.697430850391214</v>
      </c>
      <c r="E8" s="21">
        <f>MAX((E5+E6),0)</f>
        <v>131.07088871704775</v>
      </c>
      <c r="F8" s="21">
        <f>MAX((F5+F6),0)</f>
        <v>18576.981934135118</v>
      </c>
      <c r="G8" s="21"/>
      <c r="H8" s="21"/>
      <c r="I8" s="21"/>
      <c r="J8" s="21">
        <f>MAX((J5+J6),0)</f>
        <v>646.0491232992573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0.19167284610917998</v>
      </c>
      <c r="C10" s="31">
        <f ca="1">'EF ele_warmte'!B22</f>
        <v>0.15541722039588726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854.71655926383585</v>
      </c>
      <c r="C12" s="23">
        <f ca="1">C8*C10</f>
        <v>9.691373814686397</v>
      </c>
      <c r="D12" s="23">
        <f>D8*D10</f>
        <v>10.846881031779025</v>
      </c>
      <c r="E12" s="23">
        <f>E8*E10</f>
        <v>29.753091738769839</v>
      </c>
      <c r="F12" s="23">
        <f>F8*F10</f>
        <v>4960.0541764140771</v>
      </c>
      <c r="G12" s="23"/>
      <c r="H12" s="23"/>
      <c r="I12" s="23"/>
      <c r="J12" s="23">
        <f>J8*J10</f>
        <v>228.70138964793708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0.63278113625899712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681.6724504667593</v>
      </c>
      <c r="C26" s="243">
        <f>B26*'GWP N2O_CH4'!B5</f>
        <v>14315.121459801945</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371.64913599180085</v>
      </c>
      <c r="C27" s="243">
        <f>B27*'GWP N2O_CH4'!B5</f>
        <v>7804.6318558278181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20.873118776321327</v>
      </c>
      <c r="C28" s="243">
        <f>B28*'GWP N2O_CH4'!B4</f>
        <v>6470.6668206596114</v>
      </c>
      <c r="D28" s="50"/>
    </row>
    <row r="29" spans="1:4">
      <c r="A29" s="41" t="s">
        <v>265</v>
      </c>
      <c r="B29" s="243">
        <f>B34*'ha_N2O bodem landbouw'!B4</f>
        <v>19.924645492679101</v>
      </c>
      <c r="C29" s="243">
        <f>B29*'GWP N2O_CH4'!B4</f>
        <v>6176.640102730521</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4.5467354380463697E-3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2.2561863415007289E-4</v>
      </c>
      <c r="C5" s="429" t="s">
        <v>204</v>
      </c>
      <c r="D5" s="414">
        <f>SUM(D6:D11)</f>
        <v>3.9816435510437316E-4</v>
      </c>
      <c r="E5" s="414">
        <f>SUM(E6:E11)</f>
        <v>6.9295805170092569E-4</v>
      </c>
      <c r="F5" s="427" t="s">
        <v>204</v>
      </c>
      <c r="G5" s="414">
        <f>SUM(G6:G11)</f>
        <v>0.27326430416429598</v>
      </c>
      <c r="H5" s="414">
        <f>SUM(H6:H11)</f>
        <v>6.3991006689167712E-2</v>
      </c>
      <c r="I5" s="429" t="s">
        <v>204</v>
      </c>
      <c r="J5" s="429" t="s">
        <v>204</v>
      </c>
      <c r="K5" s="429" t="s">
        <v>204</v>
      </c>
      <c r="L5" s="429" t="s">
        <v>204</v>
      </c>
      <c r="M5" s="414">
        <f>SUM(M6:M11)</f>
        <v>1.7849510257580123E-2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1.7613206369800636E-4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2.9610897177747886E-4</v>
      </c>
      <c r="E6" s="857">
        <f>vkm_GW_PW*SUMIFS(TableVerdeelsleutelVkm[LPG],TableVerdeelsleutelVkm[Voertuigtype],"Lichte voertuigen")*SUMIFS(TableECFTransport[EnergieConsumptieFactor (PJ per km)],TableECFTransport[Index],CONCATENATE($A6,"_LPG_LPG"))</f>
        <v>5.2100627254869733E-4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0.15458105257017221</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4.7840432326741802E-2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1.0439927850780704E-2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1.8787728281012255E-6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6.0346969698150302E-2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9.8459621737244399E-7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3.5258045255027372E-3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4.7343480883482527E-5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1.0205538332689429E-4</v>
      </c>
      <c r="E8" s="417">
        <f>vkm_NGW_PW*SUMIFS(TableVerdeelsleutelVkm[LPG],TableVerdeelsleutelVkm[Voertuigtype],"Lichte voertuigen")*SUMIFS(TableECFTransport[EnergieConsumptieFactor (PJ per km)],TableECFTransport[Index],CONCATENATE($A8,"_LPG_LPG"))</f>
        <v>1.7195177915222841E-4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4.7443095549911635E-2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1.6149422570545191E-2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3.2473378546689202E-3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2.6431674048275315E-7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1.0893186346061807E-2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1.6719566333928236E-7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6.364400266277594E-4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62.671842819464686</v>
      </c>
      <c r="C14" s="21"/>
      <c r="D14" s="21">
        <f t="shared" ref="D14:M14" si="0">((D5)*10^9/3600)+D12</f>
        <v>110.60120975121477</v>
      </c>
      <c r="E14" s="21">
        <f t="shared" si="0"/>
        <v>192.48834769470159</v>
      </c>
      <c r="F14" s="21"/>
      <c r="G14" s="21">
        <f t="shared" si="0"/>
        <v>75906.751156748884</v>
      </c>
      <c r="H14" s="21">
        <f t="shared" si="0"/>
        <v>17775.279635879921</v>
      </c>
      <c r="I14" s="21"/>
      <c r="J14" s="21"/>
      <c r="K14" s="21"/>
      <c r="L14" s="21"/>
      <c r="M14" s="21">
        <f t="shared" si="0"/>
        <v>4958.1972937722567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0.19167284610917998</v>
      </c>
      <c r="C16" s="56">
        <f ca="1">'EF ele_warmte'!B22</f>
        <v>0.15541722039588726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12.012490484113972</v>
      </c>
      <c r="C18" s="23"/>
      <c r="D18" s="23">
        <f t="shared" ref="D18:M18" si="1">D14*D16</f>
        <v>22.341444369745386</v>
      </c>
      <c r="E18" s="23">
        <f t="shared" si="1"/>
        <v>43.694854926697261</v>
      </c>
      <c r="F18" s="23"/>
      <c r="G18" s="23">
        <f t="shared" si="1"/>
        <v>20267.102558851951</v>
      </c>
      <c r="H18" s="23">
        <f t="shared" si="1"/>
        <v>4426.0446293341001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5.1911688959834053E-5</v>
      </c>
      <c r="C50" s="313">
        <f t="shared" ref="C50:P50" si="2">SUM(C51:C52)</f>
        <v>0</v>
      </c>
      <c r="D50" s="313">
        <f t="shared" si="2"/>
        <v>0</v>
      </c>
      <c r="E50" s="313">
        <f t="shared" si="2"/>
        <v>0</v>
      </c>
      <c r="F50" s="313">
        <f t="shared" si="2"/>
        <v>0</v>
      </c>
      <c r="G50" s="313">
        <f t="shared" si="2"/>
        <v>4.8765879077422624E-3</v>
      </c>
      <c r="H50" s="313">
        <f t="shared" si="2"/>
        <v>0</v>
      </c>
      <c r="I50" s="313">
        <f t="shared" si="2"/>
        <v>0</v>
      </c>
      <c r="J50" s="313">
        <f t="shared" si="2"/>
        <v>0</v>
      </c>
      <c r="K50" s="313">
        <f t="shared" si="2"/>
        <v>0</v>
      </c>
      <c r="L50" s="313">
        <f t="shared" si="2"/>
        <v>0</v>
      </c>
      <c r="M50" s="313">
        <f t="shared" si="2"/>
        <v>2.8082805557353184E-4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5.1911688959834053E-5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4.8765879077422624E-3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2.8082805557353184E-4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14.419913599953903</v>
      </c>
      <c r="C54" s="21">
        <f t="shared" ref="C54:P54" si="3">(C50)*10^9/3600</f>
        <v>0</v>
      </c>
      <c r="D54" s="21">
        <f t="shared" si="3"/>
        <v>0</v>
      </c>
      <c r="E54" s="21">
        <f t="shared" si="3"/>
        <v>0</v>
      </c>
      <c r="F54" s="21">
        <f t="shared" si="3"/>
        <v>0</v>
      </c>
      <c r="G54" s="21">
        <f t="shared" si="3"/>
        <v>1354.6077521506286</v>
      </c>
      <c r="H54" s="21">
        <f t="shared" si="3"/>
        <v>0</v>
      </c>
      <c r="I54" s="21">
        <f t="shared" si="3"/>
        <v>0</v>
      </c>
      <c r="J54" s="21">
        <f t="shared" si="3"/>
        <v>0</v>
      </c>
      <c r="K54" s="21">
        <f t="shared" si="3"/>
        <v>0</v>
      </c>
      <c r="L54" s="21">
        <f t="shared" si="3"/>
        <v>0</v>
      </c>
      <c r="M54" s="21">
        <f t="shared" si="3"/>
        <v>78.007793214869949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0.19167284610917998</v>
      </c>
      <c r="C56" s="56">
        <f ca="1">'EF ele_warmte'!B22</f>
        <v>0.15541722039588726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2.7639058803516359</v>
      </c>
      <c r="C58" s="23">
        <f t="shared" ref="C58:P58" ca="1" si="4">C54*C56</f>
        <v>0</v>
      </c>
      <c r="D58" s="23">
        <f t="shared" si="4"/>
        <v>0</v>
      </c>
      <c r="E58" s="23">
        <f t="shared" si="4"/>
        <v>0</v>
      </c>
      <c r="F58" s="23">
        <f t="shared" si="4"/>
        <v>0</v>
      </c>
      <c r="G58" s="23">
        <f t="shared" si="4"/>
        <v>361.68026982421787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1136.8157626680572</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7659.6663227122363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126.14999999999999</v>
      </c>
      <c r="C8" s="536">
        <f>B49</f>
        <v>97.058823529411768</v>
      </c>
      <c r="D8" s="1002"/>
      <c r="E8" s="1002">
        <f>E49</f>
        <v>0</v>
      </c>
      <c r="F8" s="1003"/>
      <c r="G8" s="537"/>
      <c r="H8" s="1002">
        <f>I49</f>
        <v>0</v>
      </c>
      <c r="I8" s="1002">
        <f>G49+F49</f>
        <v>0</v>
      </c>
      <c r="J8" s="1002">
        <f>H49+D49+C49</f>
        <v>51.35294117647058</v>
      </c>
      <c r="K8" s="1002"/>
      <c r="L8" s="1002"/>
      <c r="M8" s="1002"/>
      <c r="N8" s="538"/>
      <c r="O8" s="539">
        <f>C8*$C$12+D8*$D$12+E8*$E$12+F8*$F$12+G8*$G$12+H8*$H$12+I8*$I$12+J8*$J$12</f>
        <v>19.60588235294118</v>
      </c>
      <c r="P8" s="1221"/>
      <c r="Q8" s="1222"/>
      <c r="S8" s="965"/>
      <c r="T8" s="1258"/>
      <c r="U8" s="1258"/>
    </row>
    <row r="9" spans="1:21" s="525" customFormat="1" ht="17.45" customHeight="1" thickBot="1">
      <c r="A9" s="540" t="s">
        <v>236</v>
      </c>
      <c r="B9" s="541">
        <f>N37+'Eigen informatie GS &amp; warmtenet'!B12</f>
        <v>1341</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10263.632085380294</v>
      </c>
      <c r="C10" s="549">
        <f t="shared" ref="C10:L10" si="0">SUM(C8:C9)</f>
        <v>97.058823529411768</v>
      </c>
      <c r="D10" s="549">
        <f t="shared" si="0"/>
        <v>0</v>
      </c>
      <c r="E10" s="549">
        <f t="shared" si="0"/>
        <v>0</v>
      </c>
      <c r="F10" s="549">
        <f t="shared" si="0"/>
        <v>0</v>
      </c>
      <c r="G10" s="549">
        <f t="shared" si="0"/>
        <v>0</v>
      </c>
      <c r="H10" s="549">
        <f t="shared" si="0"/>
        <v>0</v>
      </c>
      <c r="I10" s="549">
        <f t="shared" si="0"/>
        <v>0</v>
      </c>
      <c r="J10" s="549">
        <f t="shared" si="0"/>
        <v>3882.7815126050423</v>
      </c>
      <c r="K10" s="549">
        <f t="shared" si="0"/>
        <v>0</v>
      </c>
      <c r="L10" s="549">
        <f t="shared" si="0"/>
        <v>0</v>
      </c>
      <c r="M10" s="1005"/>
      <c r="N10" s="1005"/>
      <c r="O10" s="550">
        <f>SUM(O4:O9)</f>
        <v>19.60588235294118</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180.21428571428572</v>
      </c>
      <c r="C17" s="561">
        <f>B50</f>
        <v>138.65546218487395</v>
      </c>
      <c r="D17" s="562"/>
      <c r="E17" s="562">
        <f>E50</f>
        <v>0</v>
      </c>
      <c r="F17" s="1008"/>
      <c r="G17" s="563"/>
      <c r="H17" s="561">
        <f>I50</f>
        <v>0</v>
      </c>
      <c r="I17" s="562">
        <f>G50+F50</f>
        <v>0</v>
      </c>
      <c r="J17" s="562">
        <f>H50+D50+C50</f>
        <v>73.361344537815114</v>
      </c>
      <c r="K17" s="562"/>
      <c r="L17" s="562"/>
      <c r="M17" s="562"/>
      <c r="N17" s="1009"/>
      <c r="O17" s="564">
        <f>C17*$C$22+E17*$E$22+H17*$H$22+I17*$I$22+J17*$J$22+D17*$D$22+F17*$F$22+G17*$G$22+K17*$K$22+L17*$L$22</f>
        <v>28.008403361344541</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180.21428571428572</v>
      </c>
      <c r="C20" s="548">
        <f>SUM(C17:C19)</f>
        <v>138.65546218487395</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28.008403361344541</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13017</v>
      </c>
      <c r="C28" s="762">
        <v>2460</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72" customFormat="1" ht="51" hidden="1">
      <c r="A29" s="571"/>
      <c r="B29" s="762">
        <v>13017</v>
      </c>
      <c r="C29" s="762">
        <v>2460</v>
      </c>
      <c r="D29" s="619"/>
      <c r="E29" s="618"/>
      <c r="F29" s="618"/>
      <c r="G29" s="618" t="s">
        <v>896</v>
      </c>
      <c r="H29" s="618" t="s">
        <v>897</v>
      </c>
      <c r="I29" s="618"/>
      <c r="J29" s="761"/>
      <c r="K29" s="761"/>
      <c r="L29" s="618" t="s">
        <v>899</v>
      </c>
      <c r="M29" s="618">
        <v>20</v>
      </c>
      <c r="N29" s="618">
        <v>82.5</v>
      </c>
      <c r="O29" s="618">
        <v>117.85714285714286</v>
      </c>
      <c r="P29" s="618">
        <v>235.71428571428572</v>
      </c>
      <c r="Q29" s="618">
        <v>0</v>
      </c>
      <c r="R29" s="618">
        <v>0</v>
      </c>
      <c r="S29" s="618">
        <v>0</v>
      </c>
      <c r="T29" s="618">
        <v>0</v>
      </c>
      <c r="U29" s="618">
        <v>0</v>
      </c>
      <c r="V29" s="618">
        <v>0</v>
      </c>
      <c r="W29" s="618">
        <v>0</v>
      </c>
      <c r="X29" s="618">
        <v>1500</v>
      </c>
      <c r="Y29" s="618" t="s">
        <v>50</v>
      </c>
      <c r="Z29" s="620" t="s">
        <v>149</v>
      </c>
    </row>
    <row r="30" spans="1:26" s="556" customFormat="1" hidden="1">
      <c r="A30" s="574" t="s">
        <v>268</v>
      </c>
      <c r="B30" s="575"/>
      <c r="C30" s="575"/>
      <c r="D30" s="575"/>
      <c r="E30" s="575"/>
      <c r="F30" s="575"/>
      <c r="G30" s="575"/>
      <c r="H30" s="575"/>
      <c r="I30" s="575"/>
      <c r="J30" s="575"/>
      <c r="K30" s="575"/>
      <c r="L30" s="576"/>
      <c r="M30" s="576">
        <f>SUM(M28:M29)</f>
        <v>29.7</v>
      </c>
      <c r="N30" s="576">
        <f>SUM(N28:N29)</f>
        <v>126.14999999999999</v>
      </c>
      <c r="O30" s="576">
        <f>SUM(O28:O29)</f>
        <v>180.21428571428572</v>
      </c>
      <c r="P30" s="576">
        <f>SUM(P28:P29)</f>
        <v>235.71428571428572</v>
      </c>
      <c r="Q30" s="576">
        <f>SUM(Q28:Q29)</f>
        <v>124.71428571428569</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20</v>
      </c>
      <c r="N32" s="576">
        <f ca="1">SUMIF($Z$28:AD29,"tertiair",N28:N29)</f>
        <v>82.5</v>
      </c>
      <c r="O32" s="576">
        <f ca="1">SUMIF($Z$28:AE29,"tertiair",O28:O29)</f>
        <v>117.85714285714286</v>
      </c>
      <c r="P32" s="576">
        <f ca="1">SUMIF($Z$28:AF29,"tertiair",P28:P29)</f>
        <v>235.71428571428572</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9.6999999999999993</v>
      </c>
      <c r="N33" s="581">
        <f>SUMIF($Z$28:$Z$29,"landbouw",N28:N29)</f>
        <v>43.649999999999991</v>
      </c>
      <c r="O33" s="581">
        <f>SUMIF($Z$28:$Z$29,"landbouw",O28:O29)</f>
        <v>62.357142857142847</v>
      </c>
      <c r="P33" s="581">
        <f>SUMIF($Z$28:$Z$29,"landbouw",P28:P29)</f>
        <v>0</v>
      </c>
      <c r="Q33" s="581">
        <f>SUMIF($Z$28:$Z$29,"landbouw",Q28:Q29)</f>
        <v>124.71428571428569</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63.75" hidden="1">
      <c r="A36" s="573"/>
      <c r="B36" s="762">
        <v>13017</v>
      </c>
      <c r="C36" s="762">
        <v>2460</v>
      </c>
      <c r="D36" s="621"/>
      <c r="E36" s="621"/>
      <c r="F36" s="621"/>
      <c r="G36" s="621" t="s">
        <v>900</v>
      </c>
      <c r="H36" s="621" t="s">
        <v>901</v>
      </c>
      <c r="I36" s="621"/>
      <c r="J36" s="761"/>
      <c r="K36" s="761"/>
      <c r="L36" s="621" t="s">
        <v>902</v>
      </c>
      <c r="M36" s="621">
        <v>298</v>
      </c>
      <c r="N36" s="621">
        <v>1341</v>
      </c>
      <c r="O36" s="621">
        <v>0</v>
      </c>
      <c r="P36" s="621">
        <v>0</v>
      </c>
      <c r="Q36" s="621">
        <v>3831.4285714285716</v>
      </c>
      <c r="R36" s="621">
        <v>0</v>
      </c>
      <c r="S36" s="621">
        <v>0</v>
      </c>
      <c r="T36" s="621">
        <v>0</v>
      </c>
      <c r="U36" s="621">
        <v>0</v>
      </c>
      <c r="V36" s="621">
        <v>0</v>
      </c>
      <c r="W36" s="621">
        <v>0</v>
      </c>
      <c r="X36" s="621">
        <v>1600</v>
      </c>
      <c r="Y36" s="621" t="s">
        <v>49</v>
      </c>
      <c r="Z36" s="622" t="s">
        <v>149</v>
      </c>
    </row>
    <row r="37" spans="1:27" s="556" customFormat="1" hidden="1">
      <c r="A37" s="574" t="s">
        <v>268</v>
      </c>
      <c r="B37" s="575"/>
      <c r="C37" s="575"/>
      <c r="D37" s="575"/>
      <c r="E37" s="575"/>
      <c r="F37" s="575"/>
      <c r="G37" s="575"/>
      <c r="H37" s="575"/>
      <c r="I37" s="575"/>
      <c r="J37" s="575"/>
      <c r="K37" s="575"/>
      <c r="L37" s="576"/>
      <c r="M37" s="576">
        <f>SUM(M36:M36)</f>
        <v>298</v>
      </c>
      <c r="N37" s="576">
        <f>SUM(N36:N36)</f>
        <v>1341</v>
      </c>
      <c r="O37" s="576">
        <f>SUM(O36:O36)</f>
        <v>0</v>
      </c>
      <c r="P37" s="576">
        <f>SUM(P36:P36)</f>
        <v>0</v>
      </c>
      <c r="Q37" s="576">
        <f>SUM(Q36:Q36)</f>
        <v>3831.4285714285716</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298</v>
      </c>
      <c r="N39" s="576">
        <f>SUMIF($Z$36:$Z$37,"tertiair",N36:N37)</f>
        <v>1341</v>
      </c>
      <c r="O39" s="576">
        <f>SUMIF($Z$36:$Z$37,"tertiair",O36:O37)</f>
        <v>0</v>
      </c>
      <c r="P39" s="576">
        <f>SUMIF($Z$36:$Z$37,"tertiair",P36:P37)</f>
        <v>0</v>
      </c>
      <c r="Q39" s="576">
        <f>SUMIF($Z$36:$Z$37,"tertiair",Q36:Q37)</f>
        <v>3831.4285714285716</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0.41176470588235292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97.058823529411768</v>
      </c>
      <c r="C49" s="610">
        <f t="shared" si="2"/>
        <v>51.35294117647058</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138.65546218487395</v>
      </c>
      <c r="C50" s="613">
        <f t="shared" si="3"/>
        <v>73.361344537815114</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2021-11-11T12:46:01Z</dcterms:modified>
</cp:coreProperties>
</file>