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408193A8-CE98-40A9-9A2B-694081F528A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54" i="18"/>
  <c r="V54" i="18"/>
  <c r="U54" i="18"/>
  <c r="T54" i="18"/>
  <c r="S54" i="18"/>
  <c r="R54" i="18"/>
  <c r="Q54" i="18"/>
  <c r="P54" i="18"/>
  <c r="O54" i="18"/>
  <c r="N54" i="18"/>
  <c r="M54" i="18"/>
  <c r="W53" i="18"/>
  <c r="V53" i="18"/>
  <c r="U53" i="18"/>
  <c r="T53" i="18"/>
  <c r="S53" i="18"/>
  <c r="R53" i="18"/>
  <c r="Q53" i="18"/>
  <c r="P53" i="18"/>
  <c r="O53" i="18"/>
  <c r="N53" i="18"/>
  <c r="M53" i="18"/>
  <c r="W52" i="18"/>
  <c r="V52" i="18"/>
  <c r="U52" i="18"/>
  <c r="T52" i="18"/>
  <c r="S52" i="18"/>
  <c r="R52" i="18"/>
  <c r="Q52" i="18"/>
  <c r="P52" i="18"/>
  <c r="O52" i="18"/>
  <c r="N52" i="18"/>
  <c r="M52" i="18"/>
  <c r="W51" i="18"/>
  <c r="V51" i="18"/>
  <c r="U51" i="18"/>
  <c r="T51" i="18"/>
  <c r="I9" i="18" s="1"/>
  <c r="S51" i="18"/>
  <c r="E9" i="18" s="1"/>
  <c r="R51" i="18"/>
  <c r="Q51" i="18"/>
  <c r="P51" i="18"/>
  <c r="C9" i="18" s="1"/>
  <c r="O51" i="18"/>
  <c r="N51" i="18"/>
  <c r="B9" i="18" s="1"/>
  <c r="M51" i="18"/>
  <c r="W47" i="18"/>
  <c r="V47" i="18"/>
  <c r="U47" i="18"/>
  <c r="T47" i="18"/>
  <c r="S47" i="18"/>
  <c r="R47" i="18"/>
  <c r="Q47" i="18"/>
  <c r="P47" i="18"/>
  <c r="O47" i="18"/>
  <c r="C6" i="17" s="1"/>
  <c r="N47" i="18"/>
  <c r="M47" i="18"/>
  <c r="W46" i="18"/>
  <c r="V46" i="18"/>
  <c r="U46" i="18"/>
  <c r="T46" i="18"/>
  <c r="S46" i="18"/>
  <c r="F13" i="15" s="1"/>
  <c r="R46" i="18"/>
  <c r="Q46" i="18"/>
  <c r="P46" i="18"/>
  <c r="D13" i="15" s="1"/>
  <c r="O46" i="18"/>
  <c r="C13" i="15" s="1"/>
  <c r="N46" i="18"/>
  <c r="M46" i="18"/>
  <c r="W45" i="18"/>
  <c r="V45" i="18"/>
  <c r="U45" i="18"/>
  <c r="T45" i="18"/>
  <c r="S45" i="18"/>
  <c r="R45" i="18"/>
  <c r="Q45" i="18"/>
  <c r="P45" i="18"/>
  <c r="O45" i="18"/>
  <c r="N45" i="18"/>
  <c r="M45" i="18"/>
  <c r="W44" i="18"/>
  <c r="V44" i="18"/>
  <c r="U44" i="18"/>
  <c r="T44" i="18"/>
  <c r="S44" i="18"/>
  <c r="R44" i="18"/>
  <c r="Q44" i="18"/>
  <c r="P44" i="18"/>
  <c r="O44" i="18"/>
  <c r="N44" i="18"/>
  <c r="C60" i="18" s="1"/>
  <c r="M44"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60"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63" i="18"/>
  <c r="H8" i="18" s="1"/>
  <c r="E63" i="18"/>
  <c r="E8" i="18" s="1"/>
  <c r="G63" i="18"/>
  <c r="F63" i="18"/>
  <c r="H63" i="18"/>
  <c r="D63" i="18"/>
  <c r="C63" i="18"/>
  <c r="B63" i="18"/>
  <c r="C8" i="18" s="1"/>
  <c r="I64" i="18"/>
  <c r="H17" i="18" s="1"/>
  <c r="E64" i="18"/>
  <c r="E17" i="18" s="1"/>
  <c r="C64" i="18"/>
  <c r="B64" i="18"/>
  <c r="C17" i="18" s="1"/>
  <c r="H64" i="18"/>
  <c r="D64" i="18"/>
  <c r="G64" i="18"/>
  <c r="F64"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D8"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<sst xmlns="http://schemas.openxmlformats.org/spreadsheetml/2006/main" count="2549" uniqueCount="904">
  <si>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</si>
  <si>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</si>
  <si>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</si>
  <si>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</si>
  <si>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</si>
  <si>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</si>
  <si>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</si>
  <si>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</si>
  <si>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</si>
  <si>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</si>
  <si>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</si>
  <si>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</si>
  <si>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</si>
  <si>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</si>
  <si>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</si>
  <si>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</si>
  <si>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</si>
  <si>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</si>
  <si>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</si>
  <si>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</si>
  <si>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</si>
  <si>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</si>
  <si>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</si>
  <si>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</si>
  <si>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</si>
  <si>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</si>
  <si>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</si>
  <si>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</si>
  <si>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</si>
  <si>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</si>
  <si>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</si>
  <si>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</si>
  <si>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</si>
  <si>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</si>
  <si>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</si>
  <si>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</si>
  <si>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</si>
  <si>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</si>
  <si>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</si>
  <si>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</si>
  <si>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</si>
  <si>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</si>
  <si>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</si>
  <si>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</si>
  <si>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</si>
  <si>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</si>
  <si>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</si>
  <si>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</si>
  <si>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</si>
  <si>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</si>
  <si>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</si>
  <si>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</si>
  <si>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</si>
  <si>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</si>
  <si>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</si>
  <si>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</si>
  <si>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</si>
  <si>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</si>
  <si>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</si>
  <si>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</si>
  <si>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</si>
  <si>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</si>
  <si>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</si>
  <si>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</si>
  <si>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</si>
  <si>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</si>
  <si>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</si>
  <si>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</si>
  <si>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</si>
  <si>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</si>
  <si>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</si>
  <si>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</si>
  <si>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</si>
  <si>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</si>
  <si>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</si>
  <si>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</si>
  <si>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</si>
  <si>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</si>
  <si>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</si>
  <si>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</si>
  <si>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</si>
  <si>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</si>
  <si>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</si>
  <si>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</si>
  <si>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</si>
  <si>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</si>
  <si>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</si>
  <si>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</si>
  <si>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</si>
  <si>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</si>
  <si>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</si>
  <si>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</si>
  <si>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</si>
  <si>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</si>
  <si>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</si>
  <si>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</si>
  <si>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</si>
  <si>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</si>
  <si>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</si>
  <si>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</si>
  <si>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</si>
  <si>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</si>
  <si>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</si>
  <si>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</si>
  <si>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</si>
  <si>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</si>
  <si>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</si>
  <si>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</si>
  <si>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</si>
  <si>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</si>
  <si>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</si>
  <si>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</si>
  <si>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</si>
  <si>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</si>
  <si>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</si>
  <si>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</si>
  <si>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</si>
  <si>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</si>
  <si>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</si>
  <si>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</si>
  <si>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</si>
  <si>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</si>
  <si>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</si>
  <si>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</si>
  <si>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</si>
  <si>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</si>
  <si>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</si>
  <si>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</si>
  <si>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</si>
  <si>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</si>
  <si>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</si>
  <si>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</si>
  <si>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</si>
  <si>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</si>
  <si>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</si>
  <si>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</si>
  <si>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</si>
  <si>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</si>
  <si>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</si>
  <si>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</si>
  <si>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</si>
  <si>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</si>
  <si>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</si>
  <si>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</si>
  <si>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</si>
  <si>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</si>
  <si>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</si>
  <si>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</si>
  <si>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</si>
  <si>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</si>
  <si>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</si>
  <si>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</si>
  <si>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</si>
  <si>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</si>
  <si>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</si>
  <si>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</si>
  <si>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</si>
  <si>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</si>
  <si>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</si>
  <si>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</si>
  <si>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</si>
  <si>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</si>
  <si>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</si>
  <si>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</si>
  <si>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</si>
  <si>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</si>
  <si>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</si>
  <si>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</si>
  <si>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</si>
  <si>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</si>
  <si>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</si>
  <si>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</si>
  <si>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</si>
  <si>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</si>
  <si>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</si>
  <si>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</si>
  <si>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</si>
  <si>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</si>
  <si>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</si>
  <si>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</si>
  <si>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</si>
  <si>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</si>
  <si>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</si>
  <si>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</si>
  <si>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</si>
  <si>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</si>
  <si>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</si>
  <si>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</si>
  <si>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</si>
  <si>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</si>
  <si>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</si>
  <si>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</si>
  <si>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</si>
  <si>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</si>
  <si>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</si>
  <si>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</si>
  <si>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</si>
  <si>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</si>
  <si>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</si>
  <si>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</si>
  <si>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</si>
  <si>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</si>
  <si>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</si>
  <si>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</si>
  <si>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</si>
  <si>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</si>
  <si>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</si>
  <si>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</si>
  <si>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</si>
  <si>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</si>
  <si>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</si>
  <si>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</si>
  <si>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</si>
  <si>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</si>
  <si>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</si>
  <si>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</si>
  <si>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</si>
  <si>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</si>
  <si>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</si>
  <si>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</si>
  <si>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</si>
  <si>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</si>
  <si>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</si>
  <si>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</si>
  <si>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</si>
  <si>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</si>
  <si>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</si>
  <si>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</si>
  <si>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</si>
  <si>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</si>
  <si>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</si>
  <si>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</si>
  <si>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</si>
  <si>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</si>
  <si>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</si>
  <si>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</si>
  <si>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</si>
  <si>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</si>
  <si>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</si>
  <si>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</si>
  <si>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</si>
  <si>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</si>
  <si>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</si>
  <si>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</si>
  <si>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</si>
  <si>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</si>
  <si>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</si>
  <si>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</si>
  <si>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</si>
  <si>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</si>
  <si>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</si>
  <si>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</si>
  <si>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</si>
  <si>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</si>
  <si>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</si>
  <si>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</si>
  <si>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</si>
  <si>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</si>
  <si>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</si>
  <si>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</si>
  <si>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</si>
  <si>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</si>
  <si>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</si>
  <si>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</si>
  <si>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</si>
  <si>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</si>
  <si>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</si>
  <si>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</si>
  <si>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</si>
  <si>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</si>
  <si>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</si>
  <si>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</si>
  <si>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</si>
  <si>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</si>
  <si>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</si>
  <si>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</si>
  <si>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</si>
  <si>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</si>
  <si>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</si>
  <si>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</si>
  <si>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</si>
  <si>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</si>
  <si>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</si>
  <si>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</si>
  <si>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</si>
  <si>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</si>
  <si>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</si>
  <si>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</si>
  <si>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</si>
  <si>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</si>
  <si>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</si>
  <si>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</si>
  <si>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</si>
  <si>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</si>
  <si>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</si>
  <si>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</si>
  <si>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</si>
  <si>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</si>
  <si>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</si>
  <si>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</si>
  <si>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</si>
  <si>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</si>
  <si>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</si>
  <si>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</si>
  <si>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</si>
  <si>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</si>
  <si>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</si>
  <si>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</si>
  <si>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</si>
  <si>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</si>
  <si>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</si>
  <si>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</si>
  <si>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</si>
  <si>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</si>
  <si>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</si>
  <si>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</si>
  <si>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</si>
  <si>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</si>
  <si>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</si>
  <si>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</si>
  <si>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</si>
  <si>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</si>
  <si>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</si>
  <si>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</si>
  <si>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</si>
  <si>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</si>
  <si>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</si>
  <si>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</si>
  <si>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</si>
  <si>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</si>
  <si>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</si>
  <si>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</si>
  <si>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</si>
  <si>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</si>
  <si>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</si>
  <si>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</si>
  <si>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</si>
  <si>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</si>
  <si>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</si>
  <si>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</si>
  <si>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</si>
  <si>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</si>
  <si>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</si>
  <si>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</si>
  <si>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</si>
  <si>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</si>
  <si>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</si>
  <si>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</si>
  <si>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</si>
  <si>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</si>
  <si>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</si>
  <si>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</si>
  <si>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</si>
  <si>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</si>
  <si>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</si>
  <si>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</si>
  <si>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</si>
  <si>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</si>
  <si>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</si>
  <si>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</si>
  <si>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</si>
  <si>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</si>
  <si>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</si>
  <si>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</si>
  <si>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</si>
  <si>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</si>
  <si>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</si>
  <si>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</si>
  <si>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</si>
  <si>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</si>
  <si>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</si>
  <si>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</si>
  <si>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</si>
  <si>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</si>
  <si>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</si>
  <si>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</si>
  <si>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</si>
  <si>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</si>
  <si>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</si>
  <si>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</si>
  <si>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</si>
  <si>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</si>
  <si>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</si>
  <si>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</si>
  <si>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</si>
  <si>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</si>
  <si>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</si>
  <si>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</si>
  <si>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</si>
  <si>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</si>
  <si>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</si>
  <si>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</si>
  <si>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</si>
  <si>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</si>
  <si>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</si>
  <si>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</si>
  <si>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</si>
  <si>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</si>
  <si>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</si>
  <si>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</si>
  <si>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</si>
  <si>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</si>
  <si>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</si>
  <si>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</si>
  <si>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</si>
  <si>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</si>
  <si>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</si>
  <si>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</si>
  <si>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</si>
  <si>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</si>
  <si>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</si>
  <si>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</si>
  <si>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</si>
  <si>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</si>
  <si>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</si>
  <si>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</si>
  <si>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</si>
  <si>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</si>
  <si>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</si>
  <si>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</si>
  <si>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</si>
  <si>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</si>
  <si>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</si>
  <si>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</si>
  <si>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</si>
  <si>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</si>
  <si>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</si>
  <si>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</si>
  <si>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</si>
  <si>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</si>
  <si>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</si>
  <si>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</si>
  <si>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</si>
  <si>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</si>
  <si>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</si>
  <si>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</si>
  <si>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</si>
  <si>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</si>
  <si>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</si>
  <si>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</si>
  <si>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</si>
  <si>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</si>
  <si>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</si>
  <si>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</si>
  <si>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</si>
  <si>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</si>
  <si>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</si>
  <si>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</si>
  <si>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</si>
  <si>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</si>
  <si>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</si>
  <si>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</si>
  <si>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</si>
  <si>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</si>
  <si>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</si>
  <si>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</si>
  <si>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</si>
  <si>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</si>
  <si>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</si>
  <si>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</si>
  <si>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</si>
  <si>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</si>
  <si>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</si>
  <si>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</si>
  <si>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</si>
  <si>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</si>
  <si>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</si>
  <si>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</si>
  <si>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</si>
  <si>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</si>
  <si>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</si>
  <si>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</si>
  <si>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</si>
  <si>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</si>
  <si>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</si>
  <si>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</si>
  <si>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</si>
  <si>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</si>
  <si>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</si>
  <si>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</si>
  <si>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</si>
  <si>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</si>
  <si>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</si>
  <si>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</si>
  <si>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</si>
  <si>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</si>
  <si>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</si>
  <si>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</si>
  <si>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</si>
  <si>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</si>
  <si>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</si>
  <si>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</si>
  <si>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</si>
  <si>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</si>
  <si>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</si>
  <si>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</si>
  <si>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</si>
  <si>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</si>
  <si>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</si>
  <si>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</si>
  <si>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</si>
  <si>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</si>
  <si>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</si>
  <si>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</si>
  <si>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</si>
  <si>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</si>
  <si>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</si>
  <si>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</si>
  <si>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</si>
  <si>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</si>
  <si>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</si>
  <si>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</si>
  <si>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</si>
  <si>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</si>
  <si>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</si>
  <si>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</si>
  <si>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</si>
  <si>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</si>
  <si>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</si>
  <si>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</si>
  <si>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</si>
  <si>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</si>
  <si>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</si>
  <si>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</si>
  <si>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</si>
  <si>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</si>
  <si>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</si>
  <si>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</si>
  <si>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</si>
  <si>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</si>
  <si>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</si>
  <si>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</si>
  <si>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</si>
  <si>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</si>
  <si>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</si>
  <si>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</si>
  <si>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</si>
  <si>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</si>
  <si>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</si>
  <si>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</si>
  <si>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</si>
  <si>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</si>
  <si>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</si>
  <si>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</si>
  <si>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</si>
  <si>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</si>
  <si>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</si>
  <si>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</si>
  <si>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</si>
  <si>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</si>
  <si>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</si>
  <si>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</si>
  <si>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</si>
  <si>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</si>
  <si>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</si>
  <si>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</si>
  <si>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</si>
  <si>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</si>
  <si>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</si>
  <si>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</si>
  <si>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</si>
  <si>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</si>
  <si>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</si>
  <si>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</si>
  <si>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</si>
  <si>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</si>
  <si>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</si>
  <si>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</si>
  <si>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</si>
  <si>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</si>
  <si>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</si>
  <si>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</si>
  <si>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</si>
  <si>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</si>
  <si>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</si>
  <si>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</si>
  <si>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</si>
  <si>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</si>
  <si>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</si>
  <si>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</si>
  <si>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</si>
  <si>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</si>
  <si>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</si>
  <si>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</si>
  <si>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</si>
  <si>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</si>
  <si>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</si>
  <si>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</si>
  <si>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</si>
  <si>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</si>
  <si>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</si>
  <si>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</si>
  <si>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</si>
  <si>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</si>
  <si>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</si>
  <si>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</si>
  <si>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</si>
  <si>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</si>
  <si>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</si>
  <si>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</si>
  <si>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</si>
  <si>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</si>
  <si>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</si>
  <si>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</si>
  <si>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</si>
  <si>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</si>
  <si>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</si>
  <si>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</si>
  <si>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</si>
  <si>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</si>
  <si>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</si>
  <si>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</si>
  <si>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</si>
  <si>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</si>
  <si>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</si>
  <si>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</si>
  <si>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</si>
  <si>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</si>
  <si>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</si>
  <si>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</si>
  <si>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</si>
  <si>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</si>
  <si>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</si>
  <si>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</si>
  <si>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</si>
  <si>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</si>
  <si>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</si>
  <si>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</si>
  <si>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</si>
  <si>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</si>
  <si>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</si>
  <si>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</si>
  <si>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</si>
  <si>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</si>
  <si>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</si>
  <si>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</si>
  <si>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</si>
  <si>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</si>
  <si>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</si>
  <si>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</si>
  <si>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</si>
  <si>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</si>
  <si>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</si>
  <si>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</si>
  <si>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</si>
  <si>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</si>
  <si>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</si>
  <si>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</si>
  <si>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</si>
  <si>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</si>
  <si>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</si>
  <si>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</si>
  <si>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</si>
  <si>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</si>
  <si>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</si>
  <si>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</si>
  <si>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</si>
  <si>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</si>
  <si>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</si>
  <si>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</si>
  <si>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</si>
  <si>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</si>
  <si>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</si>
  <si>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</si>
  <si>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</si>
  <si>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</si>
  <si>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</si>
  <si>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</si>
  <si>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</si>
  <si>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</si>
  <si>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</si>
  <si>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</si>
  <si>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</si>
  <si>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</si>
  <si>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</si>
  <si>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</si>
  <si>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</si>
  <si>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</si>
  <si>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</si>
  <si>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</si>
  <si>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</si>
  <si>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</si>
  <si>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</si>
  <si>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</si>
  <si>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</si>
  <si>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</si>
  <si>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</si>
  <si>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</si>
  <si>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</si>
  <si>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</si>
  <si>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</si>
  <si>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</si>
  <si>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</si>
  <si>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</si>
  <si>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</si>
  <si>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</si>
  <si>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</si>
  <si>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</si>
  <si>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</si>
  <si>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</si>
  <si>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</si>
  <si>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</si>
  <si>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</si>
  <si>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</si>
  <si>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</si>
  <si>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</si>
  <si>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</si>
  <si>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</si>
  <si>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</si>
  <si>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</si>
  <si>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</si>
  <si>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</si>
  <si>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</si>
  <si>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</si>
  <si>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</si>
  <si>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</si>
  <si>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</si>
  <si>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</si>
  <si>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</si>
  <si>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</si>
  <si>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</si>
  <si>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</si>
  <si>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</si>
  <si>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</si>
  <si>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</si>
  <si>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</si>
  <si>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</si>
  <si>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</si>
  <si>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</si>
  <si>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</si>
  <si>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</si>
  <si>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</si>
  <si>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</si>
  <si>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</si>
  <si>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</si>
  <si>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</si>
  <si>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</si>
  <si>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</si>
  <si>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</si>
  <si>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</si>
  <si>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</si>
  <si>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</si>
  <si>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</si>
  <si>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</si>
  <si>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</si>
  <si>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</si>
  <si>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</si>
  <si>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</si>
  <si>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</si>
  <si>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</si>
  <si>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</si>
  <si>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</si>
  <si>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</si>
  <si>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</si>
  <si>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</si>
  <si>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</si>
  <si>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</si>
  <si>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</si>
  <si>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</si>
  <si>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</si>
  <si>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</si>
  <si>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</si>
  <si>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</si>
  <si>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</si>
  <si>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</si>
  <si>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</si>
  <si>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</si>
  <si>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</si>
  <si>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</si>
  <si>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</si>
  <si>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</si>
  <si>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</si>
  <si>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</si>
  <si>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</si>
  <si>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</si>
  <si>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</si>
  <si>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</si>
  <si>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</si>
  <si>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</si>
  <si>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</si>
  <si>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</si>
  <si>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</si>
  <si>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</si>
  <si>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</si>
  <si>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</si>
  <si>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</si>
  <si>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</si>
  <si>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</si>
  <si>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</si>
  <si>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</si>
  <si>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</si>
  <si>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</si>
  <si>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</si>
  <si>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</si>
  <si>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</si>
  <si>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</si>
  <si>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</si>
  <si>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</si>
  <si>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</si>
  <si>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</si>
  <si>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</si>
  <si>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</si>
  <si>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</si>
  <si>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</si>
  <si>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</si>
  <si>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</si>
  <si>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</si>
  <si>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</si>
  <si>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</si>
  <si>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</si>
  <si>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</si>
  <si>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</si>
  <si>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</si>
  <si>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</si>
  <si>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</si>
  <si>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</si>
  <si>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</si>
  <si>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</si>
  <si>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</si>
  <si>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</si>
  <si>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</si>
  <si>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</si>
  <si>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</si>
  <si>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</si>
  <si>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</si>
  <si>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</si>
  <si>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</si>
  <si>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</si>
  <si>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</si>
  <si>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</si>
  <si>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</si>
  <si>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</si>
  <si>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</si>
  <si>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</si>
  <si>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</si>
  <si>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</si>
  <si>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</si>
  <si>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</si>
  <si>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</si>
  <si>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</si>
  <si>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</si>
  <si>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</si>
  <si>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</si>
  <si>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</si>
  <si>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</si>
  <si>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</si>
  <si>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</si>
  <si>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</si>
  <si>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</si>
  <si>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</si>
  <si>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</si>
  <si>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</si>
  <si>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</si>
  <si>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</si>
  <si>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</si>
  <si>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</si>
  <si>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</si>
  <si>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</si>
  <si>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</si>
  <si>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</si>
  <si>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</si>
  <si>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</si>
  <si>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</si>
  <si>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</si>
  <si>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</si>
  <si>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</si>
  <si>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</si>
  <si>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</si>
  <si>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</si>
  <si>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</si>
  <si>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</si>
  <si>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</si>
  <si>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</si>
  <si>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</si>
  <si>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</si>
  <si>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</si>
  <si>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</si>
  <si>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</si>
  <si>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</si>
  <si>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</si>
  <si>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</si>
  <si>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</si>
  <si>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</si>
  <si>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</si>
  <si>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</si>
  <si>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</si>
  <si>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</si>
  <si>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</si>
  <si>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</si>
  <si>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</si>
  <si>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</si>
  <si>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</si>
  <si>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13014</t>
  </si>
  <si>
    <t>HOOGSTRATEN</t>
  </si>
  <si>
    <t>Fluvius</t>
  </si>
  <si>
    <t>referentietaak LNE (2017); Jaarverslag De Lijn</t>
  </si>
  <si>
    <t>interne verbrandingsmotor</t>
  </si>
  <si>
    <t>WKK interne verbrandinsgmotor (gas)</t>
  </si>
  <si>
    <t>IVEKA</t>
  </si>
  <si>
    <t>WKK interne verbrandinsgmotor (vloeibaar)</t>
  </si>
  <si>
    <t>eilandwerking</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</si>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</sst>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E8BEE4B0-F8A0-42F4-9F20-8BC6A85EB2AC}"/>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191300.02561273854</c:v>
                </c:pt>
                <c:pt idx="1">
                  <c:v>131362.23972072068</c:v>
                </c:pt>
                <c:pt idx="2">
                  <c:v>1467.3420000000001</c:v>
                </c:pt>
                <c:pt idx="3">
                  <c:v>260662.50887058381</c:v>
                </c:pt>
                <c:pt idx="4">
                  <c:v>212885.54458509211</c:v>
                </c:pt>
                <c:pt idx="5">
                  <c:v>305680.55055509292</c:v>
                </c:pt>
                <c:pt idx="6">
                  <c:v>1797.802966288446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191300.02561273854</c:v>
                </c:pt>
                <c:pt idx="1">
                  <c:v>131362.23972072068</c:v>
                </c:pt>
                <c:pt idx="2">
                  <c:v>1467.3420000000001</c:v>
                </c:pt>
                <c:pt idx="3">
                  <c:v>260662.50887058381</c:v>
                </c:pt>
                <c:pt idx="4">
                  <c:v>212885.54458509211</c:v>
                </c:pt>
                <c:pt idx="5">
                  <c:v>305680.55055509292</c:v>
                </c:pt>
                <c:pt idx="6">
                  <c:v>1797.802966288446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36913.33960043914</c:v>
                </c:pt>
                <c:pt idx="2">
                  <c:v>24901.652477344898</c:v>
                </c:pt>
                <c:pt idx="3">
                  <c:v>238.38076444850688</c:v>
                </c:pt>
                <c:pt idx="4">
                  <c:v>62602.766314074936</c:v>
                </c:pt>
                <c:pt idx="5">
                  <c:v>40181.715890994012</c:v>
                </c:pt>
                <c:pt idx="6">
                  <c:v>76654.842497116158</c:v>
                </c:pt>
                <c:pt idx="7">
                  <c:v>452.26358039497927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36913.33960043914</c:v>
                </c:pt>
                <c:pt idx="2">
                  <c:v>24901.652477344898</c:v>
                </c:pt>
                <c:pt idx="3">
                  <c:v>238.38076444850688</c:v>
                </c:pt>
                <c:pt idx="4">
                  <c:v>62602.766314074936</c:v>
                </c:pt>
                <c:pt idx="5">
                  <c:v>40181.715890994012</c:v>
                </c:pt>
                <c:pt idx="6">
                  <c:v>76654.842497116158</c:v>
                </c:pt>
                <c:pt idx="7">
                  <c:v>452.26358039497927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13014</v>
      </c>
      <c r="B6" s="382"/>
      <c r="C6" s="383"/>
    </row>
    <row r="7" spans="1:7" s="380" customFormat="1" ht="15.75" customHeight="1">
      <c r="A7" s="384" t="str">
        <f>txtMunicipality</f>
        <v>HOOGSTRATEN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65617.118079993423</v>
      </c>
      <c r="D10" s="971">
        <f ca="1">tertiair!C16</f>
        <v>12857.142857142857</v>
      </c>
      <c r="E10" s="971">
        <f ca="1">tertiair!D16</f>
        <v>43535.526272111172</v>
      </c>
      <c r="F10" s="971">
        <f>tertiair!E16</f>
        <v>828.59514175942218</v>
      </c>
      <c r="G10" s="971">
        <f ca="1">tertiair!F16</f>
        <v>9390.702224478764</v>
      </c>
      <c r="H10" s="971">
        <f>tertiair!G16</f>
        <v>0</v>
      </c>
      <c r="I10" s="971">
        <f>tertiair!H16</f>
        <v>0</v>
      </c>
      <c r="J10" s="971">
        <f>tertiair!I16</f>
        <v>0</v>
      </c>
      <c r="K10" s="971">
        <f>tertiair!J16</f>
        <v>0.1085949800460185</v>
      </c>
      <c r="L10" s="971">
        <f>tertiair!K16</f>
        <v>0</v>
      </c>
      <c r="M10" s="971">
        <f ca="1">tertiair!L16</f>
        <v>0</v>
      </c>
      <c r="N10" s="971">
        <f>tertiair!M16</f>
        <v>0</v>
      </c>
      <c r="O10" s="971">
        <f ca="1">tertiair!N16</f>
        <v>498.80188358835494</v>
      </c>
      <c r="P10" s="971">
        <f>tertiair!O16</f>
        <v>6.2533333333333339</v>
      </c>
      <c r="Q10" s="972">
        <f>tertiair!P16</f>
        <v>95.333333333333343</v>
      </c>
      <c r="R10" s="666">
        <f ca="1">SUM(C10:Q10)</f>
        <v>132829.58172072066</v>
      </c>
      <c r="S10" s="67"/>
    </row>
    <row r="11" spans="1:19" s="439" customFormat="1">
      <c r="A11" s="775" t="s">
        <v>213</v>
      </c>
      <c r="B11" s="780"/>
      <c r="C11" s="971">
        <f>huishoudens!B8</f>
        <v>37808.006654193661</v>
      </c>
      <c r="D11" s="971">
        <f>huishoudens!C8</f>
        <v>0</v>
      </c>
      <c r="E11" s="971">
        <f>huishoudens!D8</f>
        <v>95823.835825229122</v>
      </c>
      <c r="F11" s="971">
        <f>huishoudens!E8</f>
        <v>1622.6227781036139</v>
      </c>
      <c r="G11" s="971">
        <f>huishoudens!F8</f>
        <v>41109.987759667289</v>
      </c>
      <c r="H11" s="971">
        <f>huishoudens!G8</f>
        <v>0</v>
      </c>
      <c r="I11" s="971">
        <f>huishoudens!H8</f>
        <v>0</v>
      </c>
      <c r="J11" s="971">
        <f>huishoudens!I8</f>
        <v>0</v>
      </c>
      <c r="K11" s="971">
        <f>huishoudens!J8</f>
        <v>197.81664892055429</v>
      </c>
      <c r="L11" s="971">
        <f>huishoudens!K8</f>
        <v>0</v>
      </c>
      <c r="M11" s="971">
        <f>huishoudens!L8</f>
        <v>0</v>
      </c>
      <c r="N11" s="971">
        <f>huishoudens!M8</f>
        <v>0</v>
      </c>
      <c r="O11" s="971">
        <f>huishoudens!N8</f>
        <v>12154.839279957636</v>
      </c>
      <c r="P11" s="971">
        <f>huishoudens!O8</f>
        <v>523.7166666666667</v>
      </c>
      <c r="Q11" s="972">
        <f>huishoudens!P8</f>
        <v>2059.1999999999998</v>
      </c>
      <c r="R11" s="666">
        <f>SUM(C11:Q11)</f>
        <v>191300.02561273854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96030.365036917487</v>
      </c>
      <c r="D13" s="971">
        <f>industrie!C18</f>
        <v>784.28571428571433</v>
      </c>
      <c r="E13" s="971">
        <f>industrie!D18</f>
        <v>62943.95676151845</v>
      </c>
      <c r="F13" s="971">
        <f>industrie!E18</f>
        <v>11187.437046044532</v>
      </c>
      <c r="G13" s="971">
        <f>industrie!F18</f>
        <v>33935.620072183941</v>
      </c>
      <c r="H13" s="971">
        <f>industrie!G18</f>
        <v>0</v>
      </c>
      <c r="I13" s="971">
        <f>industrie!H18</f>
        <v>0</v>
      </c>
      <c r="J13" s="971">
        <f>industrie!I18</f>
        <v>0</v>
      </c>
      <c r="K13" s="971">
        <f>industrie!J18</f>
        <v>235.61063890863412</v>
      </c>
      <c r="L13" s="971">
        <f>industrie!K18</f>
        <v>0</v>
      </c>
      <c r="M13" s="971">
        <f>industrie!L18</f>
        <v>0</v>
      </c>
      <c r="N13" s="971">
        <f>industrie!M18</f>
        <v>0</v>
      </c>
      <c r="O13" s="971">
        <f>industrie!N18</f>
        <v>7768.2693152333377</v>
      </c>
      <c r="P13" s="971">
        <f>industrie!O18</f>
        <v>0</v>
      </c>
      <c r="Q13" s="972">
        <f>industrie!P18</f>
        <v>0</v>
      </c>
      <c r="R13" s="666">
        <f>SUM(C13:Q13)</f>
        <v>212885.54458509211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199455.48977110459</v>
      </c>
      <c r="D16" s="698">
        <f t="shared" ref="D16:R16" ca="1" si="0">SUM(D9:D15)</f>
        <v>13641.428571428571</v>
      </c>
      <c r="E16" s="698">
        <f t="shared" ca="1" si="0"/>
        <v>202303.31885885872</v>
      </c>
      <c r="F16" s="698">
        <f t="shared" si="0"/>
        <v>13638.654965907568</v>
      </c>
      <c r="G16" s="698">
        <f t="shared" ca="1" si="0"/>
        <v>84436.310056329996</v>
      </c>
      <c r="H16" s="698">
        <f t="shared" si="0"/>
        <v>0</v>
      </c>
      <c r="I16" s="698">
        <f t="shared" si="0"/>
        <v>0</v>
      </c>
      <c r="J16" s="698">
        <f t="shared" si="0"/>
        <v>0</v>
      </c>
      <c r="K16" s="698">
        <f t="shared" si="0"/>
        <v>433.53588280923441</v>
      </c>
      <c r="L16" s="698">
        <f t="shared" si="0"/>
        <v>0</v>
      </c>
      <c r="M16" s="698">
        <f t="shared" ca="1" si="0"/>
        <v>0</v>
      </c>
      <c r="N16" s="698">
        <f t="shared" si="0"/>
        <v>0</v>
      </c>
      <c r="O16" s="698">
        <f t="shared" ca="1" si="0"/>
        <v>20421.910478779329</v>
      </c>
      <c r="P16" s="698">
        <f t="shared" si="0"/>
        <v>529.97</v>
      </c>
      <c r="Q16" s="698">
        <f t="shared" si="0"/>
        <v>2154.5333333333333</v>
      </c>
      <c r="R16" s="698">
        <f t="shared" ca="1" si="0"/>
        <v>537015.1519185513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17.915361564224924</v>
      </c>
      <c r="D19" s="971">
        <f>transport!C54</f>
        <v>0</v>
      </c>
      <c r="E19" s="971">
        <f>transport!D54</f>
        <v>0</v>
      </c>
      <c r="F19" s="971">
        <f>transport!E54</f>
        <v>0</v>
      </c>
      <c r="G19" s="971">
        <f>transport!F54</f>
        <v>0</v>
      </c>
      <c r="H19" s="971">
        <f>transport!G54</f>
        <v>1682.9703929403618</v>
      </c>
      <c r="I19" s="971">
        <f>transport!H54</f>
        <v>0</v>
      </c>
      <c r="J19" s="971">
        <f>transport!I54</f>
        <v>0</v>
      </c>
      <c r="K19" s="971">
        <f>transport!J54</f>
        <v>0</v>
      </c>
      <c r="L19" s="971">
        <f>transport!K54</f>
        <v>0</v>
      </c>
      <c r="M19" s="971">
        <f>transport!L54</f>
        <v>0</v>
      </c>
      <c r="N19" s="971">
        <f>transport!M54</f>
        <v>96.9172117838594</v>
      </c>
      <c r="O19" s="971">
        <f>transport!N54</f>
        <v>0</v>
      </c>
      <c r="P19" s="971">
        <f>transport!O54</f>
        <v>0</v>
      </c>
      <c r="Q19" s="972">
        <f>transport!P54</f>
        <v>0</v>
      </c>
      <c r="R19" s="666">
        <f>SUM(C19:Q19)</f>
        <v>1797.802966288446</v>
      </c>
      <c r="S19" s="67"/>
    </row>
    <row r="20" spans="1:19" s="439" customFormat="1">
      <c r="A20" s="775" t="s">
        <v>295</v>
      </c>
      <c r="B20" s="780"/>
      <c r="C20" s="971">
        <f>transport!B14</f>
        <v>154.62760598612968</v>
      </c>
      <c r="D20" s="971">
        <f>transport!C14</f>
        <v>0</v>
      </c>
      <c r="E20" s="971">
        <f>transport!D14</f>
        <v>238.855076158298</v>
      </c>
      <c r="F20" s="971">
        <f>transport!E14</f>
        <v>459.96637886777376</v>
      </c>
      <c r="G20" s="971">
        <f>transport!F14</f>
        <v>0</v>
      </c>
      <c r="H20" s="971">
        <f>transport!G14</f>
        <v>249863.6508794227</v>
      </c>
      <c r="I20" s="971">
        <f>transport!H14</f>
        <v>39210.707627303404</v>
      </c>
      <c r="J20" s="971">
        <f>transport!I14</f>
        <v>0</v>
      </c>
      <c r="K20" s="971">
        <f>transport!J14</f>
        <v>0</v>
      </c>
      <c r="L20" s="971">
        <f>transport!K14</f>
        <v>0</v>
      </c>
      <c r="M20" s="971">
        <f>transport!L14</f>
        <v>0</v>
      </c>
      <c r="N20" s="971">
        <f>transport!M14</f>
        <v>15752.74298735459</v>
      </c>
      <c r="O20" s="971">
        <f>transport!N14</f>
        <v>0</v>
      </c>
      <c r="P20" s="971">
        <f>transport!O14</f>
        <v>0</v>
      </c>
      <c r="Q20" s="972">
        <f>transport!P14</f>
        <v>0</v>
      </c>
      <c r="R20" s="666">
        <f>SUM(C20:Q20)</f>
        <v>305680.55055509292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172.5429675503546</v>
      </c>
      <c r="D22" s="778">
        <f t="shared" ref="D22:R22" si="1">SUM(D18:D21)</f>
        <v>0</v>
      </c>
      <c r="E22" s="778">
        <f t="shared" si="1"/>
        <v>238.855076158298</v>
      </c>
      <c r="F22" s="778">
        <f t="shared" si="1"/>
        <v>459.96637886777376</v>
      </c>
      <c r="G22" s="778">
        <f t="shared" si="1"/>
        <v>0</v>
      </c>
      <c r="H22" s="778">
        <f t="shared" si="1"/>
        <v>251546.62127236306</v>
      </c>
      <c r="I22" s="778">
        <f t="shared" si="1"/>
        <v>39210.707627303404</v>
      </c>
      <c r="J22" s="778">
        <f t="shared" si="1"/>
        <v>0</v>
      </c>
      <c r="K22" s="778">
        <f t="shared" si="1"/>
        <v>0</v>
      </c>
      <c r="L22" s="778">
        <f t="shared" si="1"/>
        <v>0</v>
      </c>
      <c r="M22" s="778">
        <f t="shared" si="1"/>
        <v>0</v>
      </c>
      <c r="N22" s="778">
        <f t="shared" si="1"/>
        <v>15849.660199138449</v>
      </c>
      <c r="O22" s="778">
        <f t="shared" si="1"/>
        <v>0</v>
      </c>
      <c r="P22" s="778">
        <f t="shared" si="1"/>
        <v>0</v>
      </c>
      <c r="Q22" s="778">
        <f t="shared" si="1"/>
        <v>0</v>
      </c>
      <c r="R22" s="778">
        <f t="shared" si="1"/>
        <v>307478.35352138139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22683.507752638652</v>
      </c>
      <c r="D24" s="971">
        <f>+landbouw!C8</f>
        <v>141867.64285714287</v>
      </c>
      <c r="E24" s="971">
        <f>+landbouw!D8</f>
        <v>0</v>
      </c>
      <c r="F24" s="971">
        <f>+landbouw!E8</f>
        <v>666.73757627952375</v>
      </c>
      <c r="G24" s="971">
        <f>+landbouw!F8</f>
        <v>92158.267545070557</v>
      </c>
      <c r="H24" s="971">
        <f>+landbouw!G8</f>
        <v>0</v>
      </c>
      <c r="I24" s="971">
        <f>+landbouw!H8</f>
        <v>0</v>
      </c>
      <c r="J24" s="971">
        <f>+landbouw!I8</f>
        <v>0</v>
      </c>
      <c r="K24" s="971">
        <f>+landbouw!J8</f>
        <v>3286.3531394521856</v>
      </c>
      <c r="L24" s="971">
        <f>+landbouw!K8</f>
        <v>0</v>
      </c>
      <c r="M24" s="971">
        <f>+landbouw!L8</f>
        <v>0</v>
      </c>
      <c r="N24" s="971">
        <f>+landbouw!M8</f>
        <v>0</v>
      </c>
      <c r="O24" s="971">
        <f>+landbouw!N8</f>
        <v>0</v>
      </c>
      <c r="P24" s="971">
        <f>+landbouw!O8</f>
        <v>0</v>
      </c>
      <c r="Q24" s="972">
        <f>+landbouw!P8</f>
        <v>0</v>
      </c>
      <c r="R24" s="666">
        <f>SUM(C24:Q24)</f>
        <v>260662.50887058381</v>
      </c>
      <c r="S24" s="67"/>
    </row>
    <row r="25" spans="1:19" s="439" customFormat="1" ht="15" thickBot="1">
      <c r="A25" s="797" t="s">
        <v>802</v>
      </c>
      <c r="B25" s="974"/>
      <c r="C25" s="975">
        <f>IF(Onbekend_ele_kWh="---",0,Onbekend_ele_kWh)/1000+IF(REST_rest_ele_kWh="---",0,REST_rest_ele_kWh)/1000</f>
        <v>1513.5962208769201</v>
      </c>
      <c r="D25" s="975"/>
      <c r="E25" s="975">
        <f>IF(onbekend_gas_kWh="---",0,onbekend_gas_kWh)/1000+IF(REST_rest_gas_kWh="---",0,REST_rest_gas_kWh)/1000</f>
        <v>2767.56468357214</v>
      </c>
      <c r="F25" s="975"/>
      <c r="G25" s="975"/>
      <c r="H25" s="975"/>
      <c r="I25" s="975"/>
      <c r="J25" s="975"/>
      <c r="K25" s="975"/>
      <c r="L25" s="975"/>
      <c r="M25" s="975"/>
      <c r="N25" s="975"/>
      <c r="O25" s="975"/>
      <c r="P25" s="975"/>
      <c r="Q25" s="976"/>
      <c r="R25" s="666">
        <f>SUM(C25:Q25)</f>
        <v>4281.1609044490597</v>
      </c>
      <c r="S25" s="67"/>
    </row>
    <row r="26" spans="1:19" s="439" customFormat="1" ht="15.75" thickBot="1">
      <c r="A26" s="671" t="s">
        <v>803</v>
      </c>
      <c r="B26" s="783"/>
      <c r="C26" s="778">
        <f>SUM(C24:C25)</f>
        <v>24197.103973515572</v>
      </c>
      <c r="D26" s="778">
        <f t="shared" ref="D26:R26" si="2">SUM(D24:D25)</f>
        <v>141867.64285714287</v>
      </c>
      <c r="E26" s="778">
        <f t="shared" si="2"/>
        <v>2767.56468357214</v>
      </c>
      <c r="F26" s="778">
        <f t="shared" si="2"/>
        <v>666.73757627952375</v>
      </c>
      <c r="G26" s="778">
        <f t="shared" si="2"/>
        <v>92158.267545070557</v>
      </c>
      <c r="H26" s="778">
        <f t="shared" si="2"/>
        <v>0</v>
      </c>
      <c r="I26" s="778">
        <f t="shared" si="2"/>
        <v>0</v>
      </c>
      <c r="J26" s="778">
        <f t="shared" si="2"/>
        <v>0</v>
      </c>
      <c r="K26" s="778">
        <f t="shared" si="2"/>
        <v>3286.3531394521856</v>
      </c>
      <c r="L26" s="778">
        <f t="shared" si="2"/>
        <v>0</v>
      </c>
      <c r="M26" s="778">
        <f t="shared" si="2"/>
        <v>0</v>
      </c>
      <c r="N26" s="778">
        <f t="shared" si="2"/>
        <v>0</v>
      </c>
      <c r="O26" s="778">
        <f t="shared" si="2"/>
        <v>0</v>
      </c>
      <c r="P26" s="778">
        <f t="shared" si="2"/>
        <v>0</v>
      </c>
      <c r="Q26" s="778">
        <f t="shared" si="2"/>
        <v>0</v>
      </c>
      <c r="R26" s="778">
        <f t="shared" si="2"/>
        <v>264943.66977503285</v>
      </c>
      <c r="S26" s="67"/>
    </row>
    <row r="27" spans="1:19" s="439" customFormat="1" ht="17.25" thickTop="1" thickBot="1">
      <c r="A27" s="672" t="s">
        <v>109</v>
      </c>
      <c r="B27" s="771"/>
      <c r="C27" s="673">
        <f ca="1">C22+C16+C26</f>
        <v>223825.1367121705</v>
      </c>
      <c r="D27" s="673">
        <f t="shared" ref="D27:R27" ca="1" si="3">D22+D16+D26</f>
        <v>155509.07142857145</v>
      </c>
      <c r="E27" s="673">
        <f t="shared" ca="1" si="3"/>
        <v>205309.73861858915</v>
      </c>
      <c r="F27" s="673">
        <f t="shared" si="3"/>
        <v>14765.358921054865</v>
      </c>
      <c r="G27" s="673">
        <f t="shared" ca="1" si="3"/>
        <v>176594.57760140055</v>
      </c>
      <c r="H27" s="673">
        <f t="shared" si="3"/>
        <v>251546.62127236306</v>
      </c>
      <c r="I27" s="673">
        <f t="shared" si="3"/>
        <v>39210.707627303404</v>
      </c>
      <c r="J27" s="673">
        <f t="shared" si="3"/>
        <v>0</v>
      </c>
      <c r="K27" s="673">
        <f t="shared" si="3"/>
        <v>3719.88902226142</v>
      </c>
      <c r="L27" s="673">
        <f t="shared" si="3"/>
        <v>0</v>
      </c>
      <c r="M27" s="673">
        <f t="shared" ca="1" si="3"/>
        <v>0</v>
      </c>
      <c r="N27" s="673">
        <f t="shared" si="3"/>
        <v>15849.660199138449</v>
      </c>
      <c r="O27" s="673">
        <f t="shared" ca="1" si="3"/>
        <v>20421.910478779329</v>
      </c>
      <c r="P27" s="673">
        <f t="shared" si="3"/>
        <v>529.97</v>
      </c>
      <c r="Q27" s="673">
        <f t="shared" si="3"/>
        <v>2154.5333333333333</v>
      </c>
      <c r="R27" s="673">
        <f t="shared" ca="1" si="3"/>
        <v>1109437.1752149656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10659.995262738184</v>
      </c>
      <c r="D40" s="971">
        <f ca="1">tertiair!C20</f>
        <v>2990.4146383506099</v>
      </c>
      <c r="E40" s="971">
        <f ca="1">tertiair!D20</f>
        <v>8794.1763069664576</v>
      </c>
      <c r="F40" s="971">
        <f>tertiair!E20</f>
        <v>188.09109717938884</v>
      </c>
      <c r="G40" s="971">
        <f ca="1">tertiair!F20</f>
        <v>2507.31749393583</v>
      </c>
      <c r="H40" s="971">
        <f>tertiair!G20</f>
        <v>0</v>
      </c>
      <c r="I40" s="971">
        <f>tertiair!H20</f>
        <v>0</v>
      </c>
      <c r="J40" s="971">
        <f>tertiair!I20</f>
        <v>0</v>
      </c>
      <c r="K40" s="971">
        <f>tertiair!J20</f>
        <v>3.8442622936290548E-2</v>
      </c>
      <c r="L40" s="971">
        <f>tertiair!K20</f>
        <v>0</v>
      </c>
      <c r="M40" s="971">
        <f ca="1">tertiair!L20</f>
        <v>0</v>
      </c>
      <c r="N40" s="971">
        <f>tertiair!M20</f>
        <v>0</v>
      </c>
      <c r="O40" s="971">
        <f ca="1">tertiair!N20</f>
        <v>0</v>
      </c>
      <c r="P40" s="971">
        <f>tertiair!O20</f>
        <v>0</v>
      </c>
      <c r="Q40" s="740">
        <f>tertiair!P20</f>
        <v>0</v>
      </c>
      <c r="R40" s="816">
        <f t="shared" ca="1" si="4"/>
        <v>25140.033241793408</v>
      </c>
    </row>
    <row r="41" spans="1:18">
      <c r="A41" s="788" t="s">
        <v>213</v>
      </c>
      <c r="B41" s="795"/>
      <c r="C41" s="971">
        <f ca="1">huishoudens!B12</f>
        <v>6142.1955675642894</v>
      </c>
      <c r="D41" s="971">
        <f ca="1">huishoudens!C12</f>
        <v>0</v>
      </c>
      <c r="E41" s="971">
        <f>huishoudens!D12</f>
        <v>19356.414836696284</v>
      </c>
      <c r="F41" s="971">
        <f>huishoudens!E12</f>
        <v>368.33537062952036</v>
      </c>
      <c r="G41" s="971">
        <f>huishoudens!F12</f>
        <v>10976.366731831167</v>
      </c>
      <c r="H41" s="971">
        <f>huishoudens!G12</f>
        <v>0</v>
      </c>
      <c r="I41" s="971">
        <f>huishoudens!H12</f>
        <v>0</v>
      </c>
      <c r="J41" s="971">
        <f>huishoudens!I12</f>
        <v>0</v>
      </c>
      <c r="K41" s="971">
        <f>huishoudens!J12</f>
        <v>70.027093717876213</v>
      </c>
      <c r="L41" s="971">
        <f>huishoudens!K12</f>
        <v>0</v>
      </c>
      <c r="M41" s="971">
        <f>huishoudens!L12</f>
        <v>0</v>
      </c>
      <c r="N41" s="971">
        <f>huishoudens!M12</f>
        <v>0</v>
      </c>
      <c r="O41" s="971">
        <f>huishoudens!N12</f>
        <v>0</v>
      </c>
      <c r="P41" s="971">
        <f>huishoudens!O12</f>
        <v>0</v>
      </c>
      <c r="Q41" s="740">
        <f>huishoudens!P12</f>
        <v>0</v>
      </c>
      <c r="R41" s="816">
        <f t="shared" ca="1" si="4"/>
        <v>36913.33960043914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15600.856397329018</v>
      </c>
      <c r="D43" s="971">
        <f ca="1">industrie!C22</f>
        <v>182.41529293938723</v>
      </c>
      <c r="E43" s="971">
        <f>industrie!D22</f>
        <v>12714.679265826728</v>
      </c>
      <c r="F43" s="971">
        <f>industrie!E22</f>
        <v>2539.5482094521089</v>
      </c>
      <c r="G43" s="971">
        <f>industrie!F22</f>
        <v>9060.8105592731135</v>
      </c>
      <c r="H43" s="971">
        <f>industrie!G22</f>
        <v>0</v>
      </c>
      <c r="I43" s="971">
        <f>industrie!H22</f>
        <v>0</v>
      </c>
      <c r="J43" s="971">
        <f>industrie!I22</f>
        <v>0</v>
      </c>
      <c r="K43" s="971">
        <f>industrie!J22</f>
        <v>83.406166173656473</v>
      </c>
      <c r="L43" s="971">
        <f>industrie!K22</f>
        <v>0</v>
      </c>
      <c r="M43" s="971">
        <f>industrie!L22</f>
        <v>0</v>
      </c>
      <c r="N43" s="971">
        <f>industrie!M22</f>
        <v>0</v>
      </c>
      <c r="O43" s="971">
        <f>industrie!N22</f>
        <v>0</v>
      </c>
      <c r="P43" s="971">
        <f>industrie!O22</f>
        <v>0</v>
      </c>
      <c r="Q43" s="740">
        <f>industrie!P22</f>
        <v>0</v>
      </c>
      <c r="R43" s="815">
        <f t="shared" ca="1" si="4"/>
        <v>40181.715890994012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32403.047227631494</v>
      </c>
      <c r="D46" s="698">
        <f t="shared" ref="D46:Q46" ca="1" si="5">SUM(D39:D45)</f>
        <v>3172.8299312899971</v>
      </c>
      <c r="E46" s="698">
        <f t="shared" ca="1" si="5"/>
        <v>40865.270409489473</v>
      </c>
      <c r="F46" s="698">
        <f t="shared" si="5"/>
        <v>3095.9746772610179</v>
      </c>
      <c r="G46" s="698">
        <f t="shared" ca="1" si="5"/>
        <v>22544.494785040111</v>
      </c>
      <c r="H46" s="698">
        <f t="shared" si="5"/>
        <v>0</v>
      </c>
      <c r="I46" s="698">
        <f t="shared" si="5"/>
        <v>0</v>
      </c>
      <c r="J46" s="698">
        <f t="shared" si="5"/>
        <v>0</v>
      </c>
      <c r="K46" s="698">
        <f t="shared" si="5"/>
        <v>153.47170251446897</v>
      </c>
      <c r="L46" s="698">
        <f t="shared" si="5"/>
        <v>0</v>
      </c>
      <c r="M46" s="698">
        <f t="shared" ca="1" si="5"/>
        <v>0</v>
      </c>
      <c r="N46" s="698">
        <f t="shared" si="5"/>
        <v>0</v>
      </c>
      <c r="O46" s="698">
        <f t="shared" ca="1" si="5"/>
        <v>0</v>
      </c>
      <c r="P46" s="698">
        <f t="shared" si="5"/>
        <v>0</v>
      </c>
      <c r="Q46" s="698">
        <f t="shared" si="5"/>
        <v>0</v>
      </c>
      <c r="R46" s="698">
        <f ca="1">SUM(R39:R45)</f>
        <v>102235.08873322656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2.9104854799026638</v>
      </c>
      <c r="D49" s="971">
        <f ca="1">transport!C58</f>
        <v>0</v>
      </c>
      <c r="E49" s="971">
        <f>transport!D58</f>
        <v>0</v>
      </c>
      <c r="F49" s="971">
        <f>transport!E58</f>
        <v>0</v>
      </c>
      <c r="G49" s="971">
        <f>transport!F58</f>
        <v>0</v>
      </c>
      <c r="H49" s="971">
        <f>transport!G58</f>
        <v>449.35309491507661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452.26358039497927</v>
      </c>
    </row>
    <row r="50" spans="1:18">
      <c r="A50" s="791" t="s">
        <v>295</v>
      </c>
      <c r="B50" s="801"/>
      <c r="C50" s="669">
        <f ca="1">transport!B18</f>
        <v>25.120419724792249</v>
      </c>
      <c r="D50" s="669">
        <f>transport!C18</f>
        <v>0</v>
      </c>
      <c r="E50" s="669">
        <f>transport!D18</f>
        <v>48.2487253839762</v>
      </c>
      <c r="F50" s="669">
        <f>transport!E18</f>
        <v>104.41236800298465</v>
      </c>
      <c r="G50" s="669">
        <f>transport!F18</f>
        <v>0</v>
      </c>
      <c r="H50" s="669">
        <f>transport!G18</f>
        <v>66713.594784805857</v>
      </c>
      <c r="I50" s="669">
        <f>transport!H18</f>
        <v>9763.4661991985467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76654.842497116158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28.030905204694914</v>
      </c>
      <c r="D52" s="698">
        <f t="shared" ref="D52:Q52" ca="1" si="6">SUM(D48:D51)</f>
        <v>0</v>
      </c>
      <c r="E52" s="698">
        <f t="shared" si="6"/>
        <v>48.2487253839762</v>
      </c>
      <c r="F52" s="698">
        <f t="shared" si="6"/>
        <v>104.41236800298465</v>
      </c>
      <c r="G52" s="698">
        <f t="shared" si="6"/>
        <v>0</v>
      </c>
      <c r="H52" s="698">
        <f t="shared" si="6"/>
        <v>67162.94787972093</v>
      </c>
      <c r="I52" s="698">
        <f t="shared" si="6"/>
        <v>9763.4661991985467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77107.10607751114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3685.106756603187</v>
      </c>
      <c r="D54" s="669">
        <f ca="1">+landbouw!C12</f>
        <v>32996.683681756389</v>
      </c>
      <c r="E54" s="669">
        <f>+landbouw!D12</f>
        <v>0</v>
      </c>
      <c r="F54" s="669">
        <f>+landbouw!E12</f>
        <v>151.34942981545188</v>
      </c>
      <c r="G54" s="669">
        <f>+landbouw!F12</f>
        <v>24606.25743453384</v>
      </c>
      <c r="H54" s="669">
        <f>+landbouw!G12</f>
        <v>0</v>
      </c>
      <c r="I54" s="669">
        <f>+landbouw!H12</f>
        <v>0</v>
      </c>
      <c r="J54" s="669">
        <f>+landbouw!I12</f>
        <v>0</v>
      </c>
      <c r="K54" s="669">
        <f>+landbouw!J12</f>
        <v>1163.3690113660737</v>
      </c>
      <c r="L54" s="669">
        <f>+landbouw!K12</f>
        <v>0</v>
      </c>
      <c r="M54" s="669">
        <f>+landbouw!L12</f>
        <v>0</v>
      </c>
      <c r="N54" s="669">
        <f>+landbouw!M12</f>
        <v>0</v>
      </c>
      <c r="O54" s="669">
        <f>+landbouw!N12</f>
        <v>0</v>
      </c>
      <c r="P54" s="669">
        <f>+landbouw!O12</f>
        <v>0</v>
      </c>
      <c r="Q54" s="670">
        <f>+landbouw!P12</f>
        <v>0</v>
      </c>
      <c r="R54" s="697">
        <f ca="1">SUM(C54:Q54)</f>
        <v>62602.766314074936</v>
      </c>
    </row>
    <row r="55" spans="1:18" ht="15" thickBot="1">
      <c r="A55" s="791" t="s">
        <v>802</v>
      </c>
      <c r="B55" s="801"/>
      <c r="C55" s="669">
        <f ca="1">C25*'EF ele_warmte'!B12</f>
        <v>245.8951111595056</v>
      </c>
      <c r="D55" s="669"/>
      <c r="E55" s="669">
        <f>E25*EF_CO2_aardgas</f>
        <v>559.0480660815723</v>
      </c>
      <c r="F55" s="669"/>
      <c r="G55" s="669"/>
      <c r="H55" s="669"/>
      <c r="I55" s="669"/>
      <c r="J55" s="669"/>
      <c r="K55" s="669"/>
      <c r="L55" s="669"/>
      <c r="M55" s="669"/>
      <c r="N55" s="669"/>
      <c r="O55" s="669"/>
      <c r="P55" s="669"/>
      <c r="Q55" s="670"/>
      <c r="R55" s="697">
        <f ca="1">SUM(C55:Q55)</f>
        <v>804.94317724107793</v>
      </c>
    </row>
    <row r="56" spans="1:18" ht="15.75" thickBot="1">
      <c r="A56" s="789" t="s">
        <v>803</v>
      </c>
      <c r="B56" s="802"/>
      <c r="C56" s="698">
        <f ca="1">SUM(C54:C55)</f>
        <v>3931.0018677626927</v>
      </c>
      <c r="D56" s="698">
        <f t="shared" ref="D56:Q56" ca="1" si="7">SUM(D54:D55)</f>
        <v>32996.683681756389</v>
      </c>
      <c r="E56" s="698">
        <f t="shared" si="7"/>
        <v>559.0480660815723</v>
      </c>
      <c r="F56" s="698">
        <f t="shared" si="7"/>
        <v>151.34942981545188</v>
      </c>
      <c r="G56" s="698">
        <f t="shared" si="7"/>
        <v>24606.25743453384</v>
      </c>
      <c r="H56" s="698">
        <f t="shared" si="7"/>
        <v>0</v>
      </c>
      <c r="I56" s="698">
        <f t="shared" si="7"/>
        <v>0</v>
      </c>
      <c r="J56" s="698">
        <f t="shared" si="7"/>
        <v>0</v>
      </c>
      <c r="K56" s="698">
        <f t="shared" si="7"/>
        <v>1163.3690113660737</v>
      </c>
      <c r="L56" s="698">
        <f t="shared" si="7"/>
        <v>0</v>
      </c>
      <c r="M56" s="698">
        <f t="shared" si="7"/>
        <v>0</v>
      </c>
      <c r="N56" s="698">
        <f t="shared" si="7"/>
        <v>0</v>
      </c>
      <c r="O56" s="698">
        <f t="shared" si="7"/>
        <v>0</v>
      </c>
      <c r="P56" s="698">
        <f t="shared" si="7"/>
        <v>0</v>
      </c>
      <c r="Q56" s="699">
        <f t="shared" si="7"/>
        <v>0</v>
      </c>
      <c r="R56" s="700">
        <f ca="1">SUM(R54:R55)</f>
        <v>63407.709491316011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36362.080000598879</v>
      </c>
      <c r="D61" s="706">
        <f t="shared" ref="D61:Q61" ca="1" si="8">D46+D52+D56</f>
        <v>36169.513613046387</v>
      </c>
      <c r="E61" s="706">
        <f t="shared" ca="1" si="8"/>
        <v>41472.567200955025</v>
      </c>
      <c r="F61" s="706">
        <f t="shared" si="8"/>
        <v>3351.7364750794545</v>
      </c>
      <c r="G61" s="706">
        <f t="shared" ca="1" si="8"/>
        <v>47150.752219573951</v>
      </c>
      <c r="H61" s="706">
        <f t="shared" si="8"/>
        <v>67162.94787972093</v>
      </c>
      <c r="I61" s="706">
        <f t="shared" si="8"/>
        <v>9763.4661991985467</v>
      </c>
      <c r="J61" s="706">
        <f t="shared" si="8"/>
        <v>0</v>
      </c>
      <c r="K61" s="706">
        <f t="shared" si="8"/>
        <v>1316.8407138805426</v>
      </c>
      <c r="L61" s="706">
        <f t="shared" si="8"/>
        <v>0</v>
      </c>
      <c r="M61" s="706">
        <f t="shared" ca="1" si="8"/>
        <v>0</v>
      </c>
      <c r="N61" s="706">
        <f t="shared" si="8"/>
        <v>0</v>
      </c>
      <c r="O61" s="706">
        <f t="shared" ca="1" si="8"/>
        <v>0</v>
      </c>
      <c r="P61" s="706">
        <f t="shared" si="8"/>
        <v>0</v>
      </c>
      <c r="Q61" s="706">
        <f t="shared" si="8"/>
        <v>0</v>
      </c>
      <c r="R61" s="706">
        <f ca="1">R46+R52+R56</f>
        <v>242749.90430205368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0.16245753508623542</v>
      </c>
      <c r="D63" s="747">
        <f t="shared" ca="1" si="9"/>
        <v>0.23258780520504746</v>
      </c>
      <c r="E63" s="982">
        <f t="shared" ca="1" si="9"/>
        <v>0.20200000000000007</v>
      </c>
      <c r="F63" s="747">
        <f t="shared" si="9"/>
        <v>0.22700000000000001</v>
      </c>
      <c r="G63" s="747">
        <f t="shared" ca="1" si="9"/>
        <v>0.26700000000000002</v>
      </c>
      <c r="H63" s="747">
        <f t="shared" si="9"/>
        <v>0.26699999999999996</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53740.381507944527</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9958.892925288088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2599.0428446900846</v>
      </c>
      <c r="C76" s="716">
        <f>'lokale energieproductie'!B8*IFERROR(SUM(D76:H76)/SUM(D76:O76),0)</f>
        <v>107052.90715530991</v>
      </c>
      <c r="D76" s="992">
        <f>'lokale energieproductie'!C8</f>
        <v>124976.93722275438</v>
      </c>
      <c r="E76" s="993">
        <f>'lokale energieproductie'!D8</f>
        <v>0</v>
      </c>
      <c r="F76" s="993">
        <f>'lokale energieproductie'!E8</f>
        <v>967.65943055140372</v>
      </c>
      <c r="G76" s="993">
        <f>'lokale energieproductie'!F8</f>
        <v>0</v>
      </c>
      <c r="H76" s="993">
        <f>'lokale energieproductie'!G8</f>
        <v>0</v>
      </c>
      <c r="I76" s="993">
        <f>'lokale energieproductie'!I8</f>
        <v>2902.9782916542113</v>
      </c>
      <c r="J76" s="993">
        <f>'lokale energieproductie'!J8</f>
        <v>154.71917268706508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25503.70638695361</v>
      </c>
      <c r="R76" s="818">
        <v>0</v>
      </c>
    </row>
    <row r="77" spans="1:18" ht="30.75" thickBot="1">
      <c r="A77" s="719" t="s">
        <v>339</v>
      </c>
      <c r="B77" s="716">
        <f>'lokale energieproductie'!B9*IFERROR(SUM(I77:O77)/SUM(D77:O77),0)</f>
        <v>1341</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3831.4285714285716</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67639.317277922702</v>
      </c>
      <c r="C78" s="721">
        <f>SUM(C72:C77)</f>
        <v>107052.90715530991</v>
      </c>
      <c r="D78" s="722">
        <f t="shared" ref="D78:H78" si="10">SUM(D76:D77)</f>
        <v>124976.93722275438</v>
      </c>
      <c r="E78" s="722">
        <f t="shared" si="10"/>
        <v>0</v>
      </c>
      <c r="F78" s="722">
        <f t="shared" si="10"/>
        <v>967.65943055140372</v>
      </c>
      <c r="G78" s="722">
        <f t="shared" si="10"/>
        <v>0</v>
      </c>
      <c r="H78" s="722">
        <f t="shared" si="10"/>
        <v>0</v>
      </c>
      <c r="I78" s="722">
        <f>SUM(I76:I77)</f>
        <v>2902.9782916542113</v>
      </c>
      <c r="J78" s="722">
        <f>SUM(J76:J77)</f>
        <v>3986.1477441156367</v>
      </c>
      <c r="K78" s="722">
        <f t="shared" ref="K78:L78" si="11">SUM(K76:K77)</f>
        <v>0</v>
      </c>
      <c r="L78" s="722">
        <f t="shared" si="11"/>
        <v>0</v>
      </c>
      <c r="M78" s="722">
        <f>SUM(M76:M77)</f>
        <v>0</v>
      </c>
      <c r="N78" s="722">
        <f>SUM(N76:N77)</f>
        <v>0</v>
      </c>
      <c r="O78" s="826">
        <f>SUM(O76:O77)</f>
        <v>0</v>
      </c>
      <c r="P78" s="723">
        <v>0</v>
      </c>
      <c r="Q78" s="723">
        <f>SUM(Q76:Q77)</f>
        <v>25503.70638695361</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3685.9785838813427</v>
      </c>
      <c r="C87" s="732">
        <f>'lokale energieproductie'!B17*IFERROR(SUM(D87:H87)/SUM(D87:O87),0)</f>
        <v>151823.09284469005</v>
      </c>
      <c r="D87" s="743">
        <f>'lokale energieproductie'!C17</f>
        <v>177243.06277724559</v>
      </c>
      <c r="E87" s="743">
        <f>'lokale energieproductie'!D17</f>
        <v>0</v>
      </c>
      <c r="F87" s="743">
        <f>'lokale energieproductie'!E17</f>
        <v>1372.3405694485962</v>
      </c>
      <c r="G87" s="743">
        <f>'lokale energieproductie'!F17</f>
        <v>0</v>
      </c>
      <c r="H87" s="743">
        <f>'lokale energieproductie'!G17</f>
        <v>0</v>
      </c>
      <c r="I87" s="743">
        <f>'lokale energieproductie'!I17</f>
        <v>4117.0217083457883</v>
      </c>
      <c r="J87" s="743">
        <f>'lokale energieproductie'!J17</f>
        <v>219.423684455792</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36169.513613046387</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3685.9785838813427</v>
      </c>
      <c r="C90" s="721">
        <f>SUM(C87:C89)</f>
        <v>151823.09284469005</v>
      </c>
      <c r="D90" s="721">
        <f t="shared" ref="D90:H90" si="12">SUM(D87:D89)</f>
        <v>177243.06277724559</v>
      </c>
      <c r="E90" s="721">
        <f t="shared" si="12"/>
        <v>0</v>
      </c>
      <c r="F90" s="721">
        <f t="shared" si="12"/>
        <v>1372.3405694485962</v>
      </c>
      <c r="G90" s="721">
        <f t="shared" si="12"/>
        <v>0</v>
      </c>
      <c r="H90" s="721">
        <f t="shared" si="12"/>
        <v>0</v>
      </c>
      <c r="I90" s="721">
        <f>SUM(I87:I89)</f>
        <v>4117.0217083457883</v>
      </c>
      <c r="J90" s="721">
        <f>SUM(J87:J89)</f>
        <v>219.423684455792</v>
      </c>
      <c r="K90" s="721">
        <f t="shared" ref="K90:L90" si="13">SUM(K87:K89)</f>
        <v>0</v>
      </c>
      <c r="L90" s="721">
        <f t="shared" si="13"/>
        <v>0</v>
      </c>
      <c r="M90" s="721">
        <f>SUM(M87:M89)</f>
        <v>0</v>
      </c>
      <c r="N90" s="721">
        <f>SUM(N87:N89)</f>
        <v>0</v>
      </c>
      <c r="O90" s="721">
        <f>SUM(O87:O89)</f>
        <v>0</v>
      </c>
      <c r="P90" s="721">
        <v>0</v>
      </c>
      <c r="Q90" s="721">
        <f>SUM(Q87:Q89)</f>
        <v>36169.513613046387</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37808.006654193661</v>
      </c>
      <c r="C4" s="443">
        <f>huishoudens!C8</f>
        <v>0</v>
      </c>
      <c r="D4" s="443">
        <f>huishoudens!D8</f>
        <v>95823.835825229122</v>
      </c>
      <c r="E4" s="443">
        <f>huishoudens!E8</f>
        <v>1622.6227781036139</v>
      </c>
      <c r="F4" s="443">
        <f>huishoudens!F8</f>
        <v>41109.987759667289</v>
      </c>
      <c r="G4" s="443">
        <f>huishoudens!G8</f>
        <v>0</v>
      </c>
      <c r="H4" s="443">
        <f>huishoudens!H8</f>
        <v>0</v>
      </c>
      <c r="I4" s="443">
        <f>huishoudens!I8</f>
        <v>0</v>
      </c>
      <c r="J4" s="443">
        <f>huishoudens!J8</f>
        <v>197.81664892055429</v>
      </c>
      <c r="K4" s="443">
        <f>huishoudens!K8</f>
        <v>0</v>
      </c>
      <c r="L4" s="443">
        <f>huishoudens!L8</f>
        <v>0</v>
      </c>
      <c r="M4" s="443">
        <f>huishoudens!M8</f>
        <v>0</v>
      </c>
      <c r="N4" s="443">
        <f>huishoudens!N8</f>
        <v>12154.839279957636</v>
      </c>
      <c r="O4" s="443">
        <f>huishoudens!O8</f>
        <v>523.7166666666667</v>
      </c>
      <c r="P4" s="444">
        <f>huishoudens!P8</f>
        <v>2059.1999999999998</v>
      </c>
      <c r="Q4" s="445">
        <f>SUM(B4:P4)</f>
        <v>191300.02561273854</v>
      </c>
    </row>
    <row r="5" spans="1:17">
      <c r="A5" s="442" t="s">
        <v>149</v>
      </c>
      <c r="B5" s="443">
        <f ca="1">tertiair!B16</f>
        <v>64149.776079993419</v>
      </c>
      <c r="C5" s="443">
        <f ca="1">tertiair!C16</f>
        <v>12857.142857142857</v>
      </c>
      <c r="D5" s="443">
        <f ca="1">tertiair!D16</f>
        <v>43535.526272111172</v>
      </c>
      <c r="E5" s="443">
        <f>tertiair!E16</f>
        <v>828.59514175942218</v>
      </c>
      <c r="F5" s="443">
        <f ca="1">tertiair!F16</f>
        <v>9390.702224478764</v>
      </c>
      <c r="G5" s="443">
        <f>tertiair!G16</f>
        <v>0</v>
      </c>
      <c r="H5" s="443">
        <f>tertiair!H16</f>
        <v>0</v>
      </c>
      <c r="I5" s="443">
        <f>tertiair!I16</f>
        <v>0</v>
      </c>
      <c r="J5" s="443">
        <f>tertiair!J16</f>
        <v>0.1085949800460185</v>
      </c>
      <c r="K5" s="443">
        <f>tertiair!K16</f>
        <v>0</v>
      </c>
      <c r="L5" s="443">
        <f ca="1">tertiair!L16</f>
        <v>0</v>
      </c>
      <c r="M5" s="443">
        <f>tertiair!M16</f>
        <v>0</v>
      </c>
      <c r="N5" s="443">
        <f ca="1">tertiair!N16</f>
        <v>498.80188358835494</v>
      </c>
      <c r="O5" s="443">
        <f>tertiair!O16</f>
        <v>6.2533333333333339</v>
      </c>
      <c r="P5" s="444">
        <f>tertiair!P16</f>
        <v>95.333333333333343</v>
      </c>
      <c r="Q5" s="442">
        <f t="shared" ref="Q5:Q14" ca="1" si="0">SUM(B5:P5)</f>
        <v>131362.23972072068</v>
      </c>
    </row>
    <row r="6" spans="1:17">
      <c r="A6" s="442" t="s">
        <v>187</v>
      </c>
      <c r="B6" s="443">
        <f>'openbare verlichting'!B8</f>
        <v>1467.3420000000001</v>
      </c>
      <c r="C6" s="443"/>
      <c r="D6" s="443"/>
      <c r="E6" s="443"/>
      <c r="F6" s="443"/>
      <c r="G6" s="443"/>
      <c r="H6" s="443"/>
      <c r="I6" s="443"/>
      <c r="J6" s="443"/>
      <c r="K6" s="443"/>
      <c r="L6" s="443"/>
      <c r="M6" s="443"/>
      <c r="N6" s="443"/>
      <c r="O6" s="443"/>
      <c r="P6" s="444"/>
      <c r="Q6" s="442">
        <f t="shared" si="0"/>
        <v>1467.3420000000001</v>
      </c>
    </row>
    <row r="7" spans="1:17">
      <c r="A7" s="442" t="s">
        <v>105</v>
      </c>
      <c r="B7" s="443">
        <f>landbouw!B8</f>
        <v>22683.507752638652</v>
      </c>
      <c r="C7" s="443">
        <f>landbouw!C8</f>
        <v>141867.64285714287</v>
      </c>
      <c r="D7" s="443">
        <f>landbouw!D8</f>
        <v>0</v>
      </c>
      <c r="E7" s="443">
        <f>landbouw!E8</f>
        <v>666.73757627952375</v>
      </c>
      <c r="F7" s="443">
        <f>landbouw!F8</f>
        <v>92158.267545070557</v>
      </c>
      <c r="G7" s="443">
        <f>landbouw!G8</f>
        <v>0</v>
      </c>
      <c r="H7" s="443">
        <f>landbouw!H8</f>
        <v>0</v>
      </c>
      <c r="I7" s="443">
        <f>landbouw!I8</f>
        <v>0</v>
      </c>
      <c r="J7" s="443">
        <f>landbouw!J8</f>
        <v>3286.3531394521856</v>
      </c>
      <c r="K7" s="443">
        <f>landbouw!K8</f>
        <v>0</v>
      </c>
      <c r="L7" s="443">
        <f>landbouw!L8</f>
        <v>0</v>
      </c>
      <c r="M7" s="443">
        <f>landbouw!M8</f>
        <v>0</v>
      </c>
      <c r="N7" s="443">
        <f>landbouw!N8</f>
        <v>0</v>
      </c>
      <c r="O7" s="443">
        <f>landbouw!O8</f>
        <v>0</v>
      </c>
      <c r="P7" s="444">
        <f>landbouw!P8</f>
        <v>0</v>
      </c>
      <c r="Q7" s="442">
        <f t="shared" si="0"/>
        <v>260662.50887058381</v>
      </c>
    </row>
    <row r="8" spans="1:17">
      <c r="A8" s="442" t="s">
        <v>621</v>
      </c>
      <c r="B8" s="443">
        <f>industrie!B18</f>
        <v>96030.365036917487</v>
      </c>
      <c r="C8" s="443">
        <f>industrie!C18</f>
        <v>784.28571428571433</v>
      </c>
      <c r="D8" s="443">
        <f>industrie!D18</f>
        <v>62943.95676151845</v>
      </c>
      <c r="E8" s="443">
        <f>industrie!E18</f>
        <v>11187.437046044532</v>
      </c>
      <c r="F8" s="443">
        <f>industrie!F18</f>
        <v>33935.620072183941</v>
      </c>
      <c r="G8" s="443">
        <f>industrie!G18</f>
        <v>0</v>
      </c>
      <c r="H8" s="443">
        <f>industrie!H18</f>
        <v>0</v>
      </c>
      <c r="I8" s="443">
        <f>industrie!I18</f>
        <v>0</v>
      </c>
      <c r="J8" s="443">
        <f>industrie!J18</f>
        <v>235.61063890863412</v>
      </c>
      <c r="K8" s="443">
        <f>industrie!K18</f>
        <v>0</v>
      </c>
      <c r="L8" s="443">
        <f>industrie!L18</f>
        <v>0</v>
      </c>
      <c r="M8" s="443">
        <f>industrie!M18</f>
        <v>0</v>
      </c>
      <c r="N8" s="443">
        <f>industrie!N18</f>
        <v>7768.2693152333377</v>
      </c>
      <c r="O8" s="443">
        <f>industrie!O18</f>
        <v>0</v>
      </c>
      <c r="P8" s="444">
        <f>industrie!P18</f>
        <v>0</v>
      </c>
      <c r="Q8" s="442">
        <f t="shared" si="0"/>
        <v>212885.54458509211</v>
      </c>
    </row>
    <row r="9" spans="1:17" s="448" customFormat="1">
      <c r="A9" s="446" t="s">
        <v>547</v>
      </c>
      <c r="B9" s="447">
        <f>transport!B14</f>
        <v>154.62760598612968</v>
      </c>
      <c r="C9" s="447">
        <f>transport!C14</f>
        <v>0</v>
      </c>
      <c r="D9" s="447">
        <f>transport!D14</f>
        <v>238.855076158298</v>
      </c>
      <c r="E9" s="447">
        <f>transport!E14</f>
        <v>459.96637886777376</v>
      </c>
      <c r="F9" s="447">
        <f>transport!F14</f>
        <v>0</v>
      </c>
      <c r="G9" s="447">
        <f>transport!G14</f>
        <v>249863.6508794227</v>
      </c>
      <c r="H9" s="447">
        <f>transport!H14</f>
        <v>39210.707627303404</v>
      </c>
      <c r="I9" s="447">
        <f>transport!I14</f>
        <v>0</v>
      </c>
      <c r="J9" s="447">
        <f>transport!J14</f>
        <v>0</v>
      </c>
      <c r="K9" s="447">
        <f>transport!K14</f>
        <v>0</v>
      </c>
      <c r="L9" s="447">
        <f>transport!L14</f>
        <v>0</v>
      </c>
      <c r="M9" s="447">
        <f>transport!M14</f>
        <v>15752.74298735459</v>
      </c>
      <c r="N9" s="447">
        <f>transport!N14</f>
        <v>0</v>
      </c>
      <c r="O9" s="447">
        <f>transport!O14</f>
        <v>0</v>
      </c>
      <c r="P9" s="447">
        <f>transport!P14</f>
        <v>0</v>
      </c>
      <c r="Q9" s="446">
        <f>SUM(B9:P9)</f>
        <v>305680.55055509292</v>
      </c>
    </row>
    <row r="10" spans="1:17">
      <c r="A10" s="442" t="s">
        <v>537</v>
      </c>
      <c r="B10" s="443">
        <f>transport!B54</f>
        <v>17.915361564224924</v>
      </c>
      <c r="C10" s="443">
        <f>transport!C54</f>
        <v>0</v>
      </c>
      <c r="D10" s="443">
        <f>transport!D54</f>
        <v>0</v>
      </c>
      <c r="E10" s="443">
        <f>transport!E54</f>
        <v>0</v>
      </c>
      <c r="F10" s="443">
        <f>transport!F54</f>
        <v>0</v>
      </c>
      <c r="G10" s="443">
        <f>transport!G54</f>
        <v>1682.9703929403618</v>
      </c>
      <c r="H10" s="443">
        <f>transport!H54</f>
        <v>0</v>
      </c>
      <c r="I10" s="443">
        <f>transport!I54</f>
        <v>0</v>
      </c>
      <c r="J10" s="443">
        <f>transport!J54</f>
        <v>0</v>
      </c>
      <c r="K10" s="443">
        <f>transport!K54</f>
        <v>0</v>
      </c>
      <c r="L10" s="443">
        <f>transport!L54</f>
        <v>0</v>
      </c>
      <c r="M10" s="443">
        <f>transport!M54</f>
        <v>96.9172117838594</v>
      </c>
      <c r="N10" s="443">
        <f>transport!N54</f>
        <v>0</v>
      </c>
      <c r="O10" s="443">
        <f>transport!O54</f>
        <v>0</v>
      </c>
      <c r="P10" s="444">
        <f>transport!P54</f>
        <v>0</v>
      </c>
      <c r="Q10" s="442">
        <f t="shared" si="0"/>
        <v>1797.802966288446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1513.5962208769201</v>
      </c>
      <c r="C14" s="450"/>
      <c r="D14" s="450">
        <f>'SEAP template'!E25</f>
        <v>2767.56468357214</v>
      </c>
      <c r="E14" s="450"/>
      <c r="F14" s="450"/>
      <c r="G14" s="450"/>
      <c r="H14" s="450"/>
      <c r="I14" s="450"/>
      <c r="J14" s="450"/>
      <c r="K14" s="450"/>
      <c r="L14" s="450"/>
      <c r="M14" s="450"/>
      <c r="N14" s="450"/>
      <c r="O14" s="450"/>
      <c r="P14" s="451"/>
      <c r="Q14" s="442">
        <f t="shared" si="0"/>
        <v>4281.1609044490597</v>
      </c>
    </row>
    <row r="15" spans="1:17" s="452" customFormat="1">
      <c r="A15" s="997" t="s">
        <v>541</v>
      </c>
      <c r="B15" s="945">
        <f ca="1">SUM(B4:B14)</f>
        <v>223825.13671217056</v>
      </c>
      <c r="C15" s="945">
        <f t="shared" ref="C15:Q15" ca="1" si="1">SUM(C4:C14)</f>
        <v>155509.07142857145</v>
      </c>
      <c r="D15" s="945">
        <f t="shared" ca="1" si="1"/>
        <v>205309.73861858915</v>
      </c>
      <c r="E15" s="945">
        <f t="shared" si="1"/>
        <v>14765.358921054865</v>
      </c>
      <c r="F15" s="945">
        <f t="shared" ca="1" si="1"/>
        <v>176594.57760140055</v>
      </c>
      <c r="G15" s="945">
        <f t="shared" si="1"/>
        <v>251546.62127236306</v>
      </c>
      <c r="H15" s="945">
        <f t="shared" si="1"/>
        <v>39210.707627303404</v>
      </c>
      <c r="I15" s="945">
        <f t="shared" si="1"/>
        <v>0</v>
      </c>
      <c r="J15" s="945">
        <f t="shared" si="1"/>
        <v>3719.88902226142</v>
      </c>
      <c r="K15" s="945">
        <f t="shared" si="1"/>
        <v>0</v>
      </c>
      <c r="L15" s="945">
        <f t="shared" ca="1" si="1"/>
        <v>0</v>
      </c>
      <c r="M15" s="945">
        <f t="shared" si="1"/>
        <v>15849.660199138449</v>
      </c>
      <c r="N15" s="945">
        <f t="shared" ca="1" si="1"/>
        <v>20421.910478779329</v>
      </c>
      <c r="O15" s="945">
        <f t="shared" si="1"/>
        <v>529.97</v>
      </c>
      <c r="P15" s="945">
        <f t="shared" si="1"/>
        <v>2154.5333333333333</v>
      </c>
      <c r="Q15" s="945">
        <f t="shared" ca="1" si="1"/>
        <v>1109437.1752149656</v>
      </c>
    </row>
    <row r="17" spans="1:17">
      <c r="A17" s="453" t="s">
        <v>542</v>
      </c>
      <c r="B17" s="752">
        <f ca="1">huishoudens!B10</f>
        <v>0.16245753508623542</v>
      </c>
      <c r="C17" s="752">
        <f ca="1">huishoudens!C10</f>
        <v>0.23258780520504746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6142.1955675642894</v>
      </c>
      <c r="C22" s="443">
        <f t="shared" ref="C22:C32" ca="1" si="3">C4*$C$17</f>
        <v>0</v>
      </c>
      <c r="D22" s="443">
        <f t="shared" ref="D22:D32" si="4">D4*$D$17</f>
        <v>19356.414836696284</v>
      </c>
      <c r="E22" s="443">
        <f t="shared" ref="E22:E32" si="5">E4*$E$17</f>
        <v>368.33537062952036</v>
      </c>
      <c r="F22" s="443">
        <f t="shared" ref="F22:F32" si="6">F4*$F$17</f>
        <v>10976.366731831167</v>
      </c>
      <c r="G22" s="443">
        <f t="shared" ref="G22:G32" si="7">G4*$G$17</f>
        <v>0</v>
      </c>
      <c r="H22" s="443">
        <f t="shared" ref="H22:H32" si="8">H4*$H$17</f>
        <v>0</v>
      </c>
      <c r="I22" s="443">
        <f t="shared" ref="I22:I32" si="9">I4*$I$17</f>
        <v>0</v>
      </c>
      <c r="J22" s="443">
        <f t="shared" ref="J22:J32" si="10">J4*$J$17</f>
        <v>70.027093717876213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36913.33960043914</v>
      </c>
    </row>
    <row r="23" spans="1:17">
      <c r="A23" s="442" t="s">
        <v>149</v>
      </c>
      <c r="B23" s="443">
        <f t="shared" ca="1" si="2"/>
        <v>10421.614498289677</v>
      </c>
      <c r="C23" s="443">
        <f t="shared" ca="1" si="3"/>
        <v>2990.4146383506099</v>
      </c>
      <c r="D23" s="443">
        <f t="shared" ca="1" si="4"/>
        <v>8794.1763069664576</v>
      </c>
      <c r="E23" s="443">
        <f t="shared" si="5"/>
        <v>188.09109717938884</v>
      </c>
      <c r="F23" s="443">
        <f t="shared" ca="1" si="6"/>
        <v>2507.31749393583</v>
      </c>
      <c r="G23" s="443">
        <f t="shared" si="7"/>
        <v>0</v>
      </c>
      <c r="H23" s="443">
        <f t="shared" si="8"/>
        <v>0</v>
      </c>
      <c r="I23" s="443">
        <f t="shared" si="9"/>
        <v>0</v>
      </c>
      <c r="J23" s="443">
        <f t="shared" si="10"/>
        <v>3.8442622936290548E-2</v>
      </c>
      <c r="K23" s="443">
        <f t="shared" si="11"/>
        <v>0</v>
      </c>
      <c r="L23" s="443">
        <f t="shared" ca="1" si="12"/>
        <v>0</v>
      </c>
      <c r="M23" s="443">
        <f t="shared" si="13"/>
        <v>0</v>
      </c>
      <c r="N23" s="443">
        <f t="shared" ca="1" si="14"/>
        <v>0</v>
      </c>
      <c r="O23" s="443">
        <f t="shared" si="15"/>
        <v>0</v>
      </c>
      <c r="P23" s="444">
        <f t="shared" si="16"/>
        <v>0</v>
      </c>
      <c r="Q23" s="442">
        <f t="shared" ref="Q23:Q32" ca="1" si="17">SUM(B23:P23)</f>
        <v>24901.652477344898</v>
      </c>
    </row>
    <row r="24" spans="1:17">
      <c r="A24" s="442" t="s">
        <v>187</v>
      </c>
      <c r="B24" s="443">
        <f t="shared" ca="1" si="2"/>
        <v>238.38076444850688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238.38076444850688</v>
      </c>
    </row>
    <row r="25" spans="1:17">
      <c r="A25" s="442" t="s">
        <v>105</v>
      </c>
      <c r="B25" s="443">
        <f t="shared" ca="1" si="2"/>
        <v>3685.106756603187</v>
      </c>
      <c r="C25" s="443">
        <f t="shared" ca="1" si="3"/>
        <v>32996.683681756389</v>
      </c>
      <c r="D25" s="443">
        <f t="shared" si="4"/>
        <v>0</v>
      </c>
      <c r="E25" s="443">
        <f t="shared" si="5"/>
        <v>151.34942981545188</v>
      </c>
      <c r="F25" s="443">
        <f t="shared" si="6"/>
        <v>24606.25743453384</v>
      </c>
      <c r="G25" s="443">
        <f t="shared" si="7"/>
        <v>0</v>
      </c>
      <c r="H25" s="443">
        <f t="shared" si="8"/>
        <v>0</v>
      </c>
      <c r="I25" s="443">
        <f t="shared" si="9"/>
        <v>0</v>
      </c>
      <c r="J25" s="443">
        <f t="shared" si="10"/>
        <v>1163.3690113660737</v>
      </c>
      <c r="K25" s="443">
        <f t="shared" si="11"/>
        <v>0</v>
      </c>
      <c r="L25" s="443">
        <f t="shared" si="12"/>
        <v>0</v>
      </c>
      <c r="M25" s="443">
        <f t="shared" si="13"/>
        <v>0</v>
      </c>
      <c r="N25" s="443">
        <f t="shared" si="14"/>
        <v>0</v>
      </c>
      <c r="O25" s="443">
        <f t="shared" si="15"/>
        <v>0</v>
      </c>
      <c r="P25" s="444">
        <f t="shared" si="16"/>
        <v>0</v>
      </c>
      <c r="Q25" s="442">
        <f t="shared" ca="1" si="17"/>
        <v>62602.766314074936</v>
      </c>
    </row>
    <row r="26" spans="1:17">
      <c r="A26" s="442" t="s">
        <v>621</v>
      </c>
      <c r="B26" s="443">
        <f t="shared" ca="1" si="2"/>
        <v>15600.856397329018</v>
      </c>
      <c r="C26" s="443">
        <f t="shared" ca="1" si="3"/>
        <v>182.41529293938723</v>
      </c>
      <c r="D26" s="443">
        <f t="shared" si="4"/>
        <v>12714.679265826728</v>
      </c>
      <c r="E26" s="443">
        <f t="shared" si="5"/>
        <v>2539.5482094521089</v>
      </c>
      <c r="F26" s="443">
        <f t="shared" si="6"/>
        <v>9060.8105592731135</v>
      </c>
      <c r="G26" s="443">
        <f t="shared" si="7"/>
        <v>0</v>
      </c>
      <c r="H26" s="443">
        <f t="shared" si="8"/>
        <v>0</v>
      </c>
      <c r="I26" s="443">
        <f t="shared" si="9"/>
        <v>0</v>
      </c>
      <c r="J26" s="443">
        <f t="shared" si="10"/>
        <v>83.406166173656473</v>
      </c>
      <c r="K26" s="443">
        <f t="shared" si="11"/>
        <v>0</v>
      </c>
      <c r="L26" s="443">
        <f t="shared" si="12"/>
        <v>0</v>
      </c>
      <c r="M26" s="443">
        <f t="shared" si="13"/>
        <v>0</v>
      </c>
      <c r="N26" s="443">
        <f t="shared" si="14"/>
        <v>0</v>
      </c>
      <c r="O26" s="443">
        <f t="shared" si="15"/>
        <v>0</v>
      </c>
      <c r="P26" s="444">
        <f t="shared" si="16"/>
        <v>0</v>
      </c>
      <c r="Q26" s="442">
        <f t="shared" ca="1" si="17"/>
        <v>40181.715890994012</v>
      </c>
    </row>
    <row r="27" spans="1:17" s="448" customFormat="1">
      <c r="A27" s="446" t="s">
        <v>547</v>
      </c>
      <c r="B27" s="746">
        <f t="shared" ca="1" si="2"/>
        <v>25.120419724792249</v>
      </c>
      <c r="C27" s="447">
        <f t="shared" ca="1" si="3"/>
        <v>0</v>
      </c>
      <c r="D27" s="447">
        <f t="shared" si="4"/>
        <v>48.2487253839762</v>
      </c>
      <c r="E27" s="447">
        <f t="shared" si="5"/>
        <v>104.41236800298465</v>
      </c>
      <c r="F27" s="447">
        <f t="shared" si="6"/>
        <v>0</v>
      </c>
      <c r="G27" s="447">
        <f t="shared" si="7"/>
        <v>66713.594784805857</v>
      </c>
      <c r="H27" s="447">
        <f t="shared" si="8"/>
        <v>9763.4661991985467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76654.842497116158</v>
      </c>
    </row>
    <row r="28" spans="1:17">
      <c r="A28" s="442" t="s">
        <v>537</v>
      </c>
      <c r="B28" s="443">
        <f t="shared" ca="1" si="2"/>
        <v>2.9104854799026638</v>
      </c>
      <c r="C28" s="443">
        <f t="shared" ca="1" si="3"/>
        <v>0</v>
      </c>
      <c r="D28" s="443">
        <f t="shared" si="4"/>
        <v>0</v>
      </c>
      <c r="E28" s="443">
        <f t="shared" si="5"/>
        <v>0</v>
      </c>
      <c r="F28" s="443">
        <f t="shared" si="6"/>
        <v>0</v>
      </c>
      <c r="G28" s="443">
        <f t="shared" si="7"/>
        <v>449.35309491507661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452.26358039497927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245.8951111595056</v>
      </c>
      <c r="C32" s="443">
        <f t="shared" ca="1" si="3"/>
        <v>0</v>
      </c>
      <c r="D32" s="443">
        <f t="shared" si="4"/>
        <v>559.0480660815723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804.94317724107793</v>
      </c>
    </row>
    <row r="33" spans="1:17" s="452" customFormat="1">
      <c r="A33" s="997" t="s">
        <v>541</v>
      </c>
      <c r="B33" s="945">
        <f ca="1">SUM(B22:B32)</f>
        <v>36362.080000598886</v>
      </c>
      <c r="C33" s="945">
        <f t="shared" ref="C33:Q33" ca="1" si="18">SUM(C22:C32)</f>
        <v>36169.513613046387</v>
      </c>
      <c r="D33" s="945">
        <f t="shared" ca="1" si="18"/>
        <v>41472.567200955025</v>
      </c>
      <c r="E33" s="945">
        <f t="shared" si="18"/>
        <v>3351.7364750794545</v>
      </c>
      <c r="F33" s="945">
        <f t="shared" ca="1" si="18"/>
        <v>47150.752219573951</v>
      </c>
      <c r="G33" s="945">
        <f t="shared" si="18"/>
        <v>67162.94787972093</v>
      </c>
      <c r="H33" s="945">
        <f t="shared" si="18"/>
        <v>9763.4661991985467</v>
      </c>
      <c r="I33" s="945">
        <f t="shared" si="18"/>
        <v>0</v>
      </c>
      <c r="J33" s="945">
        <f t="shared" si="18"/>
        <v>1316.8407138805426</v>
      </c>
      <c r="K33" s="945">
        <f t="shared" si="18"/>
        <v>0</v>
      </c>
      <c r="L33" s="945">
        <f t="shared" ca="1" si="18"/>
        <v>0</v>
      </c>
      <c r="M33" s="945">
        <f t="shared" si="18"/>
        <v>0</v>
      </c>
      <c r="N33" s="945">
        <f t="shared" ca="1" si="18"/>
        <v>0</v>
      </c>
      <c r="O33" s="945">
        <f t="shared" si="18"/>
        <v>0</v>
      </c>
      <c r="P33" s="945">
        <f t="shared" si="18"/>
        <v>0</v>
      </c>
      <c r="Q33" s="945">
        <f t="shared" ca="1" si="18"/>
        <v>242749.90430205368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53740.381507944527</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9958.892925288088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2599.0428446900846</v>
      </c>
      <c r="C8" s="1014">
        <f>'SEAP template'!C76</f>
        <v>107052.90715530991</v>
      </c>
      <c r="D8" s="1014">
        <f>'SEAP template'!D76</f>
        <v>124976.93722275438</v>
      </c>
      <c r="E8" s="1014">
        <f>'SEAP template'!E76</f>
        <v>0</v>
      </c>
      <c r="F8" s="1014">
        <f>'SEAP template'!F76</f>
        <v>967.65943055140372</v>
      </c>
      <c r="G8" s="1014">
        <f>'SEAP template'!G76</f>
        <v>0</v>
      </c>
      <c r="H8" s="1014">
        <f>'SEAP template'!H76</f>
        <v>0</v>
      </c>
      <c r="I8" s="1014">
        <f>'SEAP template'!I76</f>
        <v>2902.9782916542113</v>
      </c>
      <c r="J8" s="1014">
        <f>'SEAP template'!J76</f>
        <v>154.71917268706508</v>
      </c>
      <c r="K8" s="1014">
        <f>'SEAP template'!K76</f>
        <v>0</v>
      </c>
      <c r="L8" s="1014">
        <f>'SEAP template'!L76</f>
        <v>0</v>
      </c>
      <c r="M8" s="1014">
        <f>'SEAP template'!M76</f>
        <v>0</v>
      </c>
      <c r="N8" s="1014">
        <f>'SEAP template'!N76</f>
        <v>0</v>
      </c>
      <c r="O8" s="1014">
        <f>'SEAP template'!O76</f>
        <v>0</v>
      </c>
      <c r="P8" s="1015">
        <f>'SEAP template'!Q76</f>
        <v>25503.70638695361</v>
      </c>
    </row>
    <row r="9" spans="1:16">
      <c r="A9" s="1017" t="s">
        <v>819</v>
      </c>
      <c r="B9" s="1014">
        <f>'SEAP template'!B77</f>
        <v>1341</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3831.4285714285716</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67639.317277922702</v>
      </c>
      <c r="C10" s="1018">
        <f>SUM(C4:C9)</f>
        <v>107052.90715530991</v>
      </c>
      <c r="D10" s="1018">
        <f t="shared" ref="D10:H10" si="0">SUM(D8:D9)</f>
        <v>124976.93722275438</v>
      </c>
      <c r="E10" s="1018">
        <f t="shared" si="0"/>
        <v>0</v>
      </c>
      <c r="F10" s="1018">
        <f t="shared" si="0"/>
        <v>967.65943055140372</v>
      </c>
      <c r="G10" s="1018">
        <f t="shared" si="0"/>
        <v>0</v>
      </c>
      <c r="H10" s="1018">
        <f t="shared" si="0"/>
        <v>0</v>
      </c>
      <c r="I10" s="1018">
        <f>SUM(I8:I9)</f>
        <v>2902.9782916542113</v>
      </c>
      <c r="J10" s="1018">
        <f>SUM(J8:J9)</f>
        <v>3986.1477441156367</v>
      </c>
      <c r="K10" s="1018">
        <f t="shared" ref="K10:L10" si="1">SUM(K8:K9)</f>
        <v>0</v>
      </c>
      <c r="L10" s="1018">
        <f t="shared" si="1"/>
        <v>0</v>
      </c>
      <c r="M10" s="1018">
        <f>SUM(M8:M9)</f>
        <v>0</v>
      </c>
      <c r="N10" s="1018">
        <f>SUM(N8:N9)</f>
        <v>0</v>
      </c>
      <c r="O10" s="1018">
        <f>SUM(O8:O9)</f>
        <v>0</v>
      </c>
      <c r="P10" s="1018">
        <f>SUM(P8:P9)</f>
        <v>25503.70638695361</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0.16245753508623542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3685.9785838813427</v>
      </c>
      <c r="C17" s="1020">
        <f>'SEAP template'!C87</f>
        <v>151823.09284469005</v>
      </c>
      <c r="D17" s="1015">
        <f>'SEAP template'!D87</f>
        <v>177243.06277724559</v>
      </c>
      <c r="E17" s="1015">
        <f>'SEAP template'!E87</f>
        <v>0</v>
      </c>
      <c r="F17" s="1015">
        <f>'SEAP template'!F87</f>
        <v>1372.3405694485962</v>
      </c>
      <c r="G17" s="1015">
        <f>'SEAP template'!G87</f>
        <v>0</v>
      </c>
      <c r="H17" s="1015">
        <f>'SEAP template'!H87</f>
        <v>0</v>
      </c>
      <c r="I17" s="1015">
        <f>'SEAP template'!I87</f>
        <v>4117.0217083457883</v>
      </c>
      <c r="J17" s="1015">
        <f>'SEAP template'!J87</f>
        <v>219.423684455792</v>
      </c>
      <c r="K17" s="1015">
        <f>'SEAP template'!K87</f>
        <v>0</v>
      </c>
      <c r="L17" s="1015">
        <f>'SEAP template'!L87</f>
        <v>0</v>
      </c>
      <c r="M17" s="1015">
        <f>'SEAP template'!M87</f>
        <v>0</v>
      </c>
      <c r="N17" s="1015">
        <f>'SEAP template'!N87</f>
        <v>0</v>
      </c>
      <c r="O17" s="1015">
        <f>'SEAP template'!O87</f>
        <v>0</v>
      </c>
      <c r="P17" s="1015">
        <f>'SEAP template'!Q87</f>
        <v>36169.513613046387</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3685.9785838813427</v>
      </c>
      <c r="C20" s="1018">
        <f>SUM(C17:C19)</f>
        <v>151823.09284469005</v>
      </c>
      <c r="D20" s="1018">
        <f t="shared" ref="D20:H20" si="2">SUM(D17:D19)</f>
        <v>177243.06277724559</v>
      </c>
      <c r="E20" s="1018">
        <f t="shared" si="2"/>
        <v>0</v>
      </c>
      <c r="F20" s="1018">
        <f t="shared" si="2"/>
        <v>1372.3405694485962</v>
      </c>
      <c r="G20" s="1018">
        <f t="shared" si="2"/>
        <v>0</v>
      </c>
      <c r="H20" s="1018">
        <f t="shared" si="2"/>
        <v>0</v>
      </c>
      <c r="I20" s="1018">
        <f>SUM(I17:I19)</f>
        <v>4117.0217083457883</v>
      </c>
      <c r="J20" s="1018">
        <f>SUM(J17:J19)</f>
        <v>219.423684455792</v>
      </c>
      <c r="K20" s="1018">
        <f t="shared" ref="K20:L20" si="3">SUM(K17:K19)</f>
        <v>0</v>
      </c>
      <c r="L20" s="1018">
        <f t="shared" si="3"/>
        <v>0</v>
      </c>
      <c r="M20" s="1018">
        <f>SUM(M17:M19)</f>
        <v>0</v>
      </c>
      <c r="N20" s="1018">
        <f>SUM(N17:N19)</f>
        <v>0</v>
      </c>
      <c r="O20" s="1018">
        <f>SUM(O17:O19)</f>
        <v>0</v>
      </c>
      <c r="P20" s="1018">
        <f>SUM(P17:P19)</f>
        <v>36169.513613046387</v>
      </c>
    </row>
    <row r="22" spans="1:16">
      <c r="A22" s="453" t="s">
        <v>827</v>
      </c>
      <c r="B22" s="752" t="s">
        <v>821</v>
      </c>
      <c r="C22" s="752">
        <f ca="1">'EF ele_warmte'!B22</f>
        <v>0.23258780520504746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0.16245753508623542</v>
      </c>
      <c r="C17" s="490">
        <f ca="1">'EF ele_warmte'!B22</f>
        <v>0.23258780520504746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2</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3.1266666666666669</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0.16245753508623542</v>
      </c>
      <c r="C17" s="490">
        <f ca="1">'EF ele_warmte'!B22</f>
        <v>0.23258780520504746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0.16245753508623542</v>
      </c>
      <c r="C29" s="491">
        <f ca="1">'EF ele_warmte'!B22</f>
        <v>0.23258780520504746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8476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6327.83</v>
      </c>
      <c r="C14" s="324"/>
      <c r="D14" s="324"/>
      <c r="E14" s="324"/>
      <c r="F14" s="324"/>
    </row>
    <row r="15" spans="1:6">
      <c r="A15" s="1289" t="s">
        <v>177</v>
      </c>
      <c r="B15" s="1290">
        <v>2832</v>
      </c>
      <c r="C15" s="324"/>
      <c r="D15" s="324"/>
      <c r="E15" s="324"/>
      <c r="F15" s="324"/>
    </row>
    <row r="16" spans="1:6">
      <c r="A16" s="1289" t="s">
        <v>6</v>
      </c>
      <c r="B16" s="1290">
        <v>6775</v>
      </c>
      <c r="C16" s="324"/>
      <c r="D16" s="324"/>
      <c r="E16" s="324"/>
      <c r="F16" s="324"/>
    </row>
    <row r="17" spans="1:6">
      <c r="A17" s="1289" t="s">
        <v>7</v>
      </c>
      <c r="B17" s="1290">
        <v>796</v>
      </c>
      <c r="C17" s="324"/>
      <c r="D17" s="324"/>
      <c r="E17" s="324"/>
      <c r="F17" s="324"/>
    </row>
    <row r="18" spans="1:6">
      <c r="A18" s="1289" t="s">
        <v>8</v>
      </c>
      <c r="B18" s="1290">
        <v>3909</v>
      </c>
      <c r="C18" s="324"/>
      <c r="D18" s="324"/>
      <c r="E18" s="324"/>
      <c r="F18" s="324"/>
    </row>
    <row r="19" spans="1:6">
      <c r="A19" s="1289" t="s">
        <v>9</v>
      </c>
      <c r="B19" s="1290">
        <v>3537</v>
      </c>
      <c r="C19" s="324"/>
      <c r="D19" s="324"/>
      <c r="E19" s="324"/>
      <c r="F19" s="324"/>
    </row>
    <row r="20" spans="1:6">
      <c r="A20" s="1289" t="s">
        <v>10</v>
      </c>
      <c r="B20" s="1290">
        <v>1861</v>
      </c>
      <c r="C20" s="324"/>
      <c r="D20" s="324"/>
      <c r="E20" s="324"/>
      <c r="F20" s="324"/>
    </row>
    <row r="21" spans="1:6">
      <c r="A21" s="1289" t="s">
        <v>11</v>
      </c>
      <c r="B21" s="1290">
        <v>69578</v>
      </c>
      <c r="C21" s="324"/>
      <c r="D21" s="324"/>
      <c r="E21" s="324"/>
      <c r="F21" s="324"/>
    </row>
    <row r="22" spans="1:6">
      <c r="A22" s="1289" t="s">
        <v>12</v>
      </c>
      <c r="B22" s="1290">
        <v>160432</v>
      </c>
      <c r="C22" s="324"/>
      <c r="D22" s="324"/>
      <c r="E22" s="324"/>
      <c r="F22" s="324"/>
    </row>
    <row r="23" spans="1:6">
      <c r="A23" s="1289" t="s">
        <v>13</v>
      </c>
      <c r="B23" s="1290">
        <v>3833</v>
      </c>
      <c r="C23" s="324"/>
      <c r="D23" s="324"/>
      <c r="E23" s="324"/>
      <c r="F23" s="324"/>
    </row>
    <row r="24" spans="1:6">
      <c r="A24" s="1289" t="s">
        <v>14</v>
      </c>
      <c r="B24" s="1290">
        <v>209</v>
      </c>
      <c r="C24" s="324"/>
      <c r="D24" s="324"/>
      <c r="E24" s="324"/>
      <c r="F24" s="324"/>
    </row>
    <row r="25" spans="1:6">
      <c r="A25" s="1289" t="s">
        <v>15</v>
      </c>
      <c r="B25" s="1290">
        <v>14501</v>
      </c>
      <c r="C25" s="324"/>
      <c r="D25" s="324"/>
      <c r="E25" s="324"/>
      <c r="F25" s="324"/>
    </row>
    <row r="26" spans="1:6">
      <c r="A26" s="1289" t="s">
        <v>16</v>
      </c>
      <c r="B26" s="1290">
        <v>626</v>
      </c>
      <c r="C26" s="324"/>
      <c r="D26" s="324"/>
      <c r="E26" s="324"/>
      <c r="F26" s="324"/>
    </row>
    <row r="27" spans="1:6">
      <c r="A27" s="1289" t="s">
        <v>17</v>
      </c>
      <c r="B27" s="1290">
        <v>1910</v>
      </c>
      <c r="C27" s="324"/>
      <c r="D27" s="324"/>
      <c r="E27" s="324"/>
      <c r="F27" s="324"/>
    </row>
    <row r="28" spans="1:6">
      <c r="A28" s="1289" t="s">
        <v>18</v>
      </c>
      <c r="B28" s="1291">
        <v>1336529</v>
      </c>
      <c r="C28" s="324"/>
      <c r="D28" s="324"/>
      <c r="E28" s="324"/>
      <c r="F28" s="324"/>
    </row>
    <row r="29" spans="1:6">
      <c r="A29" s="1289" t="s">
        <v>716</v>
      </c>
      <c r="B29" s="1291">
        <v>295</v>
      </c>
      <c r="C29" s="324"/>
      <c r="D29" s="324"/>
      <c r="E29" s="324"/>
      <c r="F29" s="324"/>
    </row>
    <row r="30" spans="1:6">
      <c r="A30" s="1284" t="s">
        <v>717</v>
      </c>
      <c r="B30" s="1292">
        <v>110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4</v>
      </c>
      <c r="F35" s="1290">
        <v>383341</v>
      </c>
    </row>
    <row r="36" spans="1:6">
      <c r="A36" s="1289" t="s">
        <v>24</v>
      </c>
      <c r="B36" s="1289" t="s">
        <v>26</v>
      </c>
      <c r="C36" s="1290">
        <v>0</v>
      </c>
      <c r="D36" s="1290">
        <v>0</v>
      </c>
      <c r="E36" s="1290">
        <v>7</v>
      </c>
      <c r="F36" s="1290">
        <v>291473.95619472302</v>
      </c>
    </row>
    <row r="37" spans="1:6">
      <c r="A37" s="1289" t="s">
        <v>24</v>
      </c>
      <c r="B37" s="1289" t="s">
        <v>27</v>
      </c>
      <c r="C37" s="1290">
        <v>0</v>
      </c>
      <c r="D37" s="1290">
        <v>0</v>
      </c>
      <c r="E37" s="1290">
        <v>0</v>
      </c>
      <c r="F37" s="1290">
        <v>0</v>
      </c>
    </row>
    <row r="38" spans="1:6">
      <c r="A38" s="1289" t="s">
        <v>24</v>
      </c>
      <c r="B38" s="1289" t="s">
        <v>28</v>
      </c>
      <c r="C38" s="1290">
        <v>4</v>
      </c>
      <c r="D38" s="1290">
        <v>72507312.953545302</v>
      </c>
      <c r="E38" s="1290">
        <v>8</v>
      </c>
      <c r="F38" s="1290">
        <v>125323.89923087999</v>
      </c>
    </row>
    <row r="39" spans="1:6">
      <c r="A39" s="1289" t="s">
        <v>29</v>
      </c>
      <c r="B39" s="1289" t="s">
        <v>30</v>
      </c>
      <c r="C39" s="1290">
        <v>5871</v>
      </c>
      <c r="D39" s="1290">
        <v>106205356.96374799</v>
      </c>
      <c r="E39" s="1290">
        <v>8113</v>
      </c>
      <c r="F39" s="1290">
        <v>32607169.400616899</v>
      </c>
    </row>
    <row r="40" spans="1:6">
      <c r="A40" s="1289" t="s">
        <v>29</v>
      </c>
      <c r="B40" s="1289" t="s">
        <v>28</v>
      </c>
      <c r="C40" s="1290">
        <v>1</v>
      </c>
      <c r="D40" s="1290">
        <v>29494.283734403201</v>
      </c>
      <c r="E40" s="1290">
        <v>1</v>
      </c>
      <c r="F40" s="1290">
        <v>2578.2795316745</v>
      </c>
    </row>
    <row r="41" spans="1:6">
      <c r="A41" s="1289" t="s">
        <v>31</v>
      </c>
      <c r="B41" s="1289" t="s">
        <v>32</v>
      </c>
      <c r="C41" s="1290">
        <v>35</v>
      </c>
      <c r="D41" s="1290">
        <v>2879543.93237571</v>
      </c>
      <c r="E41" s="1290">
        <v>154</v>
      </c>
      <c r="F41" s="1290">
        <v>25813169.863388099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8</v>
      </c>
      <c r="D44" s="1290">
        <v>809807.90012659598</v>
      </c>
      <c r="E44" s="1290">
        <v>16</v>
      </c>
      <c r="F44" s="1290">
        <v>1089110.8310957099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5</v>
      </c>
      <c r="D47" s="1290">
        <v>889753.81153396401</v>
      </c>
      <c r="E47" s="1290">
        <v>9</v>
      </c>
      <c r="F47" s="1290">
        <v>2702727.8181348098</v>
      </c>
    </row>
    <row r="48" spans="1:6">
      <c r="A48" s="1289" t="s">
        <v>31</v>
      </c>
      <c r="B48" s="1289" t="s">
        <v>28</v>
      </c>
      <c r="C48" s="1290">
        <v>95</v>
      </c>
      <c r="D48" s="1290">
        <v>66457112.973695099</v>
      </c>
      <c r="E48" s="1290">
        <v>130</v>
      </c>
      <c r="F48" s="1290">
        <v>65696616.184134997</v>
      </c>
    </row>
    <row r="49" spans="1:6">
      <c r="A49" s="1289" t="s">
        <v>31</v>
      </c>
      <c r="B49" s="1289" t="s">
        <v>39</v>
      </c>
      <c r="C49" s="1290">
        <v>0</v>
      </c>
      <c r="D49" s="1290">
        <v>0</v>
      </c>
      <c r="E49" s="1290">
        <v>3</v>
      </c>
      <c r="F49" s="1290">
        <v>19139.809442475402</v>
      </c>
    </row>
    <row r="50" spans="1:6">
      <c r="A50" s="1289" t="s">
        <v>31</v>
      </c>
      <c r="B50" s="1289" t="s">
        <v>40</v>
      </c>
      <c r="C50" s="1290">
        <v>7</v>
      </c>
      <c r="D50" s="1290">
        <v>485431.26041705301</v>
      </c>
      <c r="E50" s="1290">
        <v>8</v>
      </c>
      <c r="F50" s="1290">
        <v>160600.53072140101</v>
      </c>
    </row>
    <row r="51" spans="1:6">
      <c r="A51" s="1289" t="s">
        <v>41</v>
      </c>
      <c r="B51" s="1289" t="s">
        <v>42</v>
      </c>
      <c r="C51" s="1290">
        <v>33</v>
      </c>
      <c r="D51" s="1290">
        <v>273346139.19382298</v>
      </c>
      <c r="E51" s="1290">
        <v>422</v>
      </c>
      <c r="F51" s="1290">
        <v>21832695.783679701</v>
      </c>
    </row>
    <row r="52" spans="1:6">
      <c r="A52" s="1289" t="s">
        <v>41</v>
      </c>
      <c r="B52" s="1289" t="s">
        <v>28</v>
      </c>
      <c r="C52" s="1290">
        <v>26</v>
      </c>
      <c r="D52" s="1290">
        <v>29155998.382624701</v>
      </c>
      <c r="E52" s="1290">
        <v>32</v>
      </c>
      <c r="F52" s="1290">
        <v>850811.96895895305</v>
      </c>
    </row>
    <row r="53" spans="1:6">
      <c r="A53" s="1289" t="s">
        <v>43</v>
      </c>
      <c r="B53" s="1289" t="s">
        <v>44</v>
      </c>
      <c r="C53" s="1290">
        <v>142</v>
      </c>
      <c r="D53" s="1290">
        <v>2767564.6835721401</v>
      </c>
      <c r="E53" s="1290">
        <v>329</v>
      </c>
      <c r="F53" s="1290">
        <v>1513596.22087692</v>
      </c>
    </row>
    <row r="54" spans="1:6">
      <c r="A54" s="1289" t="s">
        <v>45</v>
      </c>
      <c r="B54" s="1289" t="s">
        <v>46</v>
      </c>
      <c r="C54" s="1290">
        <v>0</v>
      </c>
      <c r="D54" s="1290">
        <v>0</v>
      </c>
      <c r="E54" s="1290">
        <v>3</v>
      </c>
      <c r="F54" s="1290">
        <v>1467342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33</v>
      </c>
      <c r="D57" s="1290">
        <v>1314105.5217749099</v>
      </c>
      <c r="E57" s="1290">
        <v>97</v>
      </c>
      <c r="F57" s="1290">
        <v>2646261.3144292799</v>
      </c>
    </row>
    <row r="58" spans="1:6">
      <c r="A58" s="1289" t="s">
        <v>48</v>
      </c>
      <c r="B58" s="1289" t="s">
        <v>50</v>
      </c>
      <c r="C58" s="1290">
        <v>24</v>
      </c>
      <c r="D58" s="1290">
        <v>563101.45457212802</v>
      </c>
      <c r="E58" s="1290">
        <v>31</v>
      </c>
      <c r="F58" s="1290">
        <v>175249.561500793</v>
      </c>
    </row>
    <row r="59" spans="1:6">
      <c r="A59" s="1289" t="s">
        <v>48</v>
      </c>
      <c r="B59" s="1289" t="s">
        <v>51</v>
      </c>
      <c r="C59" s="1290">
        <v>70</v>
      </c>
      <c r="D59" s="1290">
        <v>3792013.6204391001</v>
      </c>
      <c r="E59" s="1290">
        <v>188</v>
      </c>
      <c r="F59" s="1290">
        <v>13590521.806363501</v>
      </c>
    </row>
    <row r="60" spans="1:6">
      <c r="A60" s="1289" t="s">
        <v>48</v>
      </c>
      <c r="B60" s="1289" t="s">
        <v>52</v>
      </c>
      <c r="C60" s="1290">
        <v>82</v>
      </c>
      <c r="D60" s="1290">
        <v>4892551.0430524703</v>
      </c>
      <c r="E60" s="1290">
        <v>106</v>
      </c>
      <c r="F60" s="1290">
        <v>3371151.6668277401</v>
      </c>
    </row>
    <row r="61" spans="1:6">
      <c r="A61" s="1289" t="s">
        <v>48</v>
      </c>
      <c r="B61" s="1289" t="s">
        <v>53</v>
      </c>
      <c r="C61" s="1290">
        <v>164</v>
      </c>
      <c r="D61" s="1290">
        <v>9330092.3278719895</v>
      </c>
      <c r="E61" s="1290">
        <v>436</v>
      </c>
      <c r="F61" s="1290">
        <v>11453936.1033972</v>
      </c>
    </row>
    <row r="62" spans="1:6">
      <c r="A62" s="1289" t="s">
        <v>48</v>
      </c>
      <c r="B62" s="1289" t="s">
        <v>54</v>
      </c>
      <c r="C62" s="1290">
        <v>12</v>
      </c>
      <c r="D62" s="1290">
        <v>3239615.8649108098</v>
      </c>
      <c r="E62" s="1290">
        <v>8</v>
      </c>
      <c r="F62" s="1290">
        <v>1446532.0085917001</v>
      </c>
    </row>
    <row r="63" spans="1:6">
      <c r="A63" s="1289" t="s">
        <v>48</v>
      </c>
      <c r="B63" s="1289" t="s">
        <v>28</v>
      </c>
      <c r="C63" s="1290">
        <v>213</v>
      </c>
      <c r="D63" s="1290">
        <v>53642147.646754302</v>
      </c>
      <c r="E63" s="1290">
        <v>295</v>
      </c>
      <c r="F63" s="1290">
        <v>21125123.6188832</v>
      </c>
    </row>
    <row r="64" spans="1:6">
      <c r="A64" s="1289" t="s">
        <v>55</v>
      </c>
      <c r="B64" s="1289" t="s">
        <v>56</v>
      </c>
      <c r="C64" s="1290">
        <v>0</v>
      </c>
      <c r="D64" s="1290">
        <v>0</v>
      </c>
      <c r="E64" s="1290">
        <v>0</v>
      </c>
      <c r="F64" s="1290">
        <v>0</v>
      </c>
    </row>
    <row r="65" spans="1:6">
      <c r="A65" s="1289" t="s">
        <v>55</v>
      </c>
      <c r="B65" s="1289" t="s">
        <v>28</v>
      </c>
      <c r="C65" s="1290">
        <v>3</v>
      </c>
      <c r="D65" s="1290">
        <v>124983.432937363</v>
      </c>
      <c r="E65" s="1290">
        <v>6</v>
      </c>
      <c r="F65" s="1290">
        <v>99831.645258768796</v>
      </c>
    </row>
    <row r="66" spans="1:6">
      <c r="A66" s="1289" t="s">
        <v>55</v>
      </c>
      <c r="B66" s="1289" t="s">
        <v>57</v>
      </c>
      <c r="C66" s="1290">
        <v>0</v>
      </c>
      <c r="D66" s="1290">
        <v>0</v>
      </c>
      <c r="E66" s="1290">
        <v>15</v>
      </c>
      <c r="F66" s="1290">
        <v>703815.31272277294</v>
      </c>
    </row>
    <row r="67" spans="1:6">
      <c r="A67" s="1289" t="s">
        <v>55</v>
      </c>
      <c r="B67" s="1289" t="s">
        <v>58</v>
      </c>
      <c r="C67" s="1290">
        <v>0</v>
      </c>
      <c r="D67" s="1290">
        <v>0</v>
      </c>
      <c r="E67" s="1290">
        <v>0</v>
      </c>
      <c r="F67" s="1290">
        <v>0</v>
      </c>
    </row>
    <row r="68" spans="1:6">
      <c r="A68" s="1284" t="s">
        <v>55</v>
      </c>
      <c r="B68" s="1284" t="s">
        <v>59</v>
      </c>
      <c r="C68" s="1292">
        <v>3</v>
      </c>
      <c r="D68" s="1292">
        <v>78482.455377413396</v>
      </c>
      <c r="E68" s="1292">
        <v>21</v>
      </c>
      <c r="F68" s="1292">
        <v>530498.078375204</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83256300</v>
      </c>
      <c r="E73" s="441"/>
      <c r="F73" s="324"/>
    </row>
    <row r="74" spans="1:6">
      <c r="A74" s="1289" t="s">
        <v>63</v>
      </c>
      <c r="B74" s="1289" t="s">
        <v>642</v>
      </c>
      <c r="C74" s="1302" t="s">
        <v>644</v>
      </c>
      <c r="D74" s="1290">
        <v>9523521</v>
      </c>
      <c r="E74" s="441"/>
      <c r="F74" s="324"/>
    </row>
    <row r="75" spans="1:6">
      <c r="A75" s="1289" t="s">
        <v>64</v>
      </c>
      <c r="B75" s="1289" t="s">
        <v>641</v>
      </c>
      <c r="C75" s="1302" t="s">
        <v>645</v>
      </c>
      <c r="D75" s="1290">
        <v>40134092</v>
      </c>
      <c r="E75" s="441"/>
      <c r="F75" s="324"/>
    </row>
    <row r="76" spans="1:6">
      <c r="A76" s="1289" t="s">
        <v>64</v>
      </c>
      <c r="B76" s="1289" t="s">
        <v>642</v>
      </c>
      <c r="C76" s="1302" t="s">
        <v>646</v>
      </c>
      <c r="D76" s="1290">
        <v>538216</v>
      </c>
      <c r="E76" s="441"/>
      <c r="F76" s="324"/>
    </row>
    <row r="77" spans="1:6">
      <c r="A77" s="1289" t="s">
        <v>65</v>
      </c>
      <c r="B77" s="1289" t="s">
        <v>641</v>
      </c>
      <c r="C77" s="1302" t="s">
        <v>647</v>
      </c>
      <c r="D77" s="1290">
        <v>140052313</v>
      </c>
      <c r="E77" s="441"/>
      <c r="F77" s="324"/>
    </row>
    <row r="78" spans="1:6">
      <c r="A78" s="1284" t="s">
        <v>65</v>
      </c>
      <c r="B78" s="1284" t="s">
        <v>642</v>
      </c>
      <c r="C78" s="1284" t="s">
        <v>648</v>
      </c>
      <c r="D78" s="1292">
        <v>38174059</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488978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53740.381507944527</v>
      </c>
      <c r="C90" s="324"/>
      <c r="D90" s="324"/>
      <c r="E90" s="324"/>
      <c r="F90" s="324"/>
    </row>
    <row r="91" spans="1:6">
      <c r="A91" s="1289" t="s">
        <v>67</v>
      </c>
      <c r="B91" s="1290">
        <v>5198.2589740450867</v>
      </c>
      <c r="C91" s="324"/>
      <c r="D91" s="324"/>
      <c r="E91" s="324"/>
      <c r="F91" s="324"/>
    </row>
    <row r="92" spans="1:6">
      <c r="A92" s="1284" t="s">
        <v>68</v>
      </c>
      <c r="B92" s="1285">
        <v>4760.6339512430022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2912</v>
      </c>
      <c r="C97" s="324"/>
      <c r="D97" s="324"/>
      <c r="E97" s="324"/>
      <c r="F97" s="324"/>
    </row>
    <row r="98" spans="1:6">
      <c r="A98" s="1289" t="s">
        <v>71</v>
      </c>
      <c r="B98" s="1290">
        <v>9</v>
      </c>
      <c r="C98" s="324"/>
      <c r="D98" s="324"/>
      <c r="E98" s="324"/>
      <c r="F98" s="324"/>
    </row>
    <row r="99" spans="1:6">
      <c r="A99" s="1289" t="s">
        <v>72</v>
      </c>
      <c r="B99" s="1290">
        <v>149</v>
      </c>
      <c r="C99" s="324"/>
      <c r="D99" s="324"/>
      <c r="E99" s="324"/>
      <c r="F99" s="324"/>
    </row>
    <row r="100" spans="1:6">
      <c r="A100" s="1289" t="s">
        <v>73</v>
      </c>
      <c r="B100" s="1290">
        <v>429</v>
      </c>
      <c r="C100" s="324"/>
      <c r="D100" s="324"/>
      <c r="E100" s="324"/>
      <c r="F100" s="324"/>
    </row>
    <row r="101" spans="1:6">
      <c r="A101" s="1289" t="s">
        <v>74</v>
      </c>
      <c r="B101" s="1290">
        <v>128</v>
      </c>
      <c r="C101" s="324"/>
      <c r="D101" s="324"/>
      <c r="E101" s="324"/>
      <c r="F101" s="324"/>
    </row>
    <row r="102" spans="1:6">
      <c r="A102" s="1289" t="s">
        <v>75</v>
      </c>
      <c r="B102" s="1290">
        <v>67</v>
      </c>
      <c r="C102" s="324"/>
      <c r="D102" s="324"/>
      <c r="E102" s="324"/>
      <c r="F102" s="324"/>
    </row>
    <row r="103" spans="1:6">
      <c r="A103" s="1289" t="s">
        <v>76</v>
      </c>
      <c r="B103" s="1290">
        <v>104</v>
      </c>
      <c r="C103" s="324"/>
      <c r="D103" s="324"/>
      <c r="E103" s="324"/>
      <c r="F103" s="324"/>
    </row>
    <row r="104" spans="1:6">
      <c r="A104" s="1289" t="s">
        <v>77</v>
      </c>
      <c r="B104" s="1290">
        <v>2695</v>
      </c>
      <c r="C104" s="324"/>
      <c r="D104" s="324"/>
      <c r="E104" s="324"/>
      <c r="F104" s="324"/>
    </row>
    <row r="105" spans="1:6">
      <c r="A105" s="1284" t="s">
        <v>78</v>
      </c>
      <c r="B105" s="1292">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2</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63</v>
      </c>
      <c r="C123" s="1290">
        <v>50</v>
      </c>
      <c r="D123" s="324"/>
      <c r="E123" s="324"/>
      <c r="F123" s="324"/>
    </row>
    <row r="124" spans="1:6">
      <c r="A124" s="1289" t="s">
        <v>88</v>
      </c>
      <c r="B124" s="1290">
        <v>1</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284</v>
      </c>
      <c r="C129" s="324"/>
      <c r="D129" s="324"/>
      <c r="E129" s="324"/>
      <c r="F129" s="324"/>
    </row>
    <row r="130" spans="1:6">
      <c r="A130" s="1289" t="s">
        <v>283</v>
      </c>
      <c r="B130" s="1290">
        <v>4</v>
      </c>
      <c r="C130" s="324"/>
      <c r="D130" s="324"/>
      <c r="E130" s="324"/>
      <c r="F130" s="324"/>
    </row>
    <row r="131" spans="1:6">
      <c r="A131" s="1289" t="s">
        <v>284</v>
      </c>
      <c r="B131" s="1290">
        <v>5</v>
      </c>
      <c r="C131" s="324"/>
      <c r="D131" s="324"/>
      <c r="E131" s="324"/>
      <c r="F131" s="324"/>
    </row>
    <row r="132" spans="1:6">
      <c r="A132" s="1284" t="s">
        <v>285</v>
      </c>
      <c r="B132" s="1285">
        <v>44</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223825.1367121705</v>
      </c>
      <c r="C3" s="43" t="s">
        <v>163</v>
      </c>
      <c r="D3" s="43"/>
      <c r="E3" s="154"/>
      <c r="F3" s="43"/>
      <c r="G3" s="43"/>
      <c r="H3" s="43"/>
      <c r="I3" s="43"/>
      <c r="J3" s="43"/>
      <c r="K3" s="96"/>
    </row>
    <row r="4" spans="1:11">
      <c r="A4" s="350" t="s">
        <v>164</v>
      </c>
      <c r="B4" s="49">
        <f>IF(ISERROR('SEAP template'!B78+'SEAP template'!C78),0,'SEAP template'!B78+'SEAP template'!C78)</f>
        <v>174692.22443323262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25503.70638695361</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0.16245753508623542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36169.513613046387</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155509.07142857145</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0.23258780520504746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1467.3420000000001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1467.3420000000001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0.16245753508623542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238.38076444850688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32609.747680148575</v>
      </c>
      <c r="C5" s="17">
        <f>IF(ISERROR('Eigen informatie GS &amp; warmtenet'!B57),0,'Eigen informatie GS &amp; warmtenet'!B57)</f>
        <v>0</v>
      </c>
      <c r="D5" s="30">
        <f>(SUM(HH_hh_gas_kWh,HH_rest_gas_kWh)/1000)*0.902</f>
        <v>95823.835825229122</v>
      </c>
      <c r="E5" s="17">
        <f>B32*B41</f>
        <v>1622.6227781036139</v>
      </c>
      <c r="F5" s="17">
        <f>B36*B45</f>
        <v>41109.987759667289</v>
      </c>
      <c r="G5" s="18"/>
      <c r="H5" s="17"/>
      <c r="I5" s="17"/>
      <c r="J5" s="17">
        <f>B35*B44+C35*C44</f>
        <v>197.81664892055429</v>
      </c>
      <c r="K5" s="17"/>
      <c r="L5" s="17"/>
      <c r="M5" s="17"/>
      <c r="N5" s="17">
        <f>B34*B43+C34*C43</f>
        <v>12154.839279957636</v>
      </c>
      <c r="O5" s="17">
        <f>B52*B53*B54</f>
        <v>523.7166666666667</v>
      </c>
      <c r="P5" s="17">
        <f>B60*B61*B62/1000-B60*B61*B62/1000/B63</f>
        <v>2059.1999999999998</v>
      </c>
    </row>
    <row r="6" spans="1:16">
      <c r="A6" s="16" t="s">
        <v>607</v>
      </c>
      <c r="B6" s="754">
        <f>kWh_PV_kleiner_dan_10kW</f>
        <v>5198.2589740450867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37808.006654193661</v>
      </c>
      <c r="C8" s="21">
        <f>C5</f>
        <v>0</v>
      </c>
      <c r="D8" s="21">
        <f>D5</f>
        <v>95823.835825229122</v>
      </c>
      <c r="E8" s="21">
        <f>E5</f>
        <v>1622.6227781036139</v>
      </c>
      <c r="F8" s="21">
        <f>F5</f>
        <v>41109.987759667289</v>
      </c>
      <c r="G8" s="21"/>
      <c r="H8" s="21"/>
      <c r="I8" s="21"/>
      <c r="J8" s="21">
        <f>J5</f>
        <v>197.81664892055429</v>
      </c>
      <c r="K8" s="21"/>
      <c r="L8" s="21">
        <f>L5</f>
        <v>0</v>
      </c>
      <c r="M8" s="21">
        <f>M5</f>
        <v>0</v>
      </c>
      <c r="N8" s="21">
        <f>N5</f>
        <v>12154.839279957636</v>
      </c>
      <c r="O8" s="21">
        <f>O5</f>
        <v>523.7166666666667</v>
      </c>
      <c r="P8" s="21">
        <f>P5</f>
        <v>2059.1999999999998</v>
      </c>
    </row>
    <row r="9" spans="1:16">
      <c r="B9" s="19"/>
      <c r="C9" s="19"/>
      <c r="D9" s="254"/>
      <c r="E9" s="19"/>
      <c r="F9" s="19"/>
      <c r="G9" s="19"/>
      <c r="H9" s="19"/>
      <c r="I9" s="19"/>
      <c r="J9" s="19"/>
      <c r="K9" s="19"/>
      <c r="L9" s="19"/>
      <c r="M9" s="19"/>
      <c r="N9" s="19"/>
      <c r="O9" s="19"/>
      <c r="P9" s="19"/>
    </row>
    <row r="10" spans="1:16">
      <c r="A10" s="24" t="s">
        <v>207</v>
      </c>
      <c r="B10" s="25">
        <f ca="1">'EF ele_warmte'!B12</f>
        <v>0.16245753508623542</v>
      </c>
      <c r="C10" s="25">
        <f ca="1">'EF ele_warmte'!B22</f>
        <v>0.23258780520504746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6142.1955675642894</v>
      </c>
      <c r="C12" s="23">
        <f ca="1">C10*C8</f>
        <v>0</v>
      </c>
      <c r="D12" s="23">
        <f>D8*D10</f>
        <v>19356.414836696284</v>
      </c>
      <c r="E12" s="23">
        <f>E10*E8</f>
        <v>368.33537062952036</v>
      </c>
      <c r="F12" s="23">
        <f>F10*F8</f>
        <v>10976.366731831167</v>
      </c>
      <c r="G12" s="23"/>
      <c r="H12" s="23"/>
      <c r="I12" s="23"/>
      <c r="J12" s="23">
        <f>J10*J8</f>
        <v>70.027093717876213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8476</v>
      </c>
      <c r="C26" s="36"/>
      <c r="D26" s="225"/>
    </row>
    <row r="27" spans="1:5" s="15" customFormat="1">
      <c r="A27" s="227" t="s">
        <v>762</v>
      </c>
      <c r="B27" s="37">
        <f>SUM(HH_hh_gas_aantal,HH_rest_gas_aantal)</f>
        <v>5872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5578.4</v>
      </c>
      <c r="C31" s="34" t="s">
        <v>104</v>
      </c>
      <c r="D31" s="171"/>
    </row>
    <row r="32" spans="1:5">
      <c r="A32" s="168" t="s">
        <v>72</v>
      </c>
      <c r="B32" s="33">
        <f>IF((B21*($B$26-($B$27-0.05*$B$27)-$B$60))&lt;0,0,B21*($B$26-($B$27-0.05*$B$27)-$B$60))</f>
        <v>30.686978897573702</v>
      </c>
      <c r="C32" s="34" t="s">
        <v>104</v>
      </c>
      <c r="D32" s="171"/>
    </row>
    <row r="33" spans="1:6">
      <c r="A33" s="168" t="s">
        <v>73</v>
      </c>
      <c r="B33" s="33">
        <f>IF((B22*($B$26-($B$27-0.05*$B$27)-$B$60))&lt;0,0,B22*($B$26-($B$27-0.05*$B$27)-$B$60))</f>
        <v>638.00806126283612</v>
      </c>
      <c r="C33" s="34" t="s">
        <v>104</v>
      </c>
      <c r="D33" s="171"/>
    </row>
    <row r="34" spans="1:6">
      <c r="A34" s="168" t="s">
        <v>74</v>
      </c>
      <c r="B34" s="33">
        <f>IF((B24*($B$26-($B$27-0.05*$B$27)-$B$60))&lt;0,0,B24*($B$26-($B$27-0.05*$B$27)-$B$60))</f>
        <v>126.87712261539923</v>
      </c>
      <c r="C34" s="33">
        <f>B26*C24</f>
        <v>1734.9994998662096</v>
      </c>
      <c r="D34" s="230"/>
    </row>
    <row r="35" spans="1:6">
      <c r="A35" s="168" t="s">
        <v>76</v>
      </c>
      <c r="B35" s="33">
        <f>IF((B19*($B$26-($B$27-0.05*$B$27)-$B$60))&lt;0,0,B19*($B$26-($B$27-0.05*$B$27)-$B$60))</f>
        <v>23.226734027738786</v>
      </c>
      <c r="C35" s="33">
        <f>B35/2</f>
        <v>11.613367013869393</v>
      </c>
      <c r="D35" s="230"/>
    </row>
    <row r="36" spans="1:6">
      <c r="A36" s="168" t="s">
        <v>77</v>
      </c>
      <c r="B36" s="33">
        <f>IF((B18*($B$26-($B$27-0.05*$B$27)-$B$60))&lt;0,0,B18*($B$26-($B$27-0.05*$B$27)-$B$60))</f>
        <v>1970.8011031964527</v>
      </c>
      <c r="C36" s="34" t="s">
        <v>104</v>
      </c>
      <c r="D36" s="171"/>
    </row>
    <row r="37" spans="1:6">
      <c r="A37" s="168" t="s">
        <v>78</v>
      </c>
      <c r="B37" s="33">
        <f>B60</f>
        <v>108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335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108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53808.776079993419</v>
      </c>
      <c r="C5" s="17">
        <f>IF(ISERROR('Eigen informatie GS &amp; warmtenet'!B58),0,'Eigen informatie GS &amp; warmtenet'!B58)</f>
        <v>0</v>
      </c>
      <c r="D5" s="30">
        <f>SUM(D6:D12)</f>
        <v>69249.81198639689</v>
      </c>
      <c r="E5" s="17">
        <f>SUM(E6:E12)</f>
        <v>828.59514175942218</v>
      </c>
      <c r="F5" s="17">
        <f>SUM(F6:F12)</f>
        <v>9390.702224478764</v>
      </c>
      <c r="G5" s="18"/>
      <c r="H5" s="17"/>
      <c r="I5" s="17"/>
      <c r="J5" s="17">
        <f>SUM(J6:J12)</f>
        <v>0.1085949800460185</v>
      </c>
      <c r="K5" s="17"/>
      <c r="L5" s="17"/>
      <c r="M5" s="17"/>
      <c r="N5" s="17">
        <f>SUM(N6:N12)</f>
        <v>4330.2304550169265</v>
      </c>
      <c r="O5" s="17">
        <f>B38*B39*B40</f>
        <v>6.2533333333333339</v>
      </c>
      <c r="P5" s="17">
        <f>B46*B47*B48/1000-B46*B47*B48/1000/B49</f>
        <v>95.333333333333343</v>
      </c>
      <c r="R5" s="32"/>
    </row>
    <row r="6" spans="1:18">
      <c r="A6" s="32" t="s">
        <v>53</v>
      </c>
      <c r="B6" s="37">
        <f>B26</f>
        <v>11453.9361033972</v>
      </c>
      <c r="C6" s="33"/>
      <c r="D6" s="37">
        <f>IF(ISERROR(TER_kantoor_gas_kWh/1000),0,TER_kantoor_gas_kWh/1000)*0.902</f>
        <v>8415.7432797405345</v>
      </c>
      <c r="E6" s="33">
        <f>$C$26*'E Balans VL '!I12/100/3.6*1000000</f>
        <v>7.1789461976627153E-2</v>
      </c>
      <c r="F6" s="33">
        <f>$C$26*('E Balans VL '!L12+'E Balans VL '!N12)/100/3.6*1000000</f>
        <v>1721.2065428411636</v>
      </c>
      <c r="G6" s="34"/>
      <c r="H6" s="33"/>
      <c r="I6" s="33"/>
      <c r="J6" s="33">
        <f>$C$26*('E Balans VL '!D12+'E Balans VL '!E12)/100/3.6*1000000</f>
        <v>0</v>
      </c>
      <c r="K6" s="33"/>
      <c r="L6" s="33"/>
      <c r="M6" s="33"/>
      <c r="N6" s="33">
        <f>$C$26*'E Balans VL '!Y12/100/3.6*1000000</f>
        <v>10.953991650500994</v>
      </c>
      <c r="O6" s="33"/>
      <c r="P6" s="33"/>
      <c r="R6" s="32"/>
    </row>
    <row r="7" spans="1:18">
      <c r="A7" s="32" t="s">
        <v>52</v>
      </c>
      <c r="B7" s="37">
        <f t="shared" ref="B7:B12" si="0">B27</f>
        <v>3371.15166682774</v>
      </c>
      <c r="C7" s="33"/>
      <c r="D7" s="37">
        <f>IF(ISERROR(TER_horeca_gas_kWh/1000),0,TER_horeca_gas_kWh/1000)*0.902</f>
        <v>4413.0810408333282</v>
      </c>
      <c r="E7" s="33">
        <f>$C$27*'E Balans VL '!I9/100/3.6*1000000</f>
        <v>48.274330342299912</v>
      </c>
      <c r="F7" s="33">
        <f>$C$27*('E Balans VL '!L9+'E Balans VL '!N9)/100/3.6*1000000</f>
        <v>426.8989858858568</v>
      </c>
      <c r="G7" s="34"/>
      <c r="H7" s="33"/>
      <c r="I7" s="33"/>
      <c r="J7" s="33">
        <f>$C$27*('E Balans VL '!D9+'E Balans VL '!E9)/100/3.6*1000000</f>
        <v>0</v>
      </c>
      <c r="K7" s="33"/>
      <c r="L7" s="33"/>
      <c r="M7" s="33"/>
      <c r="N7" s="33">
        <f>$C$27*'E Balans VL '!Y9/100/3.6*1000000</f>
        <v>0.96913177669897055</v>
      </c>
      <c r="O7" s="33"/>
      <c r="P7" s="33"/>
      <c r="R7" s="32"/>
    </row>
    <row r="8" spans="1:18">
      <c r="A8" s="6" t="s">
        <v>51</v>
      </c>
      <c r="B8" s="37">
        <f t="shared" si="0"/>
        <v>13590.5218063635</v>
      </c>
      <c r="C8" s="33"/>
      <c r="D8" s="37">
        <f>IF(ISERROR(TER_handel_gas_kWh/1000),0,TER_handel_gas_kWh/1000)*0.902</f>
        <v>3420.3962856360686</v>
      </c>
      <c r="E8" s="33">
        <f>$C$28*'E Balans VL '!I13/100/3.6*1000000</f>
        <v>492.92655000873827</v>
      </c>
      <c r="F8" s="33">
        <f>$C$28*('E Balans VL '!L13+'E Balans VL '!N13)/100/3.6*1000000</f>
        <v>2617.672112688047</v>
      </c>
      <c r="G8" s="34"/>
      <c r="H8" s="33"/>
      <c r="I8" s="33"/>
      <c r="J8" s="33">
        <f>$C$28*('E Balans VL '!D13+'E Balans VL '!E13)/100/3.6*1000000</f>
        <v>0</v>
      </c>
      <c r="K8" s="33"/>
      <c r="L8" s="33"/>
      <c r="M8" s="33"/>
      <c r="N8" s="33">
        <f>$C$28*'E Balans VL '!Y13/100/3.6*1000000</f>
        <v>18.825999741419302</v>
      </c>
      <c r="O8" s="33"/>
      <c r="P8" s="33"/>
      <c r="R8" s="32"/>
    </row>
    <row r="9" spans="1:18">
      <c r="A9" s="32" t="s">
        <v>50</v>
      </c>
      <c r="B9" s="37">
        <f t="shared" si="0"/>
        <v>175.24956150079299</v>
      </c>
      <c r="C9" s="33"/>
      <c r="D9" s="37">
        <f>IF(ISERROR(TER_gezond_gas_kWh/1000),0,TER_gezond_gas_kWh/1000)*0.902</f>
        <v>507.91751202405948</v>
      </c>
      <c r="E9" s="33">
        <f>$C$29*'E Balans VL '!I10/100/3.6*1000000</f>
        <v>1.0972352826776877E-2</v>
      </c>
      <c r="F9" s="33">
        <f>$C$29*('E Balans VL '!L10+'E Balans VL '!N10)/100/3.6*1000000</f>
        <v>26.033855945041704</v>
      </c>
      <c r="G9" s="34"/>
      <c r="H9" s="33"/>
      <c r="I9" s="33"/>
      <c r="J9" s="33">
        <f>$C$29*('E Balans VL '!D10+'E Balans VL '!E10)/100/3.6*1000000</f>
        <v>0</v>
      </c>
      <c r="K9" s="33"/>
      <c r="L9" s="33"/>
      <c r="M9" s="33"/>
      <c r="N9" s="33">
        <f>$C$29*'E Balans VL '!Y10/100/3.6*1000000</f>
        <v>2.7107771274314691</v>
      </c>
      <c r="O9" s="33"/>
      <c r="P9" s="33"/>
      <c r="R9" s="32"/>
    </row>
    <row r="10" spans="1:18">
      <c r="A10" s="32" t="s">
        <v>49</v>
      </c>
      <c r="B10" s="37">
        <f t="shared" si="0"/>
        <v>2646.26131442928</v>
      </c>
      <c r="C10" s="33"/>
      <c r="D10" s="37">
        <f>IF(ISERROR(TER_ander_gas_kWh/1000),0,TER_ander_gas_kWh/1000)*0.902</f>
        <v>1185.3231806409688</v>
      </c>
      <c r="E10" s="33">
        <f>$C$30*'E Balans VL '!I14/100/3.6*1000000</f>
        <v>3.1542489253983934</v>
      </c>
      <c r="F10" s="33">
        <f>$C$30*('E Balans VL '!L14+'E Balans VL '!N14)/100/3.6*1000000</f>
        <v>692.37960339264612</v>
      </c>
      <c r="G10" s="34"/>
      <c r="H10" s="33"/>
      <c r="I10" s="33"/>
      <c r="J10" s="33">
        <f>$C$30*('E Balans VL '!D14+'E Balans VL '!E14)/100/3.6*1000000</f>
        <v>5.7439960078327565E-2</v>
      </c>
      <c r="K10" s="33"/>
      <c r="L10" s="33"/>
      <c r="M10" s="33"/>
      <c r="N10" s="33">
        <f>$C$30*'E Balans VL '!Y14/100/3.6*1000000</f>
        <v>2247.1403551104459</v>
      </c>
      <c r="O10" s="33"/>
      <c r="P10" s="33"/>
      <c r="R10" s="32"/>
    </row>
    <row r="11" spans="1:18">
      <c r="A11" s="32" t="s">
        <v>54</v>
      </c>
      <c r="B11" s="37">
        <f t="shared" si="0"/>
        <v>1446.5320085917001</v>
      </c>
      <c r="C11" s="33"/>
      <c r="D11" s="37">
        <f>IF(ISERROR(TER_onderwijs_gas_kWh/1000),0,TER_onderwijs_gas_kWh/1000)*0.902</f>
        <v>2922.1335101495506</v>
      </c>
      <c r="E11" s="33">
        <f>$C$31*'E Balans VL '!I11/100/3.6*1000000</f>
        <v>21.825838148303113</v>
      </c>
      <c r="F11" s="33">
        <f>$C$31*('E Balans VL '!L11+'E Balans VL '!N11)/100/3.6*1000000</f>
        <v>253.45551694158917</v>
      </c>
      <c r="G11" s="34"/>
      <c r="H11" s="33"/>
      <c r="I11" s="33"/>
      <c r="J11" s="33">
        <f>$C$31*('E Balans VL '!D11+'E Balans VL '!E11)/100/3.6*1000000</f>
        <v>0</v>
      </c>
      <c r="K11" s="33"/>
      <c r="L11" s="33"/>
      <c r="M11" s="33"/>
      <c r="N11" s="33">
        <f>$C$31*'E Balans VL '!Y11/100/3.6*1000000</f>
        <v>4.0706510417281825</v>
      </c>
      <c r="O11" s="33"/>
      <c r="P11" s="33"/>
      <c r="R11" s="32"/>
    </row>
    <row r="12" spans="1:18">
      <c r="A12" s="32" t="s">
        <v>248</v>
      </c>
      <c r="B12" s="37">
        <f t="shared" si="0"/>
        <v>21125.123618883201</v>
      </c>
      <c r="C12" s="33"/>
      <c r="D12" s="37">
        <f>IF(ISERROR(TER_rest_gas_kWh/1000),0,TER_rest_gas_kWh/1000)*0.902</f>
        <v>48385.217177372382</v>
      </c>
      <c r="E12" s="33">
        <f>$C$32*'E Balans VL '!I8/100/3.6*1000000</f>
        <v>262.33141251987905</v>
      </c>
      <c r="F12" s="33">
        <f>$C$32*('E Balans VL '!L8+'E Balans VL '!N8)/100/3.6*1000000</f>
        <v>3653.0556067844191</v>
      </c>
      <c r="G12" s="34"/>
      <c r="H12" s="33"/>
      <c r="I12" s="33"/>
      <c r="J12" s="33">
        <f>$C$32*('E Balans VL '!D8+'E Balans VL '!E8)/100/3.6*1000000</f>
        <v>5.1155019967690937E-2</v>
      </c>
      <c r="K12" s="33"/>
      <c r="L12" s="33"/>
      <c r="M12" s="33"/>
      <c r="N12" s="33">
        <f>$C$32*'E Balans VL '!Y8/100/3.6*1000000</f>
        <v>2045.559548568702</v>
      </c>
      <c r="O12" s="33"/>
      <c r="P12" s="33"/>
      <c r="R12" s="32"/>
    </row>
    <row r="13" spans="1:18">
      <c r="A13" s="16" t="s">
        <v>474</v>
      </c>
      <c r="B13" s="243">
        <f ca="1">'lokale energieproductie'!N53+'lokale energieproductie'!N46</f>
        <v>10341</v>
      </c>
      <c r="C13" s="243">
        <f ca="1">'lokale energieproductie'!O53+'lokale energieproductie'!O46</f>
        <v>12857.142857142857</v>
      </c>
      <c r="D13" s="302">
        <f ca="1">('lokale energieproductie'!P46+'lokale energieproductie'!P53)*(-1)</f>
        <v>-25714.285714285717</v>
      </c>
      <c r="E13" s="244"/>
      <c r="F13" s="302">
        <f ca="1">('lokale energieproductie'!S46+'lokale energieproductie'!S53)*(-1)</f>
        <v>0</v>
      </c>
      <c r="G13" s="245"/>
      <c r="H13" s="244"/>
      <c r="I13" s="244"/>
      <c r="J13" s="244"/>
      <c r="K13" s="244"/>
      <c r="L13" s="302">
        <f ca="1">('lokale energieproductie'!U46+'lokale energieproductie'!T46+'lokale energieproductie'!U53+'lokale energieproductie'!T53)*(-1)</f>
        <v>0</v>
      </c>
      <c r="M13" s="244"/>
      <c r="N13" s="302">
        <f ca="1">('lokale energieproductie'!Q46+'lokale energieproductie'!R46+'lokale energieproductie'!V46+'lokale energieproductie'!Q53+'lokale energieproductie'!R53+'lokale energieproductie'!V53)*(-1)</f>
        <v>-3831.4285714285716</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64149.776079993419</v>
      </c>
      <c r="C16" s="21">
        <f t="shared" ca="1" si="1"/>
        <v>12857.142857142857</v>
      </c>
      <c r="D16" s="21">
        <f t="shared" ca="1" si="1"/>
        <v>43535.526272111172</v>
      </c>
      <c r="E16" s="21">
        <f t="shared" si="1"/>
        <v>828.59514175942218</v>
      </c>
      <c r="F16" s="21">
        <f t="shared" ca="1" si="1"/>
        <v>9390.702224478764</v>
      </c>
      <c r="G16" s="21">
        <f t="shared" si="1"/>
        <v>0</v>
      </c>
      <c r="H16" s="21">
        <f t="shared" si="1"/>
        <v>0</v>
      </c>
      <c r="I16" s="21">
        <f t="shared" si="1"/>
        <v>0</v>
      </c>
      <c r="J16" s="21">
        <f t="shared" si="1"/>
        <v>0.1085949800460185</v>
      </c>
      <c r="K16" s="21">
        <f t="shared" si="1"/>
        <v>0</v>
      </c>
      <c r="L16" s="21">
        <f t="shared" ca="1" si="1"/>
        <v>0</v>
      </c>
      <c r="M16" s="21">
        <f t="shared" si="1"/>
        <v>0</v>
      </c>
      <c r="N16" s="21">
        <f t="shared" ca="1" si="1"/>
        <v>498.80188358835494</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0.16245753508623542</v>
      </c>
      <c r="C18" s="25">
        <f ca="1">'EF ele_warmte'!B22</f>
        <v>0.23258780520504746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10421.614498289677</v>
      </c>
      <c r="C20" s="23">
        <f t="shared" ref="C20:P20" ca="1" si="2">C16*C18</f>
        <v>2990.4146383506099</v>
      </c>
      <c r="D20" s="23">
        <f t="shared" ca="1" si="2"/>
        <v>8794.1763069664576</v>
      </c>
      <c r="E20" s="23">
        <f t="shared" si="2"/>
        <v>188.09109717938884</v>
      </c>
      <c r="F20" s="23">
        <f t="shared" ca="1" si="2"/>
        <v>2507.31749393583</v>
      </c>
      <c r="G20" s="23">
        <f t="shared" si="2"/>
        <v>0</v>
      </c>
      <c r="H20" s="23">
        <f t="shared" si="2"/>
        <v>0</v>
      </c>
      <c r="I20" s="23">
        <f t="shared" si="2"/>
        <v>0</v>
      </c>
      <c r="J20" s="23">
        <f t="shared" si="2"/>
        <v>3.8442622936290548E-2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11453.9361033972</v>
      </c>
      <c r="C26" s="39">
        <f>IF(ISERROR(B26*3.6/1000000/'E Balans VL '!Z12*100),0,B26*3.6/1000000/'E Balans VL '!Z12*100)</f>
        <v>0.24211806472540573</v>
      </c>
      <c r="D26" s="233" t="s">
        <v>726</v>
      </c>
      <c r="F26" s="6"/>
    </row>
    <row r="27" spans="1:18">
      <c r="A27" s="228" t="s">
        <v>52</v>
      </c>
      <c r="B27" s="33">
        <f>IF(ISERROR(TER_horeca_ele_kWh/1000),0,TER_horeca_ele_kWh/1000)</f>
        <v>3371.15166682774</v>
      </c>
      <c r="C27" s="39">
        <f>IF(ISERROR(B27*3.6/1000000/'E Balans VL '!Z9*100),0,B27*3.6/1000000/'E Balans VL '!Z9*100)</f>
        <v>0.26574662940365823</v>
      </c>
      <c r="D27" s="233" t="s">
        <v>726</v>
      </c>
      <c r="F27" s="6"/>
    </row>
    <row r="28" spans="1:18">
      <c r="A28" s="168" t="s">
        <v>51</v>
      </c>
      <c r="B28" s="33">
        <f>IF(ISERROR(TER_handel_ele_kWh/1000),0,TER_handel_ele_kWh/1000)</f>
        <v>13590.5218063635</v>
      </c>
      <c r="C28" s="39">
        <f>IF(ISERROR(B28*3.6/1000000/'E Balans VL '!Z13*100),0,B28*3.6/1000000/'E Balans VL '!Z13*100)</f>
        <v>0.39445185468197574</v>
      </c>
      <c r="D28" s="233" t="s">
        <v>726</v>
      </c>
      <c r="F28" s="6"/>
    </row>
    <row r="29" spans="1:18">
      <c r="A29" s="228" t="s">
        <v>50</v>
      </c>
      <c r="B29" s="33">
        <f>IF(ISERROR(TER_gezond_ele_kWh/1000),0,TER_gezond_ele_kWh/1000)</f>
        <v>175.24956150079299</v>
      </c>
      <c r="C29" s="39">
        <f>IF(ISERROR(B29*3.6/1000000/'E Balans VL '!Z10*100),0,B29*3.6/1000000/'E Balans VL '!Z10*100)</f>
        <v>1.8456656499792806E-2</v>
      </c>
      <c r="D29" s="233" t="s">
        <v>726</v>
      </c>
      <c r="F29" s="6"/>
    </row>
    <row r="30" spans="1:18">
      <c r="A30" s="228" t="s">
        <v>49</v>
      </c>
      <c r="B30" s="33">
        <f>IF(ISERROR(TER_ander_ele_kWh/1000),0,TER_ander_ele_kWh/1000)</f>
        <v>2646.26131442928</v>
      </c>
      <c r="C30" s="39">
        <f>IF(ISERROR(B30*3.6/1000000/'E Balans VL '!Z14*100),0,B30*3.6/1000000/'E Balans VL '!Z14*100)</f>
        <v>0.19518880931740212</v>
      </c>
      <c r="D30" s="233" t="s">
        <v>726</v>
      </c>
      <c r="F30" s="6"/>
    </row>
    <row r="31" spans="1:18">
      <c r="A31" s="228" t="s">
        <v>54</v>
      </c>
      <c r="B31" s="33">
        <f>IF(ISERROR(TER_onderwijs_ele_kWh/1000),0,TER_onderwijs_ele_kWh/1000)</f>
        <v>1446.5320085917001</v>
      </c>
      <c r="C31" s="39">
        <f>IF(ISERROR(B31*3.6/1000000/'E Balans VL '!Z11*100),0,B31*3.6/1000000/'E Balans VL '!Z11*100)</f>
        <v>0.35924165728310098</v>
      </c>
      <c r="D31" s="233" t="s">
        <v>726</v>
      </c>
    </row>
    <row r="32" spans="1:18">
      <c r="A32" s="228" t="s">
        <v>248</v>
      </c>
      <c r="B32" s="33">
        <f>IF(ISERROR(TER_rest_ele_kWh/1000),0,TER_rest_ele_kWh/1000)</f>
        <v>21125.123618883201</v>
      </c>
      <c r="C32" s="39">
        <f>IF(ISERROR(B32*3.6/1000000/'E Balans VL '!Z8*100),0,B32*3.6/1000000/'E Balans VL '!Z8*100)</f>
        <v>0.17383172663222102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4</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5</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95481.365036917487</v>
      </c>
      <c r="C5" s="17">
        <f>IF(ISERROR('Eigen informatie GS &amp; warmtenet'!B59),0,'Eigen informatie GS &amp; warmtenet'!B59)</f>
        <v>0</v>
      </c>
      <c r="D5" s="30">
        <f>SUM(D6:D15)</f>
        <v>64512.528190089877</v>
      </c>
      <c r="E5" s="17">
        <f>SUM(E6:E15)</f>
        <v>11187.437046044532</v>
      </c>
      <c r="F5" s="17">
        <f>SUM(F6:F15)</f>
        <v>33935.620072183941</v>
      </c>
      <c r="G5" s="18"/>
      <c r="H5" s="17"/>
      <c r="I5" s="17"/>
      <c r="J5" s="17">
        <f>SUM(J6:J15)</f>
        <v>235.61063890863412</v>
      </c>
      <c r="K5" s="17"/>
      <c r="L5" s="17"/>
      <c r="M5" s="17"/>
      <c r="N5" s="17">
        <f>SUM(N6:N15)</f>
        <v>7768.2693152333377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1089.11083109571</v>
      </c>
      <c r="C8" s="33"/>
      <c r="D8" s="37">
        <f>IF( ISERROR(IND_metaal_Gas_kWH/1000),0,IND_metaal_Gas_kWH/1000)*0.902</f>
        <v>730.44672591418964</v>
      </c>
      <c r="E8" s="33">
        <f>C30*'E Balans VL '!I18/100/3.6*1000000</f>
        <v>10.013322218681035</v>
      </c>
      <c r="F8" s="33">
        <f>C30*'E Balans VL '!L18/100/3.6*1000000+C30*'E Balans VL '!N18/100/3.6*1000000</f>
        <v>102.12233578678976</v>
      </c>
      <c r="G8" s="34"/>
      <c r="H8" s="33"/>
      <c r="I8" s="33"/>
      <c r="J8" s="40">
        <f>C30*'E Balans VL '!D18/100/3.6*1000000+C30*'E Balans VL '!E18/100/3.6*1000000</f>
        <v>0</v>
      </c>
      <c r="K8" s="33"/>
      <c r="L8" s="33"/>
      <c r="M8" s="33"/>
      <c r="N8" s="33">
        <f>C30*'E Balans VL '!Y18/100/3.6*1000000</f>
        <v>15.537965837021476</v>
      </c>
      <c r="O8" s="33"/>
      <c r="P8" s="33"/>
      <c r="R8" s="32"/>
    </row>
    <row r="9" spans="1:18">
      <c r="A9" s="6" t="s">
        <v>32</v>
      </c>
      <c r="B9" s="37">
        <f t="shared" si="0"/>
        <v>25813.169863388099</v>
      </c>
      <c r="C9" s="33"/>
      <c r="D9" s="37">
        <f>IF( ISERROR(IND_andere_gas_kWh/1000),0,IND_andere_gas_kWh/1000)*0.902</f>
        <v>2597.3486270028907</v>
      </c>
      <c r="E9" s="33">
        <f>C31*'E Balans VL '!I19/100/3.6*1000000</f>
        <v>7545.6920742133188</v>
      </c>
      <c r="F9" s="33">
        <f>C31*'E Balans VL '!L19/100/3.6*1000000+C31*'E Balans VL '!N19/100/3.6*1000000</f>
        <v>20742.835862657164</v>
      </c>
      <c r="G9" s="34"/>
      <c r="H9" s="33"/>
      <c r="I9" s="33"/>
      <c r="J9" s="40">
        <f>C31*'E Balans VL '!D19/100/3.6*1000000+C31*'E Balans VL '!E19/100/3.6*1000000</f>
        <v>0</v>
      </c>
      <c r="K9" s="33"/>
      <c r="L9" s="33"/>
      <c r="M9" s="33"/>
      <c r="N9" s="33">
        <f>C31*'E Balans VL '!Y19/100/3.6*1000000</f>
        <v>2024.7499854404143</v>
      </c>
      <c r="O9" s="33"/>
      <c r="P9" s="33"/>
      <c r="R9" s="32"/>
    </row>
    <row r="10" spans="1:18">
      <c r="A10" s="6" t="s">
        <v>40</v>
      </c>
      <c r="B10" s="37">
        <f t="shared" si="0"/>
        <v>160.60053072140101</v>
      </c>
      <c r="C10" s="33"/>
      <c r="D10" s="37">
        <f>IF( ISERROR(IND_voed_gas_kWh/1000),0,IND_voed_gas_kWh/1000)*0.902</f>
        <v>437.85899689618185</v>
      </c>
      <c r="E10" s="33">
        <f>C32*'E Balans VL '!I20/100/3.6*1000000</f>
        <v>0.3397529128818455</v>
      </c>
      <c r="F10" s="33">
        <f>C32*'E Balans VL '!L20/100/3.6*1000000+C32*'E Balans VL '!N20/100/3.6*1000000</f>
        <v>10.211145791898156</v>
      </c>
      <c r="G10" s="34"/>
      <c r="H10" s="33"/>
      <c r="I10" s="33"/>
      <c r="J10" s="40">
        <f>C32*'E Balans VL '!D20/100/3.6*1000000+C32*'E Balans VL '!E20/100/3.6*1000000</f>
        <v>0</v>
      </c>
      <c r="K10" s="33"/>
      <c r="L10" s="33"/>
      <c r="M10" s="33"/>
      <c r="N10" s="33">
        <f>C32*'E Balans VL '!Y20/100/3.6*1000000</f>
        <v>11.083021464538849</v>
      </c>
      <c r="O10" s="33"/>
      <c r="P10" s="33"/>
      <c r="R10" s="32"/>
    </row>
    <row r="11" spans="1:18">
      <c r="A11" s="6" t="s">
        <v>39</v>
      </c>
      <c r="B11" s="37">
        <f t="shared" si="0"/>
        <v>19.139809442475404</v>
      </c>
      <c r="C11" s="33"/>
      <c r="D11" s="37">
        <f>IF( ISERROR(IND_textiel_gas_kWh/1000),0,IND_textiel_gas_kWh/1000)*0.902</f>
        <v>0</v>
      </c>
      <c r="E11" s="33">
        <f>C33*'E Balans VL '!I21/100/3.6*1000000</f>
        <v>5.6843583875345306E-2</v>
      </c>
      <c r="F11" s="33">
        <f>C33*'E Balans VL '!L21/100/3.6*1000000+C33*'E Balans VL '!N21/100/3.6*1000000</f>
        <v>1.9336462202503986</v>
      </c>
      <c r="G11" s="34"/>
      <c r="H11" s="33"/>
      <c r="I11" s="33"/>
      <c r="J11" s="40">
        <f>C33*'E Balans VL '!D21/100/3.6*1000000+C33*'E Balans VL '!E21/100/3.6*1000000</f>
        <v>0</v>
      </c>
      <c r="K11" s="33"/>
      <c r="L11" s="33"/>
      <c r="M11" s="33"/>
      <c r="N11" s="33">
        <f>C33*'E Balans VL '!Y21/100/3.6*1000000</f>
        <v>1.0556215726647513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2702.7278181348097</v>
      </c>
      <c r="C13" s="33"/>
      <c r="D13" s="37">
        <f>IF( ISERROR(IND_papier_gas_kWh/1000),0,IND_papier_gas_kWh/1000)*0.902</f>
        <v>802.55793800363563</v>
      </c>
      <c r="E13" s="33">
        <f>C35*'E Balans VL '!I23/100/3.6*1000000</f>
        <v>3.8345526648796553</v>
      </c>
      <c r="F13" s="33">
        <f>C35*'E Balans VL '!L23/100/3.6*1000000+C35*'E Balans VL '!N23/100/3.6*1000000</f>
        <v>65.983748952514645</v>
      </c>
      <c r="G13" s="34"/>
      <c r="H13" s="33"/>
      <c r="I13" s="33"/>
      <c r="J13" s="40">
        <f>C35*'E Balans VL '!D23/100/3.6*1000000+C35*'E Balans VL '!E23/100/3.6*1000000</f>
        <v>0.41800223182957791</v>
      </c>
      <c r="K13" s="33"/>
      <c r="L13" s="33"/>
      <c r="M13" s="33"/>
      <c r="N13" s="33">
        <f>C35*'E Balans VL '!Y23/100/3.6*1000000</f>
        <v>1104.2953995646319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65696.616184134997</v>
      </c>
      <c r="C15" s="33"/>
      <c r="D15" s="37">
        <f>IF( ISERROR(IND_rest_gas_kWh/1000),0,IND_rest_gas_kWh/1000)*0.902</f>
        <v>59944.315902272981</v>
      </c>
      <c r="E15" s="33">
        <f>C37*'E Balans VL '!I15/100/3.6*1000000</f>
        <v>3627.5005004508948</v>
      </c>
      <c r="F15" s="33">
        <f>C37*'E Balans VL '!L15/100/3.6*1000000+C37*'E Balans VL '!N15/100/3.6*1000000</f>
        <v>13012.533332775318</v>
      </c>
      <c r="G15" s="34"/>
      <c r="H15" s="33"/>
      <c r="I15" s="33"/>
      <c r="J15" s="40">
        <f>C37*'E Balans VL '!D15/100/3.6*1000000+C37*'E Balans VL '!E15/100/3.6*1000000</f>
        <v>235.19263667680454</v>
      </c>
      <c r="K15" s="33"/>
      <c r="L15" s="33"/>
      <c r="M15" s="33"/>
      <c r="N15" s="33">
        <f>C37*'E Balans VL '!Y15/100/3.6*1000000</f>
        <v>4611.5473213540663</v>
      </c>
      <c r="O15" s="33"/>
      <c r="P15" s="33"/>
      <c r="R15" s="32"/>
    </row>
    <row r="16" spans="1:18">
      <c r="A16" s="16" t="s">
        <v>474</v>
      </c>
      <c r="B16" s="243">
        <f>'lokale energieproductie'!N52+'lokale energieproductie'!N45</f>
        <v>549</v>
      </c>
      <c r="C16" s="243">
        <f>'lokale energieproductie'!O52+'lokale energieproductie'!O45</f>
        <v>784.28571428571433</v>
      </c>
      <c r="D16" s="302">
        <f>('lokale energieproductie'!P45+'lokale energieproductie'!P52)*(-1)</f>
        <v>-1568.5714285714287</v>
      </c>
      <c r="E16" s="244"/>
      <c r="F16" s="302">
        <f>('lokale energieproductie'!S45+'lokale energieproductie'!S52)*(-1)</f>
        <v>0</v>
      </c>
      <c r="G16" s="245"/>
      <c r="H16" s="244"/>
      <c r="I16" s="244"/>
      <c r="J16" s="244"/>
      <c r="K16" s="244"/>
      <c r="L16" s="302">
        <f>('lokale energieproductie'!T45+'lokale energieproductie'!U45+'lokale energieproductie'!T52+'lokale energieproductie'!U52)*(-1)</f>
        <v>0</v>
      </c>
      <c r="M16" s="244"/>
      <c r="N16" s="302">
        <f>('lokale energieproductie'!Q45+'lokale energieproductie'!R45+'lokale energieproductie'!V45+'lokale energieproductie'!Q52+'lokale energieproductie'!R52+'lokale energieproductie'!V52)*(-1)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96030.365036917487</v>
      </c>
      <c r="C18" s="21">
        <f>C5+C16</f>
        <v>784.28571428571433</v>
      </c>
      <c r="D18" s="21">
        <f>MAX((D5+D16),0)</f>
        <v>62943.95676151845</v>
      </c>
      <c r="E18" s="21">
        <f>MAX((E5+E16),0)</f>
        <v>11187.437046044532</v>
      </c>
      <c r="F18" s="21">
        <f>MAX((F5+F16),0)</f>
        <v>33935.620072183941</v>
      </c>
      <c r="G18" s="21"/>
      <c r="H18" s="21"/>
      <c r="I18" s="21"/>
      <c r="J18" s="21">
        <f>MAX((J5+J16),0)</f>
        <v>235.61063890863412</v>
      </c>
      <c r="K18" s="21"/>
      <c r="L18" s="21">
        <f>MAX((L5+L16),0)</f>
        <v>0</v>
      </c>
      <c r="M18" s="21"/>
      <c r="N18" s="21">
        <f>MAX((N5+N16),0)</f>
        <v>7768.2693152333377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0.16245753508623542</v>
      </c>
      <c r="C20" s="25">
        <f ca="1">'EF ele_warmte'!B22</f>
        <v>0.23258780520504746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15600.856397329018</v>
      </c>
      <c r="C22" s="23">
        <f ca="1">C18*C20</f>
        <v>182.41529293938723</v>
      </c>
      <c r="D22" s="23">
        <f>D18*D20</f>
        <v>12714.679265826728</v>
      </c>
      <c r="E22" s="23">
        <f>E18*E20</f>
        <v>2539.5482094521089</v>
      </c>
      <c r="F22" s="23">
        <f>F18*F20</f>
        <v>9060.8105592731135</v>
      </c>
      <c r="G22" s="23"/>
      <c r="H22" s="23"/>
      <c r="I22" s="23"/>
      <c r="J22" s="23">
        <f>J18*J20</f>
        <v>83.406166173656473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1089.11083109571</v>
      </c>
      <c r="C30" s="39">
        <f>IF(ISERROR(B30*3.6/1000000/'E Balans VL '!Z18*100),0,B30*3.6/1000000/'E Balans VL '!Z18*100)</f>
        <v>6.1722703461018477E-2</v>
      </c>
      <c r="D30" s="233" t="s">
        <v>726</v>
      </c>
    </row>
    <row r="31" spans="1:18">
      <c r="A31" s="6" t="s">
        <v>32</v>
      </c>
      <c r="B31" s="37">
        <f>IF( ISERROR(IND_ander_ele_kWh/1000),0,IND_ander_ele_kWh/1000)</f>
        <v>25813.169863388099</v>
      </c>
      <c r="C31" s="39">
        <f>IF(ISERROR(B31*3.6/1000000/'E Balans VL '!Z19*100),0,B31*3.6/1000000/'E Balans VL '!Z19*100)</f>
        <v>1.1707779008347021</v>
      </c>
      <c r="D31" s="233" t="s">
        <v>726</v>
      </c>
    </row>
    <row r="32" spans="1:18">
      <c r="A32" s="168" t="s">
        <v>40</v>
      </c>
      <c r="B32" s="37">
        <f>IF( ISERROR(IND_voed_ele_kWh/1000),0,IND_voed_ele_kWh/1000)</f>
        <v>160.60053072140101</v>
      </c>
      <c r="C32" s="39">
        <f>IF(ISERROR(B32*3.6/1000000/'E Balans VL '!Z20*100),0,B32*3.6/1000000/'E Balans VL '!Z20*100)</f>
        <v>4.9681034800634575E-3</v>
      </c>
      <c r="D32" s="233" t="s">
        <v>726</v>
      </c>
    </row>
    <row r="33" spans="1:5">
      <c r="A33" s="168" t="s">
        <v>39</v>
      </c>
      <c r="B33" s="37">
        <f>IF( ISERROR(IND_textiel_ele_kWh/1000),0,IND_textiel_ele_kWh/1000)</f>
        <v>19.139809442475404</v>
      </c>
      <c r="C33" s="39">
        <f>IF(ISERROR(B33*3.6/1000000/'E Balans VL '!Z21*100),0,B33*3.6/1000000/'E Balans VL '!Z21*100)</f>
        <v>2.4956184014835897E-3</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2702.7278181348097</v>
      </c>
      <c r="C35" s="39">
        <f>IF(ISERROR(B35*3.6/1000000/'E Balans VL '!Z22*100),0,B35*3.6/1000000/'E Balans VL '!Z22*100)</f>
        <v>0.48613641034568045</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65696.616184134997</v>
      </c>
      <c r="C37" s="39">
        <f>IF(ISERROR(B37*3.6/1000000/'E Balans VL '!Z15*100),0,B37*3.6/1000000/'E Balans VL '!Z15*100)</f>
        <v>0.52072636637729686</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22683.507752638652</v>
      </c>
      <c r="C5" s="17">
        <f>'Eigen informatie GS &amp; warmtenet'!B60</f>
        <v>0</v>
      </c>
      <c r="D5" s="30">
        <f>IF(ISERROR(SUM(LB_lb_gas_kWh,LB_rest_gas_kWh)/1000),0,SUM(LB_lb_gas_kWh,LB_rest_gas_kWh)/1000)*0.902</f>
        <v>272856.92809395579</v>
      </c>
      <c r="E5" s="17">
        <f>B17*'E Balans VL '!I25/3.6*1000000/100</f>
        <v>666.73757627952375</v>
      </c>
      <c r="F5" s="17">
        <f>B17*('E Balans VL '!L25/3.6*1000000+'E Balans VL '!N25/3.6*1000000)/100</f>
        <v>94498.267545070557</v>
      </c>
      <c r="G5" s="18"/>
      <c r="H5" s="17"/>
      <c r="I5" s="17"/>
      <c r="J5" s="17">
        <f>('E Balans VL '!D25+'E Balans VL '!E25)/3.6*1000000*landbouw!B17/100</f>
        <v>3286.3531394521856</v>
      </c>
      <c r="K5" s="17"/>
      <c r="L5" s="17">
        <f>L6*(-1)</f>
        <v>7020</v>
      </c>
      <c r="M5" s="17"/>
      <c r="N5" s="17">
        <f>N6*(-1)</f>
        <v>374.14285714285711</v>
      </c>
      <c r="O5" s="17"/>
      <c r="P5" s="17"/>
      <c r="R5" s="32"/>
    </row>
    <row r="6" spans="1:18">
      <c r="A6" s="16" t="s">
        <v>474</v>
      </c>
      <c r="B6" s="17" t="s">
        <v>204</v>
      </c>
      <c r="C6" s="17">
        <f>'lokale energieproductie'!O54+'lokale energieproductie'!O47</f>
        <v>141867.64285714287</v>
      </c>
      <c r="D6" s="302">
        <f>('lokale energieproductie'!P47+'lokale energieproductie'!P54)*(-1)</f>
        <v>-274937.14285714284</v>
      </c>
      <c r="E6" s="244"/>
      <c r="F6" s="302">
        <f>('lokale energieproductie'!S47+'lokale energieproductie'!S54)*(-1)</f>
        <v>-2340</v>
      </c>
      <c r="G6" s="245"/>
      <c r="H6" s="244"/>
      <c r="I6" s="244"/>
      <c r="J6" s="244"/>
      <c r="K6" s="244"/>
      <c r="L6" s="302">
        <f>('lokale energieproductie'!T47+'lokale energieproductie'!U47+'lokale energieproductie'!T54+'lokale energieproductie'!U54)*(-1)</f>
        <v>-7020</v>
      </c>
      <c r="M6" s="244"/>
      <c r="N6" s="302">
        <f>('lokale energieproductie'!V47+'lokale energieproductie'!R47+'lokale energieproductie'!Q47+'lokale energieproductie'!Q54+'lokale energieproductie'!R54+'lokale energieproductie'!V54)*(-1)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22683.507752638652</v>
      </c>
      <c r="C8" s="21">
        <f>C5+C6</f>
        <v>141867.64285714287</v>
      </c>
      <c r="D8" s="21">
        <f>MAX((D5+D6),0)</f>
        <v>0</v>
      </c>
      <c r="E8" s="21">
        <f>MAX((E5+E6),0)</f>
        <v>666.73757627952375</v>
      </c>
      <c r="F8" s="21">
        <f>MAX((F5+F6),0)</f>
        <v>92158.267545070557</v>
      </c>
      <c r="G8" s="21"/>
      <c r="H8" s="21"/>
      <c r="I8" s="21"/>
      <c r="J8" s="21">
        <f>MAX((J5+J6),0)</f>
        <v>3286.3531394521856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0.16245753508623542</v>
      </c>
      <c r="C10" s="31">
        <f ca="1">'EF ele_warmte'!B22</f>
        <v>0.23258780520504746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3685.106756603187</v>
      </c>
      <c r="C12" s="23">
        <f ca="1">C8*C10</f>
        <v>32996.683681756389</v>
      </c>
      <c r="D12" s="23">
        <f>D8*D10</f>
        <v>0</v>
      </c>
      <c r="E12" s="23">
        <f>E8*E10</f>
        <v>151.34942981545188</v>
      </c>
      <c r="F12" s="23">
        <f>F8*F10</f>
        <v>24606.25743453384</v>
      </c>
      <c r="G12" s="23"/>
      <c r="H12" s="23"/>
      <c r="I12" s="23"/>
      <c r="J12" s="23">
        <f>J8*J10</f>
        <v>1163.3690113660737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3.2188609174346161</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1703.154884541739</v>
      </c>
      <c r="C26" s="243">
        <f>B26*'GWP N2O_CH4'!B5</f>
        <v>35766.252575376515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1381.1839354238584</v>
      </c>
      <c r="C27" s="243">
        <f>B27*'GWP N2O_CH4'!B5</f>
        <v>29004.862643901026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26.907418982402259</v>
      </c>
      <c r="C28" s="243">
        <f>B28*'GWP N2O_CH4'!B4</f>
        <v>8341.2998845447</v>
      </c>
      <c r="D28" s="50"/>
    </row>
    <row r="29" spans="1:4">
      <c r="A29" s="41" t="s">
        <v>265</v>
      </c>
      <c r="B29" s="243">
        <f>B34*'ha_N2O bodem landbouw'!B4</f>
        <v>41.170383095536366</v>
      </c>
      <c r="C29" s="243">
        <f>B29*'GWP N2O_CH4'!B4</f>
        <v>12762.818759616273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9.394939542949449E-3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5.5665938155006686E-4</v>
      </c>
      <c r="C5" s="429" t="s">
        <v>204</v>
      </c>
      <c r="D5" s="414">
        <f>SUM(D6:D11)</f>
        <v>8.598782741698729E-4</v>
      </c>
      <c r="E5" s="414">
        <f>SUM(E6:E11)</f>
        <v>1.6558789639239857E-3</v>
      </c>
      <c r="F5" s="427" t="s">
        <v>204</v>
      </c>
      <c r="G5" s="414">
        <f>SUM(G6:G11)</f>
        <v>0.89950914316592168</v>
      </c>
      <c r="H5" s="414">
        <f>SUM(H6:H11)</f>
        <v>0.14115854745829226</v>
      </c>
      <c r="I5" s="429" t="s">
        <v>204</v>
      </c>
      <c r="J5" s="429" t="s">
        <v>204</v>
      </c>
      <c r="K5" s="429" t="s">
        <v>204</v>
      </c>
      <c r="L5" s="429" t="s">
        <v>204</v>
      </c>
      <c r="M5" s="414">
        <f>SUM(M6:M11)</f>
        <v>5.6709874754476523E-2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1.4603539115194057E-4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2.4551117274856823E-4</v>
      </c>
      <c r="E6" s="857">
        <f>vkm_GW_PW*SUMIFS(TableVerdeelsleutelVkm[LPG],TableVerdeelsleutelVkm[Voertuigtype],"Lichte voertuigen")*SUMIFS(TableECFTransport[EnergieConsumptieFactor (PJ per km)],TableECFTransport[Index],CONCATENATE($A6,"_LPG_LPG"))</f>
        <v>4.3197901169612414E-4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0.12816692204021057</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3.9665669617614092E-2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8.6559988867265809E-3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2.7854911060837648E-6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8.9471140341746191E-2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1.4597741491431097E-6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5.2274000351087771E-3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9.3094838167374889E-5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2.0067872529924892E-4</v>
      </c>
      <c r="E8" s="417">
        <f>vkm_NGW_PW*SUMIFS(TableVerdeelsleutelVkm[LPG],TableVerdeelsleutelVkm[Voertuigtype],"Lichte voertuigen")*SUMIFS(TableECFTransport[EnergieConsumptieFactor (PJ per km)],TableECFTransport[Index],CONCATENATE($A8,"_LPG_LPG"))</f>
        <v>3.38120956762049E-4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9.3290717538246221E-2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3.1755752907175472E-2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6.3854703205962482E-3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1.5742033657005425E-7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6.4877050836258396E-3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9.9577490051715871E-8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3.7904751328050504E-4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3.0342088484173948E-4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4.136883761220557E-4</v>
      </c>
      <c r="E10" s="417">
        <f>vkm_SW_PW*SUMIFS(TableVerdeelsleutelVkm[LPG],TableVerdeelsleutelVkm[Voertuigtype],"Lichte voertuigen")*SUMIFS(TableECFTransport[EnergieConsumptieFactor (PJ per km)],TableECFTransport[Index],CONCATENATE($A10,"_LPG_LPG"))</f>
        <v>8.8577899546581258E-4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0.24049787295977096</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6.9729542941859596E-2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1.6104083661347388E-2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1.116535594635817E-5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0.34159478520232189</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6.0226400039317855E-6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1.9957874337417025E-2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154.62760598612968</v>
      </c>
      <c r="C14" s="21"/>
      <c r="D14" s="21">
        <f t="shared" ref="D14:M14" si="0">((D5)*10^9/3600)+D12</f>
        <v>238.855076158298</v>
      </c>
      <c r="E14" s="21">
        <f t="shared" si="0"/>
        <v>459.96637886777376</v>
      </c>
      <c r="F14" s="21"/>
      <c r="G14" s="21">
        <f t="shared" si="0"/>
        <v>249863.6508794227</v>
      </c>
      <c r="H14" s="21">
        <f t="shared" si="0"/>
        <v>39210.707627303404</v>
      </c>
      <c r="I14" s="21"/>
      <c r="J14" s="21"/>
      <c r="K14" s="21"/>
      <c r="L14" s="21"/>
      <c r="M14" s="21">
        <f t="shared" si="0"/>
        <v>15752.74298735459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0.16245753508623542</v>
      </c>
      <c r="C16" s="56">
        <f ca="1">'EF ele_warmte'!B22</f>
        <v>0.23258780520504746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25.120419724792249</v>
      </c>
      <c r="C18" s="23"/>
      <c r="D18" s="23">
        <f t="shared" ref="D18:M18" si="1">D14*D16</f>
        <v>48.2487253839762</v>
      </c>
      <c r="E18" s="23">
        <f t="shared" si="1"/>
        <v>104.41236800298465</v>
      </c>
      <c r="F18" s="23"/>
      <c r="G18" s="23">
        <f t="shared" si="1"/>
        <v>66713.594784805857</v>
      </c>
      <c r="H18" s="23">
        <f t="shared" si="1"/>
        <v>9763.4661991985467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6.4495301631209727E-5</v>
      </c>
      <c r="C50" s="313">
        <f t="shared" ref="C50:P50" si="2">SUM(C51:C52)</f>
        <v>0</v>
      </c>
      <c r="D50" s="313">
        <f t="shared" si="2"/>
        <v>0</v>
      </c>
      <c r="E50" s="313">
        <f t="shared" si="2"/>
        <v>0</v>
      </c>
      <c r="F50" s="313">
        <f t="shared" si="2"/>
        <v>0</v>
      </c>
      <c r="G50" s="313">
        <f t="shared" si="2"/>
        <v>6.0586934145853023E-3</v>
      </c>
      <c r="H50" s="313">
        <f t="shared" si="2"/>
        <v>0</v>
      </c>
      <c r="I50" s="313">
        <f t="shared" si="2"/>
        <v>0</v>
      </c>
      <c r="J50" s="313">
        <f t="shared" si="2"/>
        <v>0</v>
      </c>
      <c r="K50" s="313">
        <f t="shared" si="2"/>
        <v>0</v>
      </c>
      <c r="L50" s="313">
        <f t="shared" si="2"/>
        <v>0</v>
      </c>
      <c r="M50" s="313">
        <f t="shared" si="2"/>
        <v>3.4890196242189385E-4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6.4495301631209727E-5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6.0586934145853023E-3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3.4890196242189385E-4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17.915361564224924</v>
      </c>
      <c r="C54" s="21">
        <f t="shared" ref="C54:P54" si="3">(C50)*10^9/3600</f>
        <v>0</v>
      </c>
      <c r="D54" s="21">
        <f t="shared" si="3"/>
        <v>0</v>
      </c>
      <c r="E54" s="21">
        <f t="shared" si="3"/>
        <v>0</v>
      </c>
      <c r="F54" s="21">
        <f t="shared" si="3"/>
        <v>0</v>
      </c>
      <c r="G54" s="21">
        <f t="shared" si="3"/>
        <v>1682.9703929403618</v>
      </c>
      <c r="H54" s="21">
        <f t="shared" si="3"/>
        <v>0</v>
      </c>
      <c r="I54" s="21">
        <f t="shared" si="3"/>
        <v>0</v>
      </c>
      <c r="J54" s="21">
        <f t="shared" si="3"/>
        <v>0</v>
      </c>
      <c r="K54" s="21">
        <f t="shared" si="3"/>
        <v>0</v>
      </c>
      <c r="L54" s="21">
        <f t="shared" si="3"/>
        <v>0</v>
      </c>
      <c r="M54" s="21">
        <f t="shared" si="3"/>
        <v>96.9172117838594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0.16245753508623542</v>
      </c>
      <c r="C56" s="56">
        <f ca="1">'EF ele_warmte'!B22</f>
        <v>0.23258780520504746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2.9104854799026638</v>
      </c>
      <c r="C58" s="23">
        <f t="shared" ref="C58:P58" ca="1" si="4">C54*C56</f>
        <v>0</v>
      </c>
      <c r="D58" s="23">
        <f t="shared" si="4"/>
        <v>0</v>
      </c>
      <c r="E58" s="23">
        <f t="shared" si="4"/>
        <v>0</v>
      </c>
      <c r="F58" s="23">
        <f t="shared" si="4"/>
        <v>0</v>
      </c>
      <c r="G58" s="23">
        <f t="shared" si="4"/>
        <v>449.35309491507661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6"/>
  <sheetViews>
    <sheetView showGridLines="0" zoomScaleNormal="100" workbookViewId="0">
      <selection activeCell="A28" sqref="A28:XFD44"/>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53740.381507944527</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9958.892925288088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N44</f>
        <v>109651.95</v>
      </c>
      <c r="C8" s="536">
        <f>B63</f>
        <v>124976.93722275438</v>
      </c>
      <c r="D8" s="1002"/>
      <c r="E8" s="1002">
        <f>E63</f>
        <v>967.65943055140372</v>
      </c>
      <c r="F8" s="1003"/>
      <c r="G8" s="537"/>
      <c r="H8" s="1002">
        <f>I63</f>
        <v>0</v>
      </c>
      <c r="I8" s="1002">
        <f>G63+F63</f>
        <v>2902.9782916542113</v>
      </c>
      <c r="J8" s="1002">
        <f>H63+D63+C63</f>
        <v>154.71917268706508</v>
      </c>
      <c r="K8" s="1002"/>
      <c r="L8" s="1002"/>
      <c r="M8" s="1002"/>
      <c r="N8" s="538"/>
      <c r="O8" s="539">
        <f>C8*$C$12+D8*$D$12+E8*$E$12+F8*$F$12+G8*$G$12+H8*$H$12+I8*$I$12+J8*$J$12</f>
        <v>25503.70638695361</v>
      </c>
      <c r="P8" s="1221"/>
      <c r="Q8" s="1222"/>
      <c r="S8" s="965"/>
      <c r="T8" s="1258"/>
      <c r="U8" s="1258"/>
    </row>
    <row r="9" spans="1:21" s="525" customFormat="1" ht="17.45" customHeight="1" thickBot="1">
      <c r="A9" s="540" t="s">
        <v>236</v>
      </c>
      <c r="B9" s="541">
        <f>N51+'Eigen informatie GS &amp; warmtenet'!B12</f>
        <v>1341</v>
      </c>
      <c r="C9" s="542">
        <f>P51+IF(ISERROR(('Eigen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S51+IF(ISERROR('Eigen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W51+IF(ISERROR('Eigen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(T51+U51)+IF(ISERROR('Eigen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V51+Q51+R51+IF(ISERROR('Eigen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174692.22443323262</v>
      </c>
      <c r="C10" s="549">
        <f t="shared" ref="C10:L10" si="0">SUM(C8:C9)</f>
        <v>124976.93722275438</v>
      </c>
      <c r="D10" s="549">
        <f t="shared" si="0"/>
        <v>0</v>
      </c>
      <c r="E10" s="549">
        <f t="shared" si="0"/>
        <v>967.65943055140372</v>
      </c>
      <c r="F10" s="549">
        <f t="shared" si="0"/>
        <v>0</v>
      </c>
      <c r="G10" s="549">
        <f t="shared" si="0"/>
        <v>0</v>
      </c>
      <c r="H10" s="549">
        <f t="shared" si="0"/>
        <v>0</v>
      </c>
      <c r="I10" s="549">
        <f t="shared" si="0"/>
        <v>2902.9782916542113</v>
      </c>
      <c r="J10" s="549">
        <f t="shared" si="0"/>
        <v>3986.1477441156367</v>
      </c>
      <c r="K10" s="549">
        <f t="shared" si="0"/>
        <v>0</v>
      </c>
      <c r="L10" s="549">
        <f t="shared" si="0"/>
        <v>0</v>
      </c>
      <c r="M10" s="1005"/>
      <c r="N10" s="1005"/>
      <c r="O10" s="550">
        <f>SUM(O4:O9)</f>
        <v>25503.70638695361</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O44</f>
        <v>155509.07142857142</v>
      </c>
      <c r="C17" s="561">
        <f>B64</f>
        <v>177243.06277724559</v>
      </c>
      <c r="D17" s="562"/>
      <c r="E17" s="562">
        <f>E64</f>
        <v>1372.3405694485962</v>
      </c>
      <c r="F17" s="1008"/>
      <c r="G17" s="563"/>
      <c r="H17" s="561">
        <f>I64</f>
        <v>0</v>
      </c>
      <c r="I17" s="562">
        <f>G64+F64</f>
        <v>4117.0217083457883</v>
      </c>
      <c r="J17" s="562">
        <f>H64+D64+C64</f>
        <v>219.423684455792</v>
      </c>
      <c r="K17" s="562"/>
      <c r="L17" s="562"/>
      <c r="M17" s="562"/>
      <c r="N17" s="1009"/>
      <c r="O17" s="564">
        <f>C17*$C$22+E17*$E$22+H17*$H$22+I17*$I$22+J17*$J$22+D17*$D$22+F17*$F$22+G17*$G$22+K17*$K$22+L17*$L$22</f>
        <v>36169.513613046387</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155509.07142857142</v>
      </c>
      <c r="C20" s="548">
        <f>SUM(C17:C19)</f>
        <v>177243.06277724559</v>
      </c>
      <c r="D20" s="548">
        <f t="shared" ref="D20:L20" si="1">SUM(D17:D19)</f>
        <v>0</v>
      </c>
      <c r="E20" s="548">
        <f t="shared" si="1"/>
        <v>1372.3405694485962</v>
      </c>
      <c r="F20" s="548">
        <f t="shared" si="1"/>
        <v>0</v>
      </c>
      <c r="G20" s="548">
        <f t="shared" si="1"/>
        <v>0</v>
      </c>
      <c r="H20" s="548">
        <f t="shared" si="1"/>
        <v>0</v>
      </c>
      <c r="I20" s="548">
        <f t="shared" si="1"/>
        <v>4117.0217083457883</v>
      </c>
      <c r="J20" s="548">
        <f t="shared" si="1"/>
        <v>219.423684455792</v>
      </c>
      <c r="K20" s="548">
        <f t="shared" si="1"/>
        <v>0</v>
      </c>
      <c r="L20" s="548">
        <f t="shared" si="1"/>
        <v>0</v>
      </c>
      <c r="M20" s="548"/>
      <c r="N20" s="548"/>
      <c r="O20" s="567">
        <f>SUM(O17:O19)</f>
        <v>36169.513613046387</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13014</v>
      </c>
      <c r="C28" s="762">
        <v>2321</v>
      </c>
      <c r="D28" s="619"/>
      <c r="E28" s="618"/>
      <c r="F28" s="618"/>
      <c r="G28" s="618" t="s">
        <v>896</v>
      </c>
      <c r="H28" s="618" t="s">
        <v>897</v>
      </c>
      <c r="I28" s="618"/>
      <c r="J28" s="761"/>
      <c r="K28" s="761"/>
      <c r="L28" s="618" t="s">
        <v>898</v>
      </c>
      <c r="M28" s="618">
        <v>5774</v>
      </c>
      <c r="N28" s="618">
        <v>25983</v>
      </c>
      <c r="O28" s="618">
        <v>37118.571428571428</v>
      </c>
      <c r="P28" s="618">
        <v>74237.142857142855</v>
      </c>
      <c r="Q28" s="618">
        <v>0</v>
      </c>
      <c r="R28" s="618">
        <v>0</v>
      </c>
      <c r="S28" s="618">
        <v>0</v>
      </c>
      <c r="T28" s="618">
        <v>0</v>
      </c>
      <c r="U28" s="618">
        <v>0</v>
      </c>
      <c r="V28" s="618">
        <v>0</v>
      </c>
      <c r="W28" s="618">
        <v>0</v>
      </c>
      <c r="X28" s="618">
        <v>10</v>
      </c>
      <c r="Y28" s="618" t="s">
        <v>105</v>
      </c>
      <c r="Z28" s="620" t="s">
        <v>105</v>
      </c>
    </row>
    <row r="29" spans="1:26" s="572" customFormat="1" ht="63.75" hidden="1">
      <c r="A29" s="571"/>
      <c r="B29" s="762">
        <v>13014</v>
      </c>
      <c r="C29" s="762">
        <v>2321</v>
      </c>
      <c r="D29" s="619"/>
      <c r="E29" s="618"/>
      <c r="F29" s="618"/>
      <c r="G29" s="618" t="s">
        <v>896</v>
      </c>
      <c r="H29" s="618" t="s">
        <v>897</v>
      </c>
      <c r="I29" s="618"/>
      <c r="J29" s="761"/>
      <c r="K29" s="761"/>
      <c r="L29" s="618" t="s">
        <v>898</v>
      </c>
      <c r="M29" s="618">
        <v>2000</v>
      </c>
      <c r="N29" s="618">
        <v>9000</v>
      </c>
      <c r="O29" s="618">
        <v>12857.142857142857</v>
      </c>
      <c r="P29" s="618">
        <v>25714.285714285717</v>
      </c>
      <c r="Q29" s="618">
        <v>0</v>
      </c>
      <c r="R29" s="618">
        <v>0</v>
      </c>
      <c r="S29" s="618">
        <v>0</v>
      </c>
      <c r="T29" s="618">
        <v>0</v>
      </c>
      <c r="U29" s="618">
        <v>0</v>
      </c>
      <c r="V29" s="618">
        <v>0</v>
      </c>
      <c r="W29" s="618">
        <v>0</v>
      </c>
      <c r="X29" s="618">
        <v>1600</v>
      </c>
      <c r="Y29" s="618" t="s">
        <v>49</v>
      </c>
      <c r="Z29" s="620" t="s">
        <v>149</v>
      </c>
    </row>
    <row r="30" spans="1:26" s="572" customFormat="1" ht="25.5" hidden="1">
      <c r="A30" s="571"/>
      <c r="B30" s="762">
        <v>13014</v>
      </c>
      <c r="C30" s="762">
        <v>2321</v>
      </c>
      <c r="D30" s="619"/>
      <c r="E30" s="618"/>
      <c r="F30" s="618"/>
      <c r="G30" s="618" t="s">
        <v>896</v>
      </c>
      <c r="H30" s="618" t="s">
        <v>897</v>
      </c>
      <c r="I30" s="618"/>
      <c r="J30" s="761"/>
      <c r="K30" s="761"/>
      <c r="L30" s="618" t="s">
        <v>898</v>
      </c>
      <c r="M30" s="618">
        <v>2028</v>
      </c>
      <c r="N30" s="618">
        <v>9126</v>
      </c>
      <c r="O30" s="618">
        <v>13037.142857142857</v>
      </c>
      <c r="P30" s="618">
        <v>26074.285714285717</v>
      </c>
      <c r="Q30" s="618">
        <v>0</v>
      </c>
      <c r="R30" s="618">
        <v>0</v>
      </c>
      <c r="S30" s="618">
        <v>0</v>
      </c>
      <c r="T30" s="618">
        <v>0</v>
      </c>
      <c r="U30" s="618">
        <v>0</v>
      </c>
      <c r="V30" s="618">
        <v>0</v>
      </c>
      <c r="W30" s="618">
        <v>0</v>
      </c>
      <c r="X30" s="618">
        <v>10</v>
      </c>
      <c r="Y30" s="618" t="s">
        <v>105</v>
      </c>
      <c r="Z30" s="620" t="s">
        <v>105</v>
      </c>
    </row>
    <row r="31" spans="1:26" s="572" customFormat="1" ht="25.5" hidden="1">
      <c r="A31" s="571"/>
      <c r="B31" s="762">
        <v>13014</v>
      </c>
      <c r="C31" s="762">
        <v>2321</v>
      </c>
      <c r="D31" s="619"/>
      <c r="E31" s="618"/>
      <c r="F31" s="618"/>
      <c r="G31" s="618" t="s">
        <v>896</v>
      </c>
      <c r="H31" s="618" t="s">
        <v>897</v>
      </c>
      <c r="I31" s="618"/>
      <c r="J31" s="761"/>
      <c r="K31" s="761"/>
      <c r="L31" s="618" t="s">
        <v>898</v>
      </c>
      <c r="M31" s="618">
        <v>1556</v>
      </c>
      <c r="N31" s="618">
        <v>7002</v>
      </c>
      <c r="O31" s="618">
        <v>10002.857142857143</v>
      </c>
      <c r="P31" s="618">
        <v>20005.714285714286</v>
      </c>
      <c r="Q31" s="618">
        <v>0</v>
      </c>
      <c r="R31" s="618">
        <v>0</v>
      </c>
      <c r="S31" s="618">
        <v>0</v>
      </c>
      <c r="T31" s="618">
        <v>0</v>
      </c>
      <c r="U31" s="618">
        <v>0</v>
      </c>
      <c r="V31" s="618">
        <v>0</v>
      </c>
      <c r="W31" s="618">
        <v>0</v>
      </c>
      <c r="X31" s="618">
        <v>10</v>
      </c>
      <c r="Y31" s="618" t="s">
        <v>105</v>
      </c>
      <c r="Z31" s="620" t="s">
        <v>105</v>
      </c>
    </row>
    <row r="32" spans="1:26" s="572" customFormat="1" ht="25.5" hidden="1">
      <c r="A32" s="571"/>
      <c r="B32" s="762">
        <v>13014</v>
      </c>
      <c r="C32" s="762">
        <v>2321</v>
      </c>
      <c r="D32" s="619"/>
      <c r="E32" s="618"/>
      <c r="F32" s="618"/>
      <c r="G32" s="618" t="s">
        <v>896</v>
      </c>
      <c r="H32" s="618" t="s">
        <v>897</v>
      </c>
      <c r="I32" s="618"/>
      <c r="J32" s="761"/>
      <c r="K32" s="761"/>
      <c r="L32" s="618" t="s">
        <v>898</v>
      </c>
      <c r="M32" s="618">
        <v>1998</v>
      </c>
      <c r="N32" s="618">
        <v>8991</v>
      </c>
      <c r="O32" s="618">
        <v>12844.285714285714</v>
      </c>
      <c r="P32" s="618">
        <v>25688.571428571431</v>
      </c>
      <c r="Q32" s="618">
        <v>0</v>
      </c>
      <c r="R32" s="618">
        <v>0</v>
      </c>
      <c r="S32" s="618">
        <v>0</v>
      </c>
      <c r="T32" s="618">
        <v>0</v>
      </c>
      <c r="U32" s="618">
        <v>0</v>
      </c>
      <c r="V32" s="618">
        <v>0</v>
      </c>
      <c r="W32" s="618">
        <v>0</v>
      </c>
      <c r="X32" s="618">
        <v>10</v>
      </c>
      <c r="Y32" s="618" t="s">
        <v>105</v>
      </c>
      <c r="Z32" s="620" t="s">
        <v>105</v>
      </c>
    </row>
    <row r="33" spans="1:26" s="572" customFormat="1" ht="25.5" hidden="1">
      <c r="A33" s="571"/>
      <c r="B33" s="762">
        <v>13014</v>
      </c>
      <c r="C33" s="762">
        <v>2320</v>
      </c>
      <c r="D33" s="619"/>
      <c r="E33" s="618"/>
      <c r="F33" s="618"/>
      <c r="G33" s="618" t="s">
        <v>896</v>
      </c>
      <c r="H33" s="618" t="s">
        <v>897</v>
      </c>
      <c r="I33" s="618"/>
      <c r="J33" s="761"/>
      <c r="K33" s="761"/>
      <c r="L33" s="618" t="s">
        <v>898</v>
      </c>
      <c r="M33" s="618">
        <v>122</v>
      </c>
      <c r="N33" s="618">
        <v>549</v>
      </c>
      <c r="O33" s="618">
        <v>784.28571428571433</v>
      </c>
      <c r="P33" s="618">
        <v>1568.5714285714287</v>
      </c>
      <c r="Q33" s="618">
        <v>0</v>
      </c>
      <c r="R33" s="618">
        <v>0</v>
      </c>
      <c r="S33" s="618">
        <v>0</v>
      </c>
      <c r="T33" s="618">
        <v>0</v>
      </c>
      <c r="U33" s="618">
        <v>0</v>
      </c>
      <c r="V33" s="618">
        <v>0</v>
      </c>
      <c r="W33" s="618">
        <v>0</v>
      </c>
      <c r="X33" s="618">
        <v>400</v>
      </c>
      <c r="Y33" s="618" t="s">
        <v>36</v>
      </c>
      <c r="Z33" s="620" t="s">
        <v>375</v>
      </c>
    </row>
    <row r="34" spans="1:26" s="572" customFormat="1" ht="38.25" hidden="1">
      <c r="A34" s="571"/>
      <c r="B34" s="762">
        <v>13014</v>
      </c>
      <c r="C34" s="762">
        <v>2328</v>
      </c>
      <c r="D34" s="619"/>
      <c r="E34" s="618"/>
      <c r="F34" s="618"/>
      <c r="G34" s="618" t="s">
        <v>896</v>
      </c>
      <c r="H34" s="618" t="s">
        <v>899</v>
      </c>
      <c r="I34" s="618"/>
      <c r="J34" s="761"/>
      <c r="K34" s="761"/>
      <c r="L34" s="618" t="s">
        <v>900</v>
      </c>
      <c r="M34" s="618">
        <v>832</v>
      </c>
      <c r="N34" s="618">
        <v>3744</v>
      </c>
      <c r="O34" s="618">
        <v>4212</v>
      </c>
      <c r="P34" s="618">
        <v>0</v>
      </c>
      <c r="Q34" s="618">
        <v>0</v>
      </c>
      <c r="R34" s="618">
        <v>0</v>
      </c>
      <c r="S34" s="618">
        <v>2340</v>
      </c>
      <c r="T34" s="618">
        <v>7020</v>
      </c>
      <c r="U34" s="618">
        <v>0</v>
      </c>
      <c r="V34" s="618">
        <v>0</v>
      </c>
      <c r="W34" s="618">
        <v>0</v>
      </c>
      <c r="X34" s="618">
        <v>10</v>
      </c>
      <c r="Y34" s="618" t="s">
        <v>105</v>
      </c>
      <c r="Z34" s="620" t="s">
        <v>105</v>
      </c>
    </row>
    <row r="35" spans="1:26" s="572" customFormat="1" ht="25.5" hidden="1">
      <c r="A35" s="571"/>
      <c r="B35" s="762">
        <v>13014</v>
      </c>
      <c r="C35" s="762">
        <v>2321</v>
      </c>
      <c r="D35" s="619"/>
      <c r="E35" s="618"/>
      <c r="F35" s="618"/>
      <c r="G35" s="618" t="s">
        <v>896</v>
      </c>
      <c r="H35" s="618" t="s">
        <v>897</v>
      </c>
      <c r="I35" s="618"/>
      <c r="J35" s="761"/>
      <c r="K35" s="761"/>
      <c r="L35" s="618" t="s">
        <v>898</v>
      </c>
      <c r="M35" s="618">
        <v>404</v>
      </c>
      <c r="N35" s="618">
        <v>1818.0000000000002</v>
      </c>
      <c r="O35" s="618">
        <v>2597.1428571428573</v>
      </c>
      <c r="P35" s="618">
        <v>5194.2857142857156</v>
      </c>
      <c r="Q35" s="618">
        <v>0</v>
      </c>
      <c r="R35" s="618">
        <v>0</v>
      </c>
      <c r="S35" s="618">
        <v>0</v>
      </c>
      <c r="T35" s="618">
        <v>0</v>
      </c>
      <c r="U35" s="618">
        <v>0</v>
      </c>
      <c r="V35" s="618">
        <v>0</v>
      </c>
      <c r="W35" s="618">
        <v>0</v>
      </c>
      <c r="X35" s="618">
        <v>10</v>
      </c>
      <c r="Y35" s="618" t="s">
        <v>105</v>
      </c>
      <c r="Z35" s="620" t="s">
        <v>105</v>
      </c>
    </row>
    <row r="36" spans="1:26" s="572" customFormat="1" ht="25.5" hidden="1">
      <c r="A36" s="571"/>
      <c r="B36" s="762">
        <v>13014</v>
      </c>
      <c r="C36" s="762">
        <v>2322</v>
      </c>
      <c r="D36" s="619"/>
      <c r="E36" s="618"/>
      <c r="F36" s="618"/>
      <c r="G36" s="618" t="s">
        <v>896</v>
      </c>
      <c r="H36" s="618" t="s">
        <v>897</v>
      </c>
      <c r="I36" s="618"/>
      <c r="J36" s="761"/>
      <c r="K36" s="761"/>
      <c r="L36" s="618" t="s">
        <v>898</v>
      </c>
      <c r="M36" s="618">
        <v>9.6999999999999993</v>
      </c>
      <c r="N36" s="618">
        <v>43.649999999999991</v>
      </c>
      <c r="O36" s="618">
        <v>62.357142857142847</v>
      </c>
      <c r="P36" s="618">
        <v>0</v>
      </c>
      <c r="Q36" s="618">
        <v>124.71428571428569</v>
      </c>
      <c r="R36" s="618">
        <v>0</v>
      </c>
      <c r="S36" s="618">
        <v>0</v>
      </c>
      <c r="T36" s="618">
        <v>0</v>
      </c>
      <c r="U36" s="618">
        <v>0</v>
      </c>
      <c r="V36" s="618">
        <v>0</v>
      </c>
      <c r="W36" s="618">
        <v>0</v>
      </c>
      <c r="X36" s="618">
        <v>10</v>
      </c>
      <c r="Y36" s="618" t="s">
        <v>105</v>
      </c>
      <c r="Z36" s="620" t="s">
        <v>105</v>
      </c>
    </row>
    <row r="37" spans="1:26" s="572" customFormat="1" ht="25.5" hidden="1">
      <c r="A37" s="571"/>
      <c r="B37" s="762">
        <v>13014</v>
      </c>
      <c r="C37" s="762">
        <v>2322</v>
      </c>
      <c r="D37" s="619"/>
      <c r="E37" s="618"/>
      <c r="F37" s="618"/>
      <c r="G37" s="618" t="s">
        <v>896</v>
      </c>
      <c r="H37" s="618" t="s">
        <v>897</v>
      </c>
      <c r="I37" s="618"/>
      <c r="J37" s="761"/>
      <c r="K37" s="761"/>
      <c r="L37" s="618" t="s">
        <v>898</v>
      </c>
      <c r="M37" s="618">
        <v>19.399999999999999</v>
      </c>
      <c r="N37" s="618">
        <v>87.299999999999983</v>
      </c>
      <c r="O37" s="618">
        <v>124.71428571428569</v>
      </c>
      <c r="P37" s="618">
        <v>0</v>
      </c>
      <c r="Q37" s="618">
        <v>249.42857142857139</v>
      </c>
      <c r="R37" s="618">
        <v>0</v>
      </c>
      <c r="S37" s="618">
        <v>0</v>
      </c>
      <c r="T37" s="618">
        <v>0</v>
      </c>
      <c r="U37" s="618">
        <v>0</v>
      </c>
      <c r="V37" s="618">
        <v>0</v>
      </c>
      <c r="W37" s="618">
        <v>0</v>
      </c>
      <c r="X37" s="618">
        <v>10</v>
      </c>
      <c r="Y37" s="618" t="s">
        <v>105</v>
      </c>
      <c r="Z37" s="620" t="s">
        <v>105</v>
      </c>
    </row>
    <row r="38" spans="1:26" s="572" customFormat="1" ht="25.5" hidden="1">
      <c r="A38" s="571"/>
      <c r="B38" s="762">
        <v>13014</v>
      </c>
      <c r="C38" s="762">
        <v>2321</v>
      </c>
      <c r="D38" s="619"/>
      <c r="E38" s="618"/>
      <c r="F38" s="618"/>
      <c r="G38" s="618" t="s">
        <v>896</v>
      </c>
      <c r="H38" s="618" t="s">
        <v>897</v>
      </c>
      <c r="I38" s="618"/>
      <c r="J38" s="761"/>
      <c r="K38" s="761"/>
      <c r="L38" s="618" t="s">
        <v>898</v>
      </c>
      <c r="M38" s="618">
        <v>2000</v>
      </c>
      <c r="N38" s="618">
        <v>9000</v>
      </c>
      <c r="O38" s="618">
        <v>12857.142857142857</v>
      </c>
      <c r="P38" s="618">
        <v>25714.285714285717</v>
      </c>
      <c r="Q38" s="618">
        <v>0</v>
      </c>
      <c r="R38" s="618">
        <v>0</v>
      </c>
      <c r="S38" s="618">
        <v>0</v>
      </c>
      <c r="T38" s="618">
        <v>0</v>
      </c>
      <c r="U38" s="618">
        <v>0</v>
      </c>
      <c r="V38" s="618">
        <v>0</v>
      </c>
      <c r="W38" s="618">
        <v>0</v>
      </c>
      <c r="X38" s="618">
        <v>10</v>
      </c>
      <c r="Y38" s="618" t="s">
        <v>105</v>
      </c>
      <c r="Z38" s="620" t="s">
        <v>105</v>
      </c>
    </row>
    <row r="39" spans="1:26" s="572" customFormat="1" ht="25.5" hidden="1">
      <c r="A39" s="571"/>
      <c r="B39" s="762">
        <v>13014</v>
      </c>
      <c r="C39" s="762">
        <v>2321</v>
      </c>
      <c r="D39" s="619"/>
      <c r="E39" s="618"/>
      <c r="F39" s="618"/>
      <c r="G39" s="618" t="s">
        <v>896</v>
      </c>
      <c r="H39" s="618" t="s">
        <v>897</v>
      </c>
      <c r="I39" s="618"/>
      <c r="J39" s="761"/>
      <c r="K39" s="761"/>
      <c r="L39" s="618" t="s">
        <v>898</v>
      </c>
      <c r="M39" s="618">
        <v>1560</v>
      </c>
      <c r="N39" s="618">
        <v>7020</v>
      </c>
      <c r="O39" s="618">
        <v>10028.571428571429</v>
      </c>
      <c r="P39" s="618">
        <v>20057.142857142859</v>
      </c>
      <c r="Q39" s="618">
        <v>0</v>
      </c>
      <c r="R39" s="618">
        <v>0</v>
      </c>
      <c r="S39" s="618">
        <v>0</v>
      </c>
      <c r="T39" s="618">
        <v>0</v>
      </c>
      <c r="U39" s="618">
        <v>0</v>
      </c>
      <c r="V39" s="618">
        <v>0</v>
      </c>
      <c r="W39" s="618">
        <v>0</v>
      </c>
      <c r="X39" s="618">
        <v>10</v>
      </c>
      <c r="Y39" s="618" t="s">
        <v>105</v>
      </c>
      <c r="Z39" s="620" t="s">
        <v>105</v>
      </c>
    </row>
    <row r="40" spans="1:26" s="572" customFormat="1" ht="25.5" hidden="1">
      <c r="A40" s="571"/>
      <c r="B40" s="762">
        <v>13014</v>
      </c>
      <c r="C40" s="762">
        <v>2328</v>
      </c>
      <c r="D40" s="619"/>
      <c r="E40" s="618"/>
      <c r="F40" s="618"/>
      <c r="G40" s="618" t="s">
        <v>896</v>
      </c>
      <c r="H40" s="618" t="s">
        <v>897</v>
      </c>
      <c r="I40" s="618"/>
      <c r="J40" s="761"/>
      <c r="K40" s="761"/>
      <c r="L40" s="618" t="s">
        <v>898</v>
      </c>
      <c r="M40" s="618">
        <v>609</v>
      </c>
      <c r="N40" s="618">
        <v>2740.5</v>
      </c>
      <c r="O40" s="618">
        <v>3915</v>
      </c>
      <c r="P40" s="618">
        <v>7830.0000000000009</v>
      </c>
      <c r="Q40" s="618">
        <v>0</v>
      </c>
      <c r="R40" s="618">
        <v>0</v>
      </c>
      <c r="S40" s="618">
        <v>0</v>
      </c>
      <c r="T40" s="618">
        <v>0</v>
      </c>
      <c r="U40" s="618">
        <v>0</v>
      </c>
      <c r="V40" s="618">
        <v>0</v>
      </c>
      <c r="W40" s="618">
        <v>0</v>
      </c>
      <c r="X40" s="618">
        <v>10</v>
      </c>
      <c r="Y40" s="618" t="s">
        <v>105</v>
      </c>
      <c r="Z40" s="620" t="s">
        <v>105</v>
      </c>
    </row>
    <row r="41" spans="1:26" s="572" customFormat="1" ht="25.5" hidden="1">
      <c r="A41" s="571"/>
      <c r="B41" s="762">
        <v>13014</v>
      </c>
      <c r="C41" s="762">
        <v>2328</v>
      </c>
      <c r="D41" s="619"/>
      <c r="E41" s="618"/>
      <c r="F41" s="618"/>
      <c r="G41" s="618" t="s">
        <v>896</v>
      </c>
      <c r="H41" s="618" t="s">
        <v>897</v>
      </c>
      <c r="I41" s="618"/>
      <c r="J41" s="761"/>
      <c r="K41" s="761"/>
      <c r="L41" s="618" t="s">
        <v>898</v>
      </c>
      <c r="M41" s="618">
        <v>772</v>
      </c>
      <c r="N41" s="618">
        <v>3474</v>
      </c>
      <c r="O41" s="618">
        <v>4962.8571428571431</v>
      </c>
      <c r="P41" s="618">
        <v>9925.7142857142862</v>
      </c>
      <c r="Q41" s="618">
        <v>0</v>
      </c>
      <c r="R41" s="618">
        <v>0</v>
      </c>
      <c r="S41" s="618">
        <v>0</v>
      </c>
      <c r="T41" s="618">
        <v>0</v>
      </c>
      <c r="U41" s="618">
        <v>0</v>
      </c>
      <c r="V41" s="618">
        <v>0</v>
      </c>
      <c r="W41" s="618">
        <v>0</v>
      </c>
      <c r="X41" s="618">
        <v>10</v>
      </c>
      <c r="Y41" s="618" t="s">
        <v>105</v>
      </c>
      <c r="Z41" s="620" t="s">
        <v>105</v>
      </c>
    </row>
    <row r="42" spans="1:26" s="572" customFormat="1" ht="25.5" hidden="1">
      <c r="A42" s="571"/>
      <c r="B42" s="762">
        <v>13014</v>
      </c>
      <c r="C42" s="762">
        <v>2321</v>
      </c>
      <c r="D42" s="619"/>
      <c r="E42" s="618"/>
      <c r="F42" s="618"/>
      <c r="G42" s="618" t="s">
        <v>896</v>
      </c>
      <c r="H42" s="618" t="s">
        <v>897</v>
      </c>
      <c r="I42" s="618"/>
      <c r="J42" s="761"/>
      <c r="K42" s="761"/>
      <c r="L42" s="618" t="s">
        <v>898</v>
      </c>
      <c r="M42" s="618">
        <v>2679</v>
      </c>
      <c r="N42" s="618">
        <v>12055.5</v>
      </c>
      <c r="O42" s="618">
        <v>17222.142857142859</v>
      </c>
      <c r="P42" s="618">
        <v>34444.285714285717</v>
      </c>
      <c r="Q42" s="618">
        <v>0</v>
      </c>
      <c r="R42" s="618">
        <v>0</v>
      </c>
      <c r="S42" s="618">
        <v>0</v>
      </c>
      <c r="T42" s="618">
        <v>0</v>
      </c>
      <c r="U42" s="618">
        <v>0</v>
      </c>
      <c r="V42" s="618">
        <v>0</v>
      </c>
      <c r="W42" s="618">
        <v>0</v>
      </c>
      <c r="X42" s="618">
        <v>10</v>
      </c>
      <c r="Y42" s="618" t="s">
        <v>105</v>
      </c>
      <c r="Z42" s="620" t="s">
        <v>105</v>
      </c>
    </row>
    <row r="43" spans="1:26" s="572" customFormat="1" ht="25.5" hidden="1">
      <c r="A43" s="571"/>
      <c r="B43" s="762">
        <v>13014</v>
      </c>
      <c r="C43" s="762">
        <v>2320</v>
      </c>
      <c r="D43" s="619"/>
      <c r="E43" s="618"/>
      <c r="F43" s="618"/>
      <c r="G43" s="618" t="s">
        <v>896</v>
      </c>
      <c r="H43" s="618" t="s">
        <v>897</v>
      </c>
      <c r="I43" s="618"/>
      <c r="J43" s="761"/>
      <c r="K43" s="761"/>
      <c r="L43" s="618" t="s">
        <v>898</v>
      </c>
      <c r="M43" s="618">
        <v>2004</v>
      </c>
      <c r="N43" s="618">
        <v>9018</v>
      </c>
      <c r="O43" s="618">
        <v>12882.857142857143</v>
      </c>
      <c r="P43" s="618">
        <v>25765.714285714286</v>
      </c>
      <c r="Q43" s="618">
        <v>0</v>
      </c>
      <c r="R43" s="618">
        <v>0</v>
      </c>
      <c r="S43" s="618">
        <v>0</v>
      </c>
      <c r="T43" s="618">
        <v>0</v>
      </c>
      <c r="U43" s="618">
        <v>0</v>
      </c>
      <c r="V43" s="618">
        <v>0</v>
      </c>
      <c r="W43" s="618">
        <v>0</v>
      </c>
      <c r="X43" s="618">
        <v>10</v>
      </c>
      <c r="Y43" s="618" t="s">
        <v>105</v>
      </c>
      <c r="Z43" s="620" t="s">
        <v>105</v>
      </c>
    </row>
    <row r="44" spans="1:26" s="556" customFormat="1" hidden="1">
      <c r="A44" s="574" t="s">
        <v>268</v>
      </c>
      <c r="B44" s="575"/>
      <c r="C44" s="575"/>
      <c r="D44" s="575"/>
      <c r="E44" s="575"/>
      <c r="F44" s="575"/>
      <c r="G44" s="575"/>
      <c r="H44" s="575"/>
      <c r="I44" s="575"/>
      <c r="J44" s="575"/>
      <c r="K44" s="575"/>
      <c r="L44" s="576"/>
      <c r="M44" s="576">
        <f>SUM(M28:M43)</f>
        <v>24367.1</v>
      </c>
      <c r="N44" s="576">
        <f>SUM(N28:N43)</f>
        <v>109651.95</v>
      </c>
      <c r="O44" s="576">
        <f>SUM(O28:O43)</f>
        <v>155509.07142857142</v>
      </c>
      <c r="P44" s="576">
        <f>SUM(P28:P43)</f>
        <v>302220</v>
      </c>
      <c r="Q44" s="576">
        <f>SUM(Q28:Q43)</f>
        <v>374.14285714285711</v>
      </c>
      <c r="R44" s="576">
        <f>SUM(R28:R43)</f>
        <v>0</v>
      </c>
      <c r="S44" s="576">
        <f>SUM(S28:S43)</f>
        <v>2340</v>
      </c>
      <c r="T44" s="576">
        <f>SUM(T28:T43)</f>
        <v>7020</v>
      </c>
      <c r="U44" s="576">
        <f>SUM(U28:U43)</f>
        <v>0</v>
      </c>
      <c r="V44" s="576">
        <f>SUM(V28:V43)</f>
        <v>0</v>
      </c>
      <c r="W44" s="576">
        <f>SUM(W28:W43)</f>
        <v>0</v>
      </c>
      <c r="X44" s="577"/>
      <c r="Y44" s="577"/>
      <c r="Z44" s="578"/>
    </row>
    <row r="45" spans="1:26" s="556" customFormat="1">
      <c r="A45" s="574" t="s">
        <v>275</v>
      </c>
      <c r="B45" s="575"/>
      <c r="C45" s="575"/>
      <c r="D45" s="575"/>
      <c r="E45" s="575"/>
      <c r="F45" s="575"/>
      <c r="G45" s="575"/>
      <c r="H45" s="575"/>
      <c r="I45" s="575"/>
      <c r="J45" s="575"/>
      <c r="K45" s="575"/>
      <c r="L45" s="576"/>
      <c r="M45" s="576">
        <f>SUMIF($Z$28:$Z$43,"industrie",M28:M43)</f>
        <v>122</v>
      </c>
      <c r="N45" s="576">
        <f>SUMIF($Z$28:$Z$43,"industrie",N28:N43)</f>
        <v>549</v>
      </c>
      <c r="O45" s="576">
        <f>SUMIF($Z$28:$Z$43,"industrie",O28:O43)</f>
        <v>784.28571428571433</v>
      </c>
      <c r="P45" s="576">
        <f>SUMIF($Z$28:$Z$43,"industrie",P28:P43)</f>
        <v>1568.5714285714287</v>
      </c>
      <c r="Q45" s="576">
        <f>SUMIF($Z$28:$Z$43,"industrie",Q28:Q43)</f>
        <v>0</v>
      </c>
      <c r="R45" s="576">
        <f>SUMIF($Z$28:$Z$43,"industrie",R28:R43)</f>
        <v>0</v>
      </c>
      <c r="S45" s="576">
        <f>SUMIF($Z$28:$Z$43,"industrie",S28:S43)</f>
        <v>0</v>
      </c>
      <c r="T45" s="576">
        <f>SUMIF($Z$28:$Z$43,"industrie",T28:T43)</f>
        <v>0</v>
      </c>
      <c r="U45" s="576">
        <f>SUMIF($Z$28:$Z$43,"industrie",U28:U43)</f>
        <v>0</v>
      </c>
      <c r="V45" s="576">
        <f>SUMIF($Z$28:$Z$43,"industrie",V28:V43)</f>
        <v>0</v>
      </c>
      <c r="W45" s="576">
        <f>SUMIF($Z$28:$Z$43,"industrie",W28:W43)</f>
        <v>0</v>
      </c>
      <c r="X45" s="577"/>
      <c r="Y45" s="577"/>
      <c r="Z45" s="578"/>
    </row>
    <row r="46" spans="1:26" s="556" customFormat="1">
      <c r="A46" s="574" t="s">
        <v>276</v>
      </c>
      <c r="B46" s="575"/>
      <c r="C46" s="575"/>
      <c r="D46" s="575"/>
      <c r="E46" s="575"/>
      <c r="F46" s="575"/>
      <c r="G46" s="575"/>
      <c r="H46" s="575"/>
      <c r="I46" s="575"/>
      <c r="J46" s="575"/>
      <c r="K46" s="575"/>
      <c r="L46" s="576"/>
      <c r="M46" s="576">
        <f ca="1">SUMIF($Z$28:AC43,"tertiair",M28:M43)</f>
        <v>2000</v>
      </c>
      <c r="N46" s="576">
        <f ca="1">SUMIF($Z$28:AD43,"tertiair",N28:N43)</f>
        <v>9000</v>
      </c>
      <c r="O46" s="576">
        <f ca="1">SUMIF($Z$28:AE43,"tertiair",O28:O43)</f>
        <v>12857.142857142857</v>
      </c>
      <c r="P46" s="576">
        <f ca="1">SUMIF($Z$28:AF43,"tertiair",P28:P43)</f>
        <v>25714.285714285717</v>
      </c>
      <c r="Q46" s="576">
        <f ca="1">SUMIF($Z$28:AG43,"tertiair",Q28:Q43)</f>
        <v>0</v>
      </c>
      <c r="R46" s="576">
        <f ca="1">SUMIF($Z$28:AH43,"tertiair",R28:R43)</f>
        <v>0</v>
      </c>
      <c r="S46" s="576">
        <f ca="1">SUMIF($Z$28:AI43,"tertiair",S28:S43)</f>
        <v>0</v>
      </c>
      <c r="T46" s="576">
        <f ca="1">SUMIF($Z$28:AJ43,"tertiair",T28:T43)</f>
        <v>0</v>
      </c>
      <c r="U46" s="576">
        <f ca="1">SUMIF($Z$28:AK43,"tertiair",U28:U43)</f>
        <v>0</v>
      </c>
      <c r="V46" s="576">
        <f ca="1">SUMIF($Z$28:AL43,"tertiair",V28:V43)</f>
        <v>0</v>
      </c>
      <c r="W46" s="576">
        <f ca="1">SUMIF($Z$28:AM43,"tertiair",W28:W43)</f>
        <v>0</v>
      </c>
      <c r="X46" s="577"/>
      <c r="Y46" s="577"/>
      <c r="Z46" s="578"/>
    </row>
    <row r="47" spans="1:26" s="556" customFormat="1" ht="15.75" thickBot="1">
      <c r="A47" s="579" t="s">
        <v>277</v>
      </c>
      <c r="B47" s="580"/>
      <c r="C47" s="580"/>
      <c r="D47" s="580"/>
      <c r="E47" s="580"/>
      <c r="F47" s="580"/>
      <c r="G47" s="580"/>
      <c r="H47" s="580"/>
      <c r="I47" s="580"/>
      <c r="J47" s="580"/>
      <c r="K47" s="580"/>
      <c r="L47" s="581"/>
      <c r="M47" s="581">
        <f>SUMIF($Z$28:$Z$43,"landbouw",M28:M43)</f>
        <v>22245.1</v>
      </c>
      <c r="N47" s="581">
        <f>SUMIF($Z$28:$Z$43,"landbouw",N28:N43)</f>
        <v>100102.95000000001</v>
      </c>
      <c r="O47" s="581">
        <f>SUMIF($Z$28:$Z$43,"landbouw",O28:O43)</f>
        <v>141867.64285714287</v>
      </c>
      <c r="P47" s="581">
        <f>SUMIF($Z$28:$Z$43,"landbouw",P28:P43)</f>
        <v>274937.14285714284</v>
      </c>
      <c r="Q47" s="581">
        <f>SUMIF($Z$28:$Z$43,"landbouw",Q28:Q43)</f>
        <v>374.14285714285711</v>
      </c>
      <c r="R47" s="581">
        <f>SUMIF($Z$28:$Z$43,"landbouw",R28:R43)</f>
        <v>0</v>
      </c>
      <c r="S47" s="581">
        <f>SUMIF($Z$28:$Z$43,"landbouw",S28:S43)</f>
        <v>2340</v>
      </c>
      <c r="T47" s="581">
        <f>SUMIF($Z$28:$Z$43,"landbouw",T28:T43)</f>
        <v>7020</v>
      </c>
      <c r="U47" s="581">
        <f>SUMIF($Z$28:$Z$43,"landbouw",U28:U43)</f>
        <v>0</v>
      </c>
      <c r="V47" s="581">
        <f>SUMIF($Z$28:$Z$43,"landbouw",V28:V43)</f>
        <v>0</v>
      </c>
      <c r="W47" s="581">
        <f>SUMIF($Z$28:$Z$43,"landbouw",W28:W43)</f>
        <v>0</v>
      </c>
      <c r="X47" s="582"/>
      <c r="Y47" s="582"/>
      <c r="Z47" s="583"/>
    </row>
    <row r="48" spans="1:26" s="525" customFormat="1" ht="15.75" thickBot="1">
      <c r="A48" s="584"/>
      <c r="B48" s="585"/>
      <c r="C48" s="585"/>
      <c r="D48" s="585"/>
      <c r="E48" s="585"/>
      <c r="F48" s="585"/>
      <c r="G48" s="585"/>
      <c r="H48" s="585"/>
      <c r="I48" s="585"/>
      <c r="J48" s="585"/>
      <c r="K48" s="585"/>
      <c r="L48" s="568"/>
      <c r="M48" s="568"/>
      <c r="N48" s="568"/>
      <c r="O48" s="569"/>
      <c r="P48" s="569"/>
    </row>
    <row r="49" spans="1:27" s="525" customFormat="1" ht="45">
      <c r="A49" s="586" t="s">
        <v>269</v>
      </c>
      <c r="B49" s="615" t="s">
        <v>89</v>
      </c>
      <c r="C49" s="615" t="s">
        <v>90</v>
      </c>
      <c r="D49" s="615"/>
      <c r="E49" s="615"/>
      <c r="F49" s="615"/>
      <c r="G49" s="615" t="s">
        <v>91</v>
      </c>
      <c r="H49" s="615" t="s">
        <v>92</v>
      </c>
      <c r="I49" s="615"/>
      <c r="J49" s="615"/>
      <c r="K49" s="615"/>
      <c r="L49" s="615" t="s">
        <v>93</v>
      </c>
      <c r="M49" s="616" t="s">
        <v>286</v>
      </c>
      <c r="N49" s="616" t="s">
        <v>94</v>
      </c>
      <c r="O49" s="616" t="s">
        <v>95</v>
      </c>
      <c r="P49" s="616" t="s">
        <v>520</v>
      </c>
      <c r="Q49" s="616" t="s">
        <v>96</v>
      </c>
      <c r="R49" s="616" t="s">
        <v>97</v>
      </c>
      <c r="S49" s="616" t="s">
        <v>98</v>
      </c>
      <c r="T49" s="616" t="s">
        <v>99</v>
      </c>
      <c r="U49" s="616" t="s">
        <v>100</v>
      </c>
      <c r="V49" s="616" t="s">
        <v>101</v>
      </c>
      <c r="W49" s="615" t="s">
        <v>102</v>
      </c>
      <c r="X49" s="615" t="s">
        <v>287</v>
      </c>
      <c r="Y49" s="615" t="s">
        <v>103</v>
      </c>
      <c r="Z49" s="617" t="s">
        <v>288</v>
      </c>
    </row>
    <row r="50" spans="1:27" s="587" customFormat="1" ht="63.75" hidden="1">
      <c r="A50" s="573"/>
      <c r="B50" s="762">
        <v>13014</v>
      </c>
      <c r="C50" s="762">
        <v>2320</v>
      </c>
      <c r="D50" s="621"/>
      <c r="E50" s="621"/>
      <c r="F50" s="621"/>
      <c r="G50" s="621" t="s">
        <v>901</v>
      </c>
      <c r="H50" s="621" t="s">
        <v>902</v>
      </c>
      <c r="I50" s="621"/>
      <c r="J50" s="761"/>
      <c r="K50" s="761"/>
      <c r="L50" s="621" t="s">
        <v>903</v>
      </c>
      <c r="M50" s="621">
        <v>298</v>
      </c>
      <c r="N50" s="621">
        <v>1341</v>
      </c>
      <c r="O50" s="621">
        <v>0</v>
      </c>
      <c r="P50" s="621">
        <v>0</v>
      </c>
      <c r="Q50" s="621">
        <v>3831.4285714285716</v>
      </c>
      <c r="R50" s="621">
        <v>0</v>
      </c>
      <c r="S50" s="621">
        <v>0</v>
      </c>
      <c r="T50" s="621">
        <v>0</v>
      </c>
      <c r="U50" s="621">
        <v>0</v>
      </c>
      <c r="V50" s="621">
        <v>0</v>
      </c>
      <c r="W50" s="621">
        <v>0</v>
      </c>
      <c r="X50" s="621">
        <v>1600</v>
      </c>
      <c r="Y50" s="621" t="s">
        <v>49</v>
      </c>
      <c r="Z50" s="622" t="s">
        <v>149</v>
      </c>
    </row>
    <row r="51" spans="1:27" s="556" customFormat="1" hidden="1">
      <c r="A51" s="574" t="s">
        <v>268</v>
      </c>
      <c r="B51" s="575"/>
      <c r="C51" s="575"/>
      <c r="D51" s="575"/>
      <c r="E51" s="575"/>
      <c r="F51" s="575"/>
      <c r="G51" s="575"/>
      <c r="H51" s="575"/>
      <c r="I51" s="575"/>
      <c r="J51" s="575"/>
      <c r="K51" s="575"/>
      <c r="L51" s="576"/>
      <c r="M51" s="576">
        <f>SUM(M50:M50)</f>
        <v>298</v>
      </c>
      <c r="N51" s="576">
        <f>SUM(N50:N50)</f>
        <v>1341</v>
      </c>
      <c r="O51" s="576">
        <f>SUM(O50:O50)</f>
        <v>0</v>
      </c>
      <c r="P51" s="576">
        <f>SUM(P50:P50)</f>
        <v>0</v>
      </c>
      <c r="Q51" s="576">
        <f>SUM(Q50:Q50)</f>
        <v>3831.4285714285716</v>
      </c>
      <c r="R51" s="576">
        <f>SUM(R50:R50)</f>
        <v>0</v>
      </c>
      <c r="S51" s="576">
        <f>SUM(S50:S50)</f>
        <v>0</v>
      </c>
      <c r="T51" s="576">
        <f>SUM(T50:T50)</f>
        <v>0</v>
      </c>
      <c r="U51" s="576">
        <f>SUM(U50:U50)</f>
        <v>0</v>
      </c>
      <c r="V51" s="576">
        <f>SUM(V50:V50)</f>
        <v>0</v>
      </c>
      <c r="W51" s="576">
        <f>SUM(W50:W50)</f>
        <v>0</v>
      </c>
      <c r="X51" s="577"/>
      <c r="Y51" s="577"/>
      <c r="Z51" s="578"/>
    </row>
    <row r="52" spans="1:27" s="556" customFormat="1">
      <c r="A52" s="574" t="s">
        <v>275</v>
      </c>
      <c r="B52" s="575"/>
      <c r="C52" s="575"/>
      <c r="D52" s="575"/>
      <c r="E52" s="575"/>
      <c r="F52" s="575"/>
      <c r="G52" s="575"/>
      <c r="H52" s="575"/>
      <c r="I52" s="575"/>
      <c r="J52" s="575"/>
      <c r="K52" s="575"/>
      <c r="L52" s="576"/>
      <c r="M52" s="576">
        <f>SUMIF($Z$50:$Z$50,"industrie",M50:M50)</f>
        <v>0</v>
      </c>
      <c r="N52" s="576">
        <f>SUMIF($Z$50:$Z$50,"industrie",N50:N50)</f>
        <v>0</v>
      </c>
      <c r="O52" s="576">
        <f>SUMIF($Z$50:$Z$50,"industrie",O50:O50)</f>
        <v>0</v>
      </c>
      <c r="P52" s="576">
        <f>SUMIF($Z$50:$Z$50,"industrie",P50:P50)</f>
        <v>0</v>
      </c>
      <c r="Q52" s="576">
        <f>SUMIF($Z$50:$Z$50,"industrie",Q50:Q50)</f>
        <v>0</v>
      </c>
      <c r="R52" s="576">
        <f>SUMIF($Z$50:$Z$50,"industrie",R50:R50)</f>
        <v>0</v>
      </c>
      <c r="S52" s="576">
        <f>SUMIF($Z$50:$Z$50,"industrie",S50:S50)</f>
        <v>0</v>
      </c>
      <c r="T52" s="576">
        <f>SUMIF($Z$50:$Z$50,"industrie",T50:T50)</f>
        <v>0</v>
      </c>
      <c r="U52" s="576">
        <f>SUMIF($Z$50:$Z$50,"industrie",U50:U50)</f>
        <v>0</v>
      </c>
      <c r="V52" s="576">
        <f>SUMIF($Z$50:$Z$50,"industrie",V50:V50)</f>
        <v>0</v>
      </c>
      <c r="W52" s="576">
        <f>SUMIF($Z$50:$Z$50,"industrie",W50:W50)</f>
        <v>0</v>
      </c>
      <c r="X52" s="577"/>
      <c r="Y52" s="577"/>
      <c r="Z52" s="578"/>
    </row>
    <row r="53" spans="1:27" s="556" customFormat="1">
      <c r="A53" s="574" t="s">
        <v>276</v>
      </c>
      <c r="B53" s="575"/>
      <c r="C53" s="575"/>
      <c r="D53" s="575"/>
      <c r="E53" s="575"/>
      <c r="F53" s="575"/>
      <c r="G53" s="575"/>
      <c r="H53" s="575"/>
      <c r="I53" s="575"/>
      <c r="J53" s="575"/>
      <c r="K53" s="575"/>
      <c r="L53" s="576"/>
      <c r="M53" s="576">
        <f>SUMIF($Z$50:$Z$51,"tertiair",M50:M51)</f>
        <v>298</v>
      </c>
      <c r="N53" s="576">
        <f>SUMIF($Z$50:$Z$51,"tertiair",N50:N51)</f>
        <v>1341</v>
      </c>
      <c r="O53" s="576">
        <f>SUMIF($Z$50:$Z$51,"tertiair",O50:O51)</f>
        <v>0</v>
      </c>
      <c r="P53" s="576">
        <f>SUMIF($Z$50:$Z$51,"tertiair",P50:P51)</f>
        <v>0</v>
      </c>
      <c r="Q53" s="576">
        <f>SUMIF($Z$50:$Z$51,"tertiair",Q50:Q51)</f>
        <v>3831.4285714285716</v>
      </c>
      <c r="R53" s="576">
        <f>SUMIF($Z$50:$Z$51,"tertiair",R50:R51)</f>
        <v>0</v>
      </c>
      <c r="S53" s="576">
        <f>SUMIF($Z$50:$Z$51,"tertiair",S50:S51)</f>
        <v>0</v>
      </c>
      <c r="T53" s="576">
        <f>SUMIF($Z$50:$Z$51,"tertiair",T50:T51)</f>
        <v>0</v>
      </c>
      <c r="U53" s="576">
        <f>SUMIF($Z$50:$Z$51,"tertiair",U50:U51)</f>
        <v>0</v>
      </c>
      <c r="V53" s="576">
        <f>SUMIF($Z$50:$Z$51,"tertiair",V50:V51)</f>
        <v>0</v>
      </c>
      <c r="W53" s="576">
        <f>SUMIF($Z$50:$Z$51,"tertiair",W50:W51)</f>
        <v>0</v>
      </c>
      <c r="X53" s="577"/>
      <c r="Y53" s="577"/>
      <c r="Z53" s="578"/>
    </row>
    <row r="54" spans="1:27" s="556" customFormat="1" ht="15.75" thickBot="1">
      <c r="A54" s="579" t="s">
        <v>277</v>
      </c>
      <c r="B54" s="580"/>
      <c r="C54" s="580"/>
      <c r="D54" s="580"/>
      <c r="E54" s="580"/>
      <c r="F54" s="580"/>
      <c r="G54" s="580"/>
      <c r="H54" s="580"/>
      <c r="I54" s="580"/>
      <c r="J54" s="580"/>
      <c r="K54" s="580"/>
      <c r="L54" s="581"/>
      <c r="M54" s="581">
        <f>SUMIF($Z$50:$Z$52,"landbouw",M50:M52)</f>
        <v>0</v>
      </c>
      <c r="N54" s="581">
        <f>SUMIF($Z$50:$Z$52,"landbouw",N50:N52)</f>
        <v>0</v>
      </c>
      <c r="O54" s="581">
        <f>SUMIF($Z$50:$Z$52,"landbouw",O50:O52)</f>
        <v>0</v>
      </c>
      <c r="P54" s="581">
        <f>SUMIF($Z$50:$Z$52,"landbouw",P50:P52)</f>
        <v>0</v>
      </c>
      <c r="Q54" s="581">
        <f>SUMIF($Z$50:$Z$52,"landbouw",Q50:Q52)</f>
        <v>0</v>
      </c>
      <c r="R54" s="581">
        <f>SUMIF($Z$50:$Z$52,"landbouw",R50:R52)</f>
        <v>0</v>
      </c>
      <c r="S54" s="581">
        <f>SUMIF($Z$50:$Z$52,"landbouw",S50:S52)</f>
        <v>0</v>
      </c>
      <c r="T54" s="581">
        <f>SUMIF($Z$50:$Z$52,"landbouw",T50:T52)</f>
        <v>0</v>
      </c>
      <c r="U54" s="581">
        <f>SUMIF($Z$50:$Z$52,"landbouw",U50:U52)</f>
        <v>0</v>
      </c>
      <c r="V54" s="581">
        <f>SUMIF($Z$50:$Z$52,"landbouw",V50:V52)</f>
        <v>0</v>
      </c>
      <c r="W54" s="581">
        <f>SUMIF($Z$50:$Z$52,"landbouw",W50:W52)</f>
        <v>0</v>
      </c>
      <c r="X54" s="582"/>
      <c r="Y54" s="582"/>
      <c r="Z54" s="583"/>
    </row>
    <row r="55" spans="1:27" s="588" customFormat="1">
      <c r="A55" s="584"/>
      <c r="B55" s="568"/>
      <c r="C55" s="568"/>
      <c r="D55" s="568"/>
      <c r="E55" s="568"/>
      <c r="F55" s="568"/>
      <c r="G55" s="568"/>
      <c r="H55" s="568"/>
      <c r="I55" s="568"/>
      <c r="J55" s="568"/>
      <c r="K55" s="568"/>
      <c r="L55" s="568"/>
      <c r="M55" s="568"/>
      <c r="N55" s="568"/>
      <c r="O55" s="568"/>
      <c r="P55" s="568"/>
      <c r="Q55" s="568"/>
      <c r="R55" s="568"/>
      <c r="S55" s="568"/>
      <c r="T55" s="568"/>
      <c r="U55" s="568"/>
      <c r="V55" s="568"/>
      <c r="W55" s="568"/>
      <c r="X55" s="568"/>
      <c r="Y55" s="568"/>
    </row>
    <row r="56" spans="1:27" s="588" customFormat="1" ht="15.75" thickBot="1">
      <c r="A56" s="584"/>
      <c r="B56" s="568"/>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row>
    <row r="57" spans="1:27">
      <c r="A57" s="589" t="s">
        <v>270</v>
      </c>
      <c r="B57" s="590"/>
      <c r="C57" s="590"/>
      <c r="D57" s="590"/>
      <c r="E57" s="590"/>
      <c r="F57" s="590"/>
      <c r="G57" s="590"/>
      <c r="H57" s="590"/>
      <c r="I57" s="591"/>
      <c r="J57" s="592"/>
      <c r="K57" s="592"/>
      <c r="L57" s="593"/>
      <c r="M57" s="593"/>
      <c r="N57" s="593"/>
      <c r="O57" s="593"/>
      <c r="P57" s="593"/>
    </row>
    <row r="58" spans="1:27">
      <c r="A58" s="595"/>
      <c r="B58" s="585"/>
      <c r="C58" s="585"/>
      <c r="D58" s="585"/>
      <c r="E58" s="585"/>
      <c r="F58" s="585"/>
      <c r="G58" s="585"/>
      <c r="H58" s="585"/>
      <c r="I58" s="596"/>
      <c r="J58" s="585"/>
      <c r="K58" s="585"/>
      <c r="L58" s="593"/>
      <c r="M58" s="593"/>
      <c r="N58" s="593"/>
      <c r="O58" s="593"/>
      <c r="P58" s="593"/>
    </row>
    <row r="59" spans="1:27">
      <c r="A59" s="597"/>
      <c r="B59" s="598" t="s">
        <v>271</v>
      </c>
      <c r="C59" s="598" t="s">
        <v>272</v>
      </c>
      <c r="D59" s="598"/>
      <c r="E59" s="598"/>
      <c r="F59" s="598"/>
      <c r="G59" s="598"/>
      <c r="H59" s="598"/>
      <c r="I59" s="599"/>
      <c r="J59" s="598"/>
      <c r="K59" s="598"/>
      <c r="L59" s="598"/>
      <c r="M59" s="598"/>
      <c r="N59" s="598"/>
      <c r="O59" s="598"/>
      <c r="P59" s="593"/>
    </row>
    <row r="60" spans="1:27">
      <c r="A60" s="595" t="s">
        <v>268</v>
      </c>
      <c r="B60" s="600">
        <f>IF(ISERROR(O44/(O44+N44)),0,O44/(O44+N44))</f>
        <v>0.58647032882418637</v>
      </c>
      <c r="C60" s="601">
        <f>IF(ISERROR(N44/(O44+N44)),0,N44/(N44+O44))</f>
        <v>0.41352967117581357</v>
      </c>
      <c r="D60" s="568"/>
      <c r="E60" s="568"/>
      <c r="F60" s="568"/>
      <c r="G60" s="568"/>
      <c r="H60" s="568"/>
      <c r="I60" s="602"/>
      <c r="J60" s="568"/>
      <c r="K60" s="568"/>
      <c r="L60" s="603"/>
      <c r="M60" s="603"/>
      <c r="N60" s="603"/>
      <c r="O60" s="603"/>
      <c r="P60" s="593"/>
    </row>
    <row r="61" spans="1:27">
      <c r="A61" s="595"/>
      <c r="B61" s="604"/>
      <c r="C61" s="604"/>
      <c r="D61" s="604"/>
      <c r="E61" s="604"/>
      <c r="F61" s="604"/>
      <c r="G61" s="604"/>
      <c r="H61" s="604"/>
      <c r="I61" s="605"/>
      <c r="J61" s="604"/>
      <c r="K61" s="604"/>
      <c r="L61" s="606"/>
      <c r="M61" s="606"/>
      <c r="N61" s="606"/>
      <c r="O61" s="606"/>
      <c r="P61" s="593"/>
    </row>
    <row r="62" spans="1:27" ht="30">
      <c r="A62" s="607"/>
      <c r="B62" s="608" t="s">
        <v>520</v>
      </c>
      <c r="C62" s="608" t="s">
        <v>96</v>
      </c>
      <c r="D62" s="608" t="s">
        <v>97</v>
      </c>
      <c r="E62" s="608" t="s">
        <v>98</v>
      </c>
      <c r="F62" s="608" t="s">
        <v>99</v>
      </c>
      <c r="G62" s="608" t="s">
        <v>100</v>
      </c>
      <c r="H62" s="608" t="s">
        <v>101</v>
      </c>
      <c r="I62" s="609" t="s">
        <v>102</v>
      </c>
      <c r="J62" s="598"/>
      <c r="K62" s="598"/>
      <c r="L62" s="606"/>
      <c r="M62" s="606"/>
      <c r="N62" s="606"/>
      <c r="O62" s="593"/>
      <c r="P62" s="593"/>
    </row>
    <row r="63" spans="1:27">
      <c r="A63" s="597" t="s">
        <v>273</v>
      </c>
      <c r="B63" s="610">
        <f t="shared" ref="B63:I63" si="2">$C$60*P44</f>
        <v>124976.93722275438</v>
      </c>
      <c r="C63" s="610">
        <f t="shared" si="2"/>
        <v>154.71917268706508</v>
      </c>
      <c r="D63" s="610">
        <f t="shared" si="2"/>
        <v>0</v>
      </c>
      <c r="E63" s="610">
        <f t="shared" si="2"/>
        <v>967.65943055140372</v>
      </c>
      <c r="F63" s="610">
        <f t="shared" si="2"/>
        <v>2902.9782916542113</v>
      </c>
      <c r="G63" s="610">
        <f t="shared" si="2"/>
        <v>0</v>
      </c>
      <c r="H63" s="610">
        <f t="shared" si="2"/>
        <v>0</v>
      </c>
      <c r="I63" s="611">
        <f t="shared" si="2"/>
        <v>0</v>
      </c>
      <c r="J63" s="568"/>
      <c r="K63" s="568"/>
      <c r="L63" s="606"/>
      <c r="M63" s="606"/>
      <c r="N63" s="606"/>
      <c r="O63" s="593"/>
      <c r="P63" s="593"/>
    </row>
    <row r="64" spans="1:27" ht="15.75" thickBot="1">
      <c r="A64" s="612" t="s">
        <v>274</v>
      </c>
      <c r="B64" s="613">
        <f t="shared" ref="B64:I64" si="3">$B$60*P44</f>
        <v>177243.06277724559</v>
      </c>
      <c r="C64" s="613">
        <f t="shared" si="3"/>
        <v>219.423684455792</v>
      </c>
      <c r="D64" s="613">
        <f t="shared" si="3"/>
        <v>0</v>
      </c>
      <c r="E64" s="613">
        <f t="shared" si="3"/>
        <v>1372.3405694485962</v>
      </c>
      <c r="F64" s="613">
        <f t="shared" si="3"/>
        <v>4117.0217083457883</v>
      </c>
      <c r="G64" s="613">
        <f t="shared" si="3"/>
        <v>0</v>
      </c>
      <c r="H64" s="613">
        <f t="shared" si="3"/>
        <v>0</v>
      </c>
      <c r="I64" s="614">
        <f t="shared" si="3"/>
        <v>0</v>
      </c>
      <c r="J64" s="568"/>
      <c r="K64" s="568"/>
      <c r="L64" s="606"/>
      <c r="M64" s="606"/>
      <c r="N64" s="606"/>
      <c r="O64" s="593"/>
      <c r="P64" s="593"/>
    </row>
    <row r="65" spans="10:14">
      <c r="J65" s="554"/>
      <c r="K65" s="554"/>
      <c r="L65" s="554"/>
      <c r="M65" s="554"/>
      <c r="N65" s="554"/>
    </row>
    <row r="66" spans="10:14">
      <c r="J66" s="554"/>
      <c r="K66" s="554"/>
      <c r="L66" s="554"/>
      <c r="M66" s="554"/>
      <c r="N66"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2021-11-11T12:45:57Z</dcterms:modified>
</cp:coreProperties>
</file>