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383AF0D4-7D0D-4D38-895C-4FD543F9070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<sst xmlns="http://schemas.openxmlformats.org/spreadsheetml/2006/main" count="2464" uniqueCount="896">
  <si>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</si>
  <si>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</si>
  <si>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</si>
  <si>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</si>
  <si>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</si>
  <si>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</si>
  <si>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</si>
  <si>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</si>
  <si>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</si>
  <si>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</si>
  <si>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</si>
  <si>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</si>
  <si>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</si>
  <si>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</si>
  <si>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</si>
  <si>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</si>
  <si>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</si>
  <si>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</si>
  <si>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</si>
  <si>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</si>
  <si>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</si>
  <si>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</si>
  <si>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</si>
  <si>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</si>
  <si>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</si>
  <si>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</si>
  <si>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</si>
  <si>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</si>
  <si>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</si>
  <si>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</si>
  <si>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</si>
  <si>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</si>
  <si>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</si>
  <si>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</si>
  <si>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</si>
  <si>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</si>
  <si>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</si>
  <si>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</si>
  <si>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</si>
  <si>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</si>
  <si>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</si>
  <si>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</si>
  <si>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</si>
  <si>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</si>
  <si>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</si>
  <si>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</si>
  <si>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</si>
  <si>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</si>
  <si>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</si>
  <si>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</si>
  <si>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</si>
  <si>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</si>
  <si>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</si>
  <si>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</si>
  <si>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</si>
  <si>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</si>
  <si>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</si>
  <si>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</si>
  <si>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</si>
  <si>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</si>
  <si>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</si>
  <si>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</si>
  <si>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</si>
  <si>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</si>
  <si>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</si>
  <si>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</si>
  <si>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</si>
  <si>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</si>
  <si>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</si>
  <si>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</si>
  <si>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</si>
  <si>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</si>
  <si>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</si>
  <si>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</si>
  <si>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</si>
  <si>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</si>
  <si>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</si>
  <si>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</si>
  <si>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</si>
  <si>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</si>
  <si>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</si>
  <si>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</si>
  <si>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</si>
  <si>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</si>
  <si>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</si>
  <si>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</si>
  <si>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</si>
  <si>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</si>
  <si>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</si>
  <si>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</si>
  <si>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</si>
  <si>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</si>
  <si>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</si>
  <si>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</si>
  <si>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</si>
  <si>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</si>
  <si>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</si>
  <si>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</si>
  <si>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</si>
  <si>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</si>
  <si>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</si>
  <si>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</si>
  <si>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</si>
  <si>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</si>
  <si>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</si>
  <si>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</si>
  <si>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</si>
  <si>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</si>
  <si>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</si>
  <si>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</si>
  <si>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</si>
  <si>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</si>
  <si>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</si>
  <si>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</si>
  <si>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</si>
  <si>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</si>
  <si>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</si>
  <si>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</si>
  <si>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</si>
  <si>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</si>
  <si>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</si>
  <si>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</si>
  <si>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</si>
  <si>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</si>
  <si>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</si>
  <si>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</si>
  <si>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</si>
  <si>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</si>
  <si>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</si>
  <si>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</si>
  <si>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</si>
  <si>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</si>
  <si>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</si>
  <si>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</si>
  <si>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</si>
  <si>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</si>
  <si>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</si>
  <si>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</si>
  <si>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</si>
  <si>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</si>
  <si>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</si>
  <si>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</si>
  <si>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</si>
  <si>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</si>
  <si>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</si>
  <si>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</si>
  <si>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</si>
  <si>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</si>
  <si>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</si>
  <si>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</si>
  <si>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</si>
  <si>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</si>
  <si>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</si>
  <si>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</si>
  <si>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</si>
  <si>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</si>
  <si>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</si>
  <si>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</si>
  <si>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</si>
  <si>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</si>
  <si>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</si>
  <si>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</si>
  <si>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</si>
  <si>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</si>
  <si>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</si>
  <si>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</si>
  <si>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</si>
  <si>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</si>
  <si>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</si>
  <si>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</si>
  <si>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</si>
  <si>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</si>
  <si>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</si>
  <si>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</si>
  <si>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</si>
  <si>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</si>
  <si>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</si>
  <si>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</si>
  <si>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</si>
  <si>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</si>
  <si>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</si>
  <si>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</si>
  <si>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</si>
  <si>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</si>
  <si>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</si>
  <si>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</si>
  <si>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</si>
  <si>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</si>
  <si>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</si>
  <si>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</si>
  <si>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</si>
  <si>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</si>
  <si>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</si>
  <si>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</si>
  <si>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</si>
  <si>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</si>
  <si>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</si>
  <si>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</si>
  <si>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</si>
  <si>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</si>
  <si>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</si>
  <si>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</si>
  <si>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</si>
  <si>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</si>
  <si>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</si>
  <si>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</si>
  <si>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</si>
  <si>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</si>
  <si>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</si>
  <si>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</si>
  <si>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</si>
  <si>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</si>
  <si>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</si>
  <si>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</si>
  <si>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</si>
  <si>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</si>
  <si>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</si>
  <si>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</si>
  <si>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</si>
  <si>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</si>
  <si>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</si>
  <si>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</si>
  <si>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</si>
  <si>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</si>
  <si>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</si>
  <si>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</si>
  <si>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</si>
  <si>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</si>
  <si>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</si>
  <si>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</si>
  <si>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</si>
  <si>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</si>
  <si>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</si>
  <si>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</si>
  <si>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</si>
  <si>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</si>
  <si>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</si>
  <si>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</si>
  <si>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</si>
  <si>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</si>
  <si>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</si>
  <si>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</si>
  <si>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</si>
  <si>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</si>
  <si>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</si>
  <si>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</si>
  <si>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</si>
  <si>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</si>
  <si>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</si>
  <si>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</si>
  <si>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</si>
  <si>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</si>
  <si>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</si>
  <si>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</si>
  <si>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</si>
  <si>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</si>
  <si>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</si>
  <si>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</si>
  <si>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</si>
  <si>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</si>
  <si>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</si>
  <si>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</si>
  <si>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</si>
  <si>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</si>
  <si>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</si>
  <si>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</si>
  <si>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</si>
  <si>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</si>
  <si>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</si>
  <si>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</si>
  <si>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</si>
  <si>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</si>
  <si>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</si>
  <si>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</si>
  <si>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</si>
  <si>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</si>
  <si>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</si>
  <si>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</si>
  <si>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</si>
  <si>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</si>
  <si>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</si>
  <si>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</si>
  <si>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</si>
  <si>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</si>
  <si>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</si>
  <si>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</si>
  <si>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</si>
  <si>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</si>
  <si>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</si>
  <si>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</si>
  <si>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</si>
  <si>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</si>
  <si>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</si>
  <si>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</si>
  <si>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</si>
  <si>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</si>
  <si>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</si>
  <si>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</si>
  <si>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</si>
  <si>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</si>
  <si>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</si>
  <si>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</si>
  <si>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</si>
  <si>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</si>
  <si>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</si>
  <si>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</si>
  <si>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</si>
  <si>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</si>
  <si>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</si>
  <si>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</si>
  <si>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</si>
  <si>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</si>
  <si>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</si>
  <si>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</si>
  <si>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</si>
  <si>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</si>
  <si>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</si>
  <si>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</si>
  <si>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</si>
  <si>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</si>
  <si>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</si>
  <si>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</si>
  <si>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</si>
  <si>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</si>
  <si>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</si>
  <si>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</si>
  <si>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</si>
  <si>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</si>
  <si>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</si>
  <si>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</si>
  <si>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</si>
  <si>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</si>
  <si>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</si>
  <si>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</si>
  <si>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</si>
  <si>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</si>
  <si>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</si>
  <si>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</si>
  <si>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</si>
  <si>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</si>
  <si>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</si>
  <si>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</si>
  <si>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</si>
  <si>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</si>
  <si>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</si>
  <si>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</si>
  <si>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</si>
  <si>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</si>
  <si>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</si>
  <si>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</si>
  <si>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</si>
  <si>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</si>
  <si>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</si>
  <si>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</si>
  <si>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</si>
  <si>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</si>
  <si>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</si>
  <si>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</si>
  <si>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</si>
  <si>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</si>
  <si>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</si>
  <si>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</si>
  <si>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</si>
  <si>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</si>
  <si>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</si>
  <si>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</si>
  <si>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</si>
  <si>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</si>
  <si>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</si>
  <si>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</si>
  <si>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</si>
  <si>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</si>
  <si>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</si>
  <si>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</si>
  <si>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</si>
  <si>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</si>
  <si>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</si>
  <si>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</si>
  <si>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</si>
  <si>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</si>
  <si>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</si>
  <si>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</si>
  <si>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</si>
  <si>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</si>
  <si>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</si>
  <si>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</si>
  <si>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</si>
  <si>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</si>
  <si>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</si>
  <si>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</si>
  <si>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</si>
  <si>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</si>
  <si>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</si>
  <si>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</si>
  <si>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</si>
  <si>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</si>
  <si>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</si>
  <si>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</si>
  <si>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</si>
  <si>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</si>
  <si>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</si>
  <si>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</si>
  <si>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</si>
  <si>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</si>
  <si>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</si>
  <si>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</si>
  <si>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</si>
  <si>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</si>
  <si>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</si>
  <si>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</si>
  <si>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</si>
  <si>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</si>
  <si>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</si>
  <si>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</si>
  <si>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</si>
  <si>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</si>
  <si>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</si>
  <si>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</si>
  <si>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</si>
  <si>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</si>
  <si>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</si>
  <si>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</si>
  <si>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</si>
  <si>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</si>
  <si>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</si>
  <si>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</si>
  <si>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</si>
  <si>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</si>
  <si>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</si>
  <si>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</si>
  <si>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</si>
  <si>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</si>
  <si>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</si>
  <si>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</si>
  <si>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</si>
  <si>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</si>
  <si>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</si>
  <si>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</si>
  <si>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</si>
  <si>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</si>
  <si>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</si>
  <si>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</si>
  <si>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</si>
  <si>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</si>
  <si>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</si>
  <si>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</si>
  <si>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</si>
  <si>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</si>
  <si>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</si>
  <si>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</si>
  <si>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</si>
  <si>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</si>
  <si>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</si>
  <si>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</si>
  <si>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</si>
  <si>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</si>
  <si>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</si>
  <si>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</si>
  <si>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</si>
  <si>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</si>
  <si>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</si>
  <si>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</si>
  <si>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</si>
  <si>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</si>
  <si>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</si>
  <si>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</si>
  <si>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</si>
  <si>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</si>
  <si>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</si>
  <si>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</si>
  <si>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</si>
  <si>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</si>
  <si>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</si>
  <si>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</si>
  <si>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</si>
  <si>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</si>
  <si>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</si>
  <si>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</si>
  <si>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</si>
  <si>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</si>
  <si>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</si>
  <si>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</si>
  <si>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</si>
  <si>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</si>
  <si>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</si>
  <si>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</si>
  <si>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</si>
  <si>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</si>
  <si>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</si>
  <si>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</si>
  <si>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</si>
  <si>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</si>
  <si>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</si>
  <si>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</si>
  <si>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</si>
  <si>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</si>
  <si>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</si>
  <si>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</si>
  <si>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</si>
  <si>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</si>
  <si>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</si>
  <si>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</si>
  <si>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</si>
  <si>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</si>
  <si>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</si>
  <si>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</si>
  <si>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</si>
  <si>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</si>
  <si>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</si>
  <si>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</si>
  <si>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</si>
  <si>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</si>
  <si>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</si>
  <si>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</si>
  <si>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</si>
  <si>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</si>
  <si>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</si>
  <si>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</si>
  <si>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</si>
  <si>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</si>
  <si>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</si>
  <si>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</si>
  <si>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</si>
  <si>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</si>
  <si>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</si>
  <si>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</si>
  <si>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</si>
  <si>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</si>
  <si>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</si>
  <si>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</si>
  <si>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</si>
  <si>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</si>
  <si>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</si>
  <si>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</si>
  <si>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</si>
  <si>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</si>
  <si>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</si>
  <si>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</si>
  <si>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</si>
  <si>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</si>
  <si>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</si>
  <si>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</si>
  <si>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</si>
  <si>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</si>
  <si>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</si>
  <si>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</si>
  <si>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</si>
  <si>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</si>
  <si>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</si>
  <si>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</si>
  <si>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</si>
  <si>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</si>
  <si>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</si>
  <si>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</si>
  <si>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</si>
  <si>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</si>
  <si>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</si>
  <si>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</si>
  <si>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</si>
  <si>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</si>
  <si>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</si>
  <si>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</si>
  <si>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</si>
  <si>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</si>
  <si>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</si>
  <si>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</si>
  <si>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</si>
  <si>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</si>
  <si>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</si>
  <si>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</si>
  <si>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</si>
  <si>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</si>
  <si>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</si>
  <si>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</si>
  <si>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</si>
  <si>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</si>
  <si>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</si>
  <si>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</si>
  <si>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</si>
  <si>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</si>
  <si>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</si>
  <si>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</si>
  <si>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</si>
  <si>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</si>
  <si>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</si>
  <si>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</si>
  <si>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</si>
  <si>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</si>
  <si>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</si>
  <si>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</si>
  <si>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</si>
  <si>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</si>
  <si>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</si>
  <si>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</si>
  <si>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</si>
  <si>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</si>
  <si>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</si>
  <si>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</si>
  <si>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</si>
  <si>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</si>
  <si>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</si>
  <si>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</si>
  <si>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</si>
  <si>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</si>
  <si>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</si>
  <si>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</si>
  <si>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</si>
  <si>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</si>
  <si>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</si>
  <si>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</si>
  <si>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</si>
  <si>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</si>
  <si>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</si>
  <si>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</si>
  <si>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</si>
  <si>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</si>
  <si>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</si>
  <si>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</si>
  <si>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</si>
  <si>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</si>
  <si>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</si>
  <si>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</si>
  <si>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</si>
  <si>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</si>
  <si>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</si>
  <si>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</si>
  <si>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</si>
  <si>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</si>
  <si>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</si>
  <si>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</si>
  <si>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</si>
  <si>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</si>
  <si>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</si>
  <si>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</si>
  <si>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</si>
  <si>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</si>
  <si>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</si>
  <si>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</si>
  <si>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</si>
  <si>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</si>
  <si>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</si>
  <si>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</si>
  <si>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</si>
  <si>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</si>
  <si>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</si>
  <si>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</si>
  <si>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</si>
  <si>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</si>
  <si>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</si>
  <si>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</si>
  <si>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</si>
  <si>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</si>
  <si>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</si>
  <si>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</si>
  <si>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</si>
  <si>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</si>
  <si>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</si>
  <si>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</si>
  <si>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</si>
  <si>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</si>
  <si>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</si>
  <si>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</si>
  <si>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</si>
  <si>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</si>
  <si>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</si>
  <si>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</si>
  <si>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</si>
  <si>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</si>
  <si>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</si>
  <si>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</si>
  <si>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</si>
  <si>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</si>
  <si>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</si>
  <si>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</si>
  <si>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</si>
  <si>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</si>
  <si>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</si>
  <si>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</si>
  <si>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</si>
  <si>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</si>
  <si>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</si>
  <si>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</si>
  <si>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</si>
  <si>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</si>
  <si>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</si>
  <si>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</si>
  <si>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</si>
  <si>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</si>
  <si>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</si>
  <si>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</si>
  <si>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</si>
  <si>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</si>
  <si>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</si>
  <si>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</si>
  <si>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</si>
  <si>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</si>
  <si>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</si>
  <si>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</si>
  <si>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</si>
  <si>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</si>
  <si>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</si>
  <si>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</si>
  <si>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</si>
  <si>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</si>
  <si>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</si>
  <si>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</si>
  <si>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</si>
  <si>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</si>
  <si>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</si>
  <si>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</si>
  <si>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</si>
  <si>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</si>
  <si>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</si>
  <si>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</si>
  <si>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</si>
  <si>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</si>
  <si>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</si>
  <si>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</si>
  <si>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</si>
  <si>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</si>
  <si>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</si>
  <si>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</si>
  <si>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</si>
  <si>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</si>
  <si>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</si>
  <si>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</si>
  <si>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</si>
  <si>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</si>
  <si>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</si>
  <si>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</si>
  <si>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</si>
  <si>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</si>
  <si>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</si>
  <si>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</si>
  <si>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</si>
  <si>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</si>
  <si>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</si>
  <si>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</si>
  <si>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</si>
  <si>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</si>
  <si>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</si>
  <si>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</si>
  <si>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</si>
  <si>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</si>
  <si>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</si>
  <si>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</si>
  <si>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</si>
  <si>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</si>
  <si>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</si>
  <si>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</si>
  <si>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</si>
  <si>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</si>
  <si>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</si>
  <si>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</si>
  <si>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</si>
  <si>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</si>
  <si>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</si>
  <si>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</si>
  <si>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</si>
  <si>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</si>
  <si>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</si>
  <si>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</si>
  <si>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</si>
  <si>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</si>
  <si>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</si>
  <si>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</si>
  <si>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</si>
  <si>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</si>
  <si>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</si>
  <si>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</si>
  <si>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</si>
  <si>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</si>
  <si>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</si>
  <si>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</si>
  <si>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</si>
  <si>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</si>
  <si>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</si>
  <si>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</si>
  <si>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</si>
  <si>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</si>
  <si>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</si>
  <si>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</si>
  <si>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</si>
  <si>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</si>
  <si>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</si>
  <si>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</si>
  <si>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</si>
  <si>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</si>
  <si>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</si>
  <si>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</si>
  <si>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</si>
  <si>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</si>
  <si>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</si>
  <si>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</si>
  <si>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</si>
  <si>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</si>
  <si>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</si>
  <si>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</si>
  <si>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</si>
  <si>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</si>
  <si>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</si>
  <si>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</si>
  <si>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</si>
  <si>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</si>
  <si>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</si>
  <si>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</si>
  <si>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</si>
  <si>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</si>
  <si>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</si>
  <si>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</si>
  <si>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</si>
  <si>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</si>
  <si>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</si>
  <si>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</si>
  <si>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</si>
  <si>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</si>
  <si>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</si>
  <si>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</si>
  <si>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</si>
  <si>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</si>
  <si>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</si>
  <si>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</si>
  <si>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</si>
  <si>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</si>
  <si>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</si>
  <si>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</si>
  <si>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</si>
  <si>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</si>
  <si>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</si>
  <si>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</si>
  <si>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</si>
  <si>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</si>
  <si>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</si>
  <si>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</si>
  <si>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</si>
  <si>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</si>
  <si>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</si>
  <si>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</si>
  <si>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</si>
  <si>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</si>
  <si>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</si>
  <si>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</si>
  <si>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</si>
  <si>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</si>
  <si>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</si>
  <si>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</si>
  <si>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</si>
  <si>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</si>
  <si>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</si>
  <si>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</si>
  <si>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</si>
  <si>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</si>
  <si>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</si>
  <si>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</si>
  <si>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</si>
  <si>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</si>
  <si>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</si>
  <si>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</si>
  <si>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</si>
  <si>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</si>
  <si>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</si>
  <si>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</si>
  <si>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</si>
  <si>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</si>
  <si>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</si>
  <si>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</si>
  <si>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</si>
  <si>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</si>
  <si>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</si>
  <si>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</si>
  <si>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</si>
  <si>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</si>
  <si>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</si>
  <si>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</si>
  <si>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</si>
  <si>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</si>
  <si>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</si>
  <si>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</si>
  <si>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</si>
  <si>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</si>
  <si>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</si>
  <si>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</si>
  <si>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</si>
  <si>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</si>
  <si>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</si>
  <si>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</si>
  <si>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</si>
  <si>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</si>
  <si>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</si>
  <si>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</si>
  <si>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</si>
  <si>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</si>
  <si>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12025</t>
  </si>
  <si>
    <t>MECHELEN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</si>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</sst>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9743792B-21F0-4F6A-8F0B-1DC10D7A3406}"/>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667891.05953809444</c:v>
                </c:pt>
                <c:pt idx="1">
                  <c:v>458886.23092991416</c:v>
                </c:pt>
                <c:pt idx="2">
                  <c:v>4259.0870000000004</c:v>
                </c:pt>
                <c:pt idx="3">
                  <c:v>6570.8463757016452</c:v>
                </c:pt>
                <c:pt idx="4">
                  <c:v>526274.44094766397</c:v>
                </c:pt>
                <c:pt idx="5">
                  <c:v>672266.23365690291</c:v>
                </c:pt>
                <c:pt idx="6">
                  <c:v>10978.820027903639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667891.05953809444</c:v>
                </c:pt>
                <c:pt idx="1">
                  <c:v>458886.23092991416</c:v>
                </c:pt>
                <c:pt idx="2">
                  <c:v>4259.0870000000004</c:v>
                </c:pt>
                <c:pt idx="3">
                  <c:v>6570.8463757016452</c:v>
                </c:pt>
                <c:pt idx="4">
                  <c:v>526274.44094766397</c:v>
                </c:pt>
                <c:pt idx="5">
                  <c:v>672266.23365690291</c:v>
                </c:pt>
                <c:pt idx="6">
                  <c:v>10978.820027903639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133252.13814166054</c:v>
                </c:pt>
                <c:pt idx="2">
                  <c:v>94366.533829221036</c:v>
                </c:pt>
                <c:pt idx="3">
                  <c:v>914.76772548823908</c:v>
                </c:pt>
                <c:pt idx="4">
                  <c:v>1607.7005762558886</c:v>
                </c:pt>
                <c:pt idx="5">
                  <c:v>108737.153172797</c:v>
                </c:pt>
                <c:pt idx="6">
                  <c:v>168342.13672297302</c:v>
                </c:pt>
                <c:pt idx="7">
                  <c:v>2767.6068377738261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133252.13814166054</c:v>
                </c:pt>
                <c:pt idx="2">
                  <c:v>94366.533829221036</c:v>
                </c:pt>
                <c:pt idx="3">
                  <c:v>914.76772548823908</c:v>
                </c:pt>
                <c:pt idx="4">
                  <c:v>1607.7005762558886</c:v>
                </c:pt>
                <c:pt idx="5">
                  <c:v>108737.153172797</c:v>
                </c:pt>
                <c:pt idx="6">
                  <c:v>168342.13672297302</c:v>
                </c:pt>
                <c:pt idx="7">
                  <c:v>2767.6068377738261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12025</v>
      </c>
      <c r="B6" s="382"/>
      <c r="C6" s="383"/>
    </row>
    <row r="7" spans="1:7" s="380" customFormat="1" ht="15.75" customHeight="1">
      <c r="A7" s="384" t="str">
        <f>txtMunicipality</f>
        <v>MECHELEN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196127.14413575456</v>
      </c>
      <c r="D10" s="971">
        <f ca="1">tertiair!C16</f>
        <v>0</v>
      </c>
      <c r="E10" s="971">
        <f ca="1">tertiair!D16</f>
        <v>218371.42486744636</v>
      </c>
      <c r="F10" s="971">
        <f>tertiair!E16</f>
        <v>1858.4068449651943</v>
      </c>
      <c r="G10" s="971">
        <f ca="1">tertiair!F16</f>
        <v>32299.828773846719</v>
      </c>
      <c r="H10" s="971">
        <f>tertiair!G16</f>
        <v>0</v>
      </c>
      <c r="I10" s="971">
        <f>tertiair!H16</f>
        <v>0</v>
      </c>
      <c r="J10" s="971">
        <f>tertiair!I16</f>
        <v>0</v>
      </c>
      <c r="K10" s="971">
        <f>tertiair!J16</f>
        <v>0.35628422550104122</v>
      </c>
      <c r="L10" s="971">
        <f>tertiair!K16</f>
        <v>0</v>
      </c>
      <c r="M10" s="971">
        <f ca="1">tertiair!L16</f>
        <v>0</v>
      </c>
      <c r="N10" s="971">
        <f>tertiair!M16</f>
        <v>0</v>
      </c>
      <c r="O10" s="971">
        <f ca="1">tertiair!N16</f>
        <v>14254.667023675844</v>
      </c>
      <c r="P10" s="971">
        <f>tertiair!O16</f>
        <v>4.6900000000000004</v>
      </c>
      <c r="Q10" s="972">
        <f>tertiair!P16</f>
        <v>228.8</v>
      </c>
      <c r="R10" s="666">
        <f ca="1">SUM(C10:Q10)</f>
        <v>463145.31792991416</v>
      </c>
      <c r="S10" s="67"/>
    </row>
    <row r="11" spans="1:19" s="439" customFormat="1">
      <c r="A11" s="775" t="s">
        <v>213</v>
      </c>
      <c r="B11" s="780"/>
      <c r="C11" s="971">
        <f>huishoudens!B8</f>
        <v>113073.82513642211</v>
      </c>
      <c r="D11" s="971">
        <f>huishoudens!C8</f>
        <v>0</v>
      </c>
      <c r="E11" s="971">
        <f>huishoudens!D8</f>
        <v>386729.80920737277</v>
      </c>
      <c r="F11" s="971">
        <f>huishoudens!E8</f>
        <v>4384.9088803893364</v>
      </c>
      <c r="G11" s="971">
        <f>huishoudens!F8</f>
        <v>111093.93559157291</v>
      </c>
      <c r="H11" s="971">
        <f>huishoudens!G8</f>
        <v>0</v>
      </c>
      <c r="I11" s="971">
        <f>huishoudens!H8</f>
        <v>0</v>
      </c>
      <c r="J11" s="971">
        <f>huishoudens!I8</f>
        <v>0</v>
      </c>
      <c r="K11" s="971">
        <f>huishoudens!J8</f>
        <v>534.57155430441583</v>
      </c>
      <c r="L11" s="971">
        <f>huishoudens!K8</f>
        <v>0</v>
      </c>
      <c r="M11" s="971">
        <f>huishoudens!L8</f>
        <v>0</v>
      </c>
      <c r="N11" s="971">
        <f>huishoudens!M8</f>
        <v>0</v>
      </c>
      <c r="O11" s="971">
        <f>huishoudens!N8</f>
        <v>49174.745834699446</v>
      </c>
      <c r="P11" s="971">
        <f>huishoudens!O8</f>
        <v>611.26333333333332</v>
      </c>
      <c r="Q11" s="972">
        <f>huishoudens!P8</f>
        <v>2288</v>
      </c>
      <c r="R11" s="666">
        <f>SUM(C11:Q11)</f>
        <v>667891.05953809444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186712.43372355879</v>
      </c>
      <c r="D13" s="971">
        <f>industrie!C18</f>
        <v>0</v>
      </c>
      <c r="E13" s="971">
        <f>industrie!D18</f>
        <v>278453.17446215713</v>
      </c>
      <c r="F13" s="971">
        <f>industrie!E18</f>
        <v>10684.736686469614</v>
      </c>
      <c r="G13" s="971">
        <f>industrie!F18</f>
        <v>36689.262051645055</v>
      </c>
      <c r="H13" s="971">
        <f>industrie!G18</f>
        <v>0</v>
      </c>
      <c r="I13" s="971">
        <f>industrie!H18</f>
        <v>0</v>
      </c>
      <c r="J13" s="971">
        <f>industrie!I18</f>
        <v>0</v>
      </c>
      <c r="K13" s="971">
        <f>industrie!J18</f>
        <v>468.93367682933939</v>
      </c>
      <c r="L13" s="971">
        <f>industrie!K18</f>
        <v>0</v>
      </c>
      <c r="M13" s="971">
        <f>industrie!L18</f>
        <v>0</v>
      </c>
      <c r="N13" s="971">
        <f>industrie!M18</f>
        <v>0</v>
      </c>
      <c r="O13" s="971">
        <f>industrie!N18</f>
        <v>13265.900347004099</v>
      </c>
      <c r="P13" s="971">
        <f>industrie!O18</f>
        <v>0</v>
      </c>
      <c r="Q13" s="972">
        <f>industrie!P18</f>
        <v>0</v>
      </c>
      <c r="R13" s="666">
        <f>SUM(C13:Q13)</f>
        <v>526274.44094766397</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495913.40299573547</v>
      </c>
      <c r="D16" s="698">
        <f t="shared" ref="D16:R16" ca="1" si="0">SUM(D9:D15)</f>
        <v>0</v>
      </c>
      <c r="E16" s="698">
        <f t="shared" ca="1" si="0"/>
        <v>883554.4085369762</v>
      </c>
      <c r="F16" s="698">
        <f t="shared" si="0"/>
        <v>16928.052411824145</v>
      </c>
      <c r="G16" s="698">
        <f t="shared" ca="1" si="0"/>
        <v>180083.02641706468</v>
      </c>
      <c r="H16" s="698">
        <f t="shared" si="0"/>
        <v>0</v>
      </c>
      <c r="I16" s="698">
        <f t="shared" si="0"/>
        <v>0</v>
      </c>
      <c r="J16" s="698">
        <f t="shared" si="0"/>
        <v>0</v>
      </c>
      <c r="K16" s="698">
        <f t="shared" si="0"/>
        <v>1003.8615153592561</v>
      </c>
      <c r="L16" s="698">
        <f t="shared" si="0"/>
        <v>0</v>
      </c>
      <c r="M16" s="698">
        <f t="shared" ca="1" si="0"/>
        <v>0</v>
      </c>
      <c r="N16" s="698">
        <f t="shared" si="0"/>
        <v>0</v>
      </c>
      <c r="O16" s="698">
        <f t="shared" ca="1" si="0"/>
        <v>76695.313205379382</v>
      </c>
      <c r="P16" s="698">
        <f t="shared" si="0"/>
        <v>615.95333333333338</v>
      </c>
      <c r="Q16" s="698">
        <f t="shared" si="0"/>
        <v>2516.8000000000002</v>
      </c>
      <c r="R16" s="698">
        <f t="shared" ca="1" si="0"/>
        <v>1657310.8184156725</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109.40549884313079</v>
      </c>
      <c r="D19" s="971">
        <f>transport!C54</f>
        <v>0</v>
      </c>
      <c r="E19" s="971">
        <f>transport!D54</f>
        <v>0</v>
      </c>
      <c r="F19" s="971">
        <f>transport!E54</f>
        <v>0</v>
      </c>
      <c r="G19" s="971">
        <f>transport!F54</f>
        <v>0</v>
      </c>
      <c r="H19" s="971">
        <f>transport!G54</f>
        <v>10277.560668691198</v>
      </c>
      <c r="I19" s="971">
        <f>transport!H54</f>
        <v>0</v>
      </c>
      <c r="J19" s="971">
        <f>transport!I54</f>
        <v>0</v>
      </c>
      <c r="K19" s="971">
        <f>transport!J54</f>
        <v>0</v>
      </c>
      <c r="L19" s="971">
        <f>transport!K54</f>
        <v>0</v>
      </c>
      <c r="M19" s="971">
        <f>transport!L54</f>
        <v>0</v>
      </c>
      <c r="N19" s="971">
        <f>transport!M54</f>
        <v>591.85386036931061</v>
      </c>
      <c r="O19" s="971">
        <f>transport!N54</f>
        <v>0</v>
      </c>
      <c r="P19" s="971">
        <f>transport!O54</f>
        <v>0</v>
      </c>
      <c r="Q19" s="972">
        <f>transport!P54</f>
        <v>0</v>
      </c>
      <c r="R19" s="666">
        <f>SUM(C19:Q19)</f>
        <v>10978.820027903639</v>
      </c>
      <c r="S19" s="67"/>
    </row>
    <row r="20" spans="1:19" s="439" customFormat="1">
      <c r="A20" s="775" t="s">
        <v>295</v>
      </c>
      <c r="B20" s="780"/>
      <c r="C20" s="971">
        <f>transport!B14</f>
        <v>427.38915461224013</v>
      </c>
      <c r="D20" s="971">
        <f>transport!C14</f>
        <v>0</v>
      </c>
      <c r="E20" s="971">
        <f>transport!D14</f>
        <v>662.77011153761441</v>
      </c>
      <c r="F20" s="971">
        <f>transport!E14</f>
        <v>1273.3907690605399</v>
      </c>
      <c r="G20" s="971">
        <f>transport!F14</f>
        <v>0</v>
      </c>
      <c r="H20" s="971">
        <f>transport!G14</f>
        <v>527067.86420652689</v>
      </c>
      <c r="I20" s="971">
        <f>transport!H14</f>
        <v>108836.47778224142</v>
      </c>
      <c r="J20" s="971">
        <f>transport!I14</f>
        <v>0</v>
      </c>
      <c r="K20" s="971">
        <f>transport!J14</f>
        <v>0</v>
      </c>
      <c r="L20" s="971">
        <f>transport!K14</f>
        <v>0</v>
      </c>
      <c r="M20" s="971">
        <f>transport!L14</f>
        <v>0</v>
      </c>
      <c r="N20" s="971">
        <f>transport!M14</f>
        <v>33998.341632924195</v>
      </c>
      <c r="O20" s="971">
        <f>transport!N14</f>
        <v>0</v>
      </c>
      <c r="P20" s="971">
        <f>transport!O14</f>
        <v>0</v>
      </c>
      <c r="Q20" s="972">
        <f>transport!P14</f>
        <v>0</v>
      </c>
      <c r="R20" s="666">
        <f>SUM(C20:Q20)</f>
        <v>672266.23365690291</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536.79465345537096</v>
      </c>
      <c r="D22" s="778">
        <f t="shared" ref="D22:R22" si="1">SUM(D18:D21)</f>
        <v>0</v>
      </c>
      <c r="E22" s="778">
        <f t="shared" si="1"/>
        <v>662.77011153761441</v>
      </c>
      <c r="F22" s="778">
        <f t="shared" si="1"/>
        <v>1273.3907690605399</v>
      </c>
      <c r="G22" s="778">
        <f t="shared" si="1"/>
        <v>0</v>
      </c>
      <c r="H22" s="778">
        <f t="shared" si="1"/>
        <v>537345.42487521807</v>
      </c>
      <c r="I22" s="778">
        <f t="shared" si="1"/>
        <v>108836.47778224142</v>
      </c>
      <c r="J22" s="778">
        <f t="shared" si="1"/>
        <v>0</v>
      </c>
      <c r="K22" s="778">
        <f t="shared" si="1"/>
        <v>0</v>
      </c>
      <c r="L22" s="778">
        <f t="shared" si="1"/>
        <v>0</v>
      </c>
      <c r="M22" s="778">
        <f t="shared" si="1"/>
        <v>0</v>
      </c>
      <c r="N22" s="778">
        <f t="shared" si="1"/>
        <v>34590.195493293504</v>
      </c>
      <c r="O22" s="778">
        <f t="shared" si="1"/>
        <v>0</v>
      </c>
      <c r="P22" s="778">
        <f t="shared" si="1"/>
        <v>0</v>
      </c>
      <c r="Q22" s="778">
        <f t="shared" si="1"/>
        <v>0</v>
      </c>
      <c r="R22" s="778">
        <f t="shared" si="1"/>
        <v>683245.05368480657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915.33945149888098</v>
      </c>
      <c r="D24" s="971">
        <f>+landbouw!C8</f>
        <v>0</v>
      </c>
      <c r="E24" s="971">
        <f>+landbouw!D8</f>
        <v>1682.7345799748389</v>
      </c>
      <c r="F24" s="971">
        <f>+landbouw!E8</f>
        <v>26.904622248928884</v>
      </c>
      <c r="G24" s="971">
        <f>+landbouw!F8</f>
        <v>3813.254692596543</v>
      </c>
      <c r="H24" s="971">
        <f>+landbouw!G8</f>
        <v>0</v>
      </c>
      <c r="I24" s="971">
        <f>+landbouw!H8</f>
        <v>0</v>
      </c>
      <c r="J24" s="971">
        <f>+landbouw!I8</f>
        <v>0</v>
      </c>
      <c r="K24" s="971">
        <f>+landbouw!J8</f>
        <v>132.61302938245387</v>
      </c>
      <c r="L24" s="971">
        <f>+landbouw!K8</f>
        <v>0</v>
      </c>
      <c r="M24" s="971">
        <f>+landbouw!L8</f>
        <v>0</v>
      </c>
      <c r="N24" s="971">
        <f>+landbouw!M8</f>
        <v>0</v>
      </c>
      <c r="O24" s="971">
        <f>+landbouw!N8</f>
        <v>0</v>
      </c>
      <c r="P24" s="971">
        <f>+landbouw!O8</f>
        <v>0</v>
      </c>
      <c r="Q24" s="972">
        <f>+landbouw!P8</f>
        <v>0</v>
      </c>
      <c r="R24" s="666">
        <f>SUM(C24:Q24)</f>
        <v>6570.8463757016452</v>
      </c>
      <c r="S24" s="67"/>
    </row>
    <row r="25" spans="1:19" s="439" customFormat="1" ht="15" thickBot="1">
      <c r="A25" s="797" t="s">
        <v>802</v>
      </c>
      <c r="B25" s="974"/>
      <c r="C25" s="975">
        <f>IF(Onbekend_ele_kWh="---",0,Onbekend_ele_kWh)/1000+IF(REST_rest_ele_kWh="---",0,REST_rest_ele_kWh)/1000</f>
        <v>6480.7514498043101</v>
      </c>
      <c r="D25" s="975"/>
      <c r="E25" s="975">
        <f>IF(onbekend_gas_kWh="---",0,onbekend_gas_kWh)/1000+IF(REST_rest_gas_kWh="---",0,REST_rest_gas_kWh)/1000</f>
        <v>22715.236078598202</v>
      </c>
      <c r="F25" s="975"/>
      <c r="G25" s="975"/>
      <c r="H25" s="975"/>
      <c r="I25" s="975"/>
      <c r="J25" s="975"/>
      <c r="K25" s="975"/>
      <c r="L25" s="975"/>
      <c r="M25" s="975"/>
      <c r="N25" s="975"/>
      <c r="O25" s="975"/>
      <c r="P25" s="975"/>
      <c r="Q25" s="976"/>
      <c r="R25" s="666">
        <f>SUM(C25:Q25)</f>
        <v>29195.987528402511</v>
      </c>
      <c r="S25" s="67"/>
    </row>
    <row r="26" spans="1:19" s="439" customFormat="1" ht="15.75" thickBot="1">
      <c r="A26" s="671" t="s">
        <v>803</v>
      </c>
      <c r="B26" s="783"/>
      <c r="C26" s="778">
        <f>SUM(C24:C25)</f>
        <v>7396.0909013031915</v>
      </c>
      <c r="D26" s="778">
        <f t="shared" ref="D26:R26" si="2">SUM(D24:D25)</f>
        <v>0</v>
      </c>
      <c r="E26" s="778">
        <f t="shared" si="2"/>
        <v>24397.970658573042</v>
      </c>
      <c r="F26" s="778">
        <f t="shared" si="2"/>
        <v>26.904622248928884</v>
      </c>
      <c r="G26" s="778">
        <f t="shared" si="2"/>
        <v>3813.254692596543</v>
      </c>
      <c r="H26" s="778">
        <f t="shared" si="2"/>
        <v>0</v>
      </c>
      <c r="I26" s="778">
        <f t="shared" si="2"/>
        <v>0</v>
      </c>
      <c r="J26" s="778">
        <f t="shared" si="2"/>
        <v>0</v>
      </c>
      <c r="K26" s="778">
        <f t="shared" si="2"/>
        <v>132.61302938245387</v>
      </c>
      <c r="L26" s="778">
        <f t="shared" si="2"/>
        <v>0</v>
      </c>
      <c r="M26" s="778">
        <f t="shared" si="2"/>
        <v>0</v>
      </c>
      <c r="N26" s="778">
        <f t="shared" si="2"/>
        <v>0</v>
      </c>
      <c r="O26" s="778">
        <f t="shared" si="2"/>
        <v>0</v>
      </c>
      <c r="P26" s="778">
        <f t="shared" si="2"/>
        <v>0</v>
      </c>
      <c r="Q26" s="778">
        <f t="shared" si="2"/>
        <v>0</v>
      </c>
      <c r="R26" s="778">
        <f t="shared" si="2"/>
        <v>35766.833904104154</v>
      </c>
      <c r="S26" s="67"/>
    </row>
    <row r="27" spans="1:19" s="439" customFormat="1" ht="17.25" thickTop="1" thickBot="1">
      <c r="A27" s="672" t="s">
        <v>109</v>
      </c>
      <c r="B27" s="771"/>
      <c r="C27" s="673">
        <f ca="1">C22+C16+C26</f>
        <v>503846.28855049401</v>
      </c>
      <c r="D27" s="673">
        <f t="shared" ref="D27:R27" ca="1" si="3">D22+D16+D26</f>
        <v>0</v>
      </c>
      <c r="E27" s="673">
        <f t="shared" ca="1" si="3"/>
        <v>908615.14930708695</v>
      </c>
      <c r="F27" s="673">
        <f t="shared" si="3"/>
        <v>18228.347803133616</v>
      </c>
      <c r="G27" s="673">
        <f t="shared" ca="1" si="3"/>
        <v>183896.28110966121</v>
      </c>
      <c r="H27" s="673">
        <f t="shared" si="3"/>
        <v>537345.42487521807</v>
      </c>
      <c r="I27" s="673">
        <f t="shared" si="3"/>
        <v>108836.47778224142</v>
      </c>
      <c r="J27" s="673">
        <f t="shared" si="3"/>
        <v>0</v>
      </c>
      <c r="K27" s="673">
        <f t="shared" si="3"/>
        <v>1136.4745447417099</v>
      </c>
      <c r="L27" s="673">
        <f t="shared" si="3"/>
        <v>0</v>
      </c>
      <c r="M27" s="673">
        <f t="shared" ca="1" si="3"/>
        <v>0</v>
      </c>
      <c r="N27" s="673">
        <f t="shared" si="3"/>
        <v>34590.195493293504</v>
      </c>
      <c r="O27" s="673">
        <f t="shared" ca="1" si="3"/>
        <v>76695.313205379382</v>
      </c>
      <c r="P27" s="673">
        <f t="shared" si="3"/>
        <v>615.95333333333338</v>
      </c>
      <c r="Q27" s="673">
        <f t="shared" si="3"/>
        <v>2516.8000000000002</v>
      </c>
      <c r="R27" s="673">
        <f t="shared" ca="1" si="3"/>
        <v>2376322.7060045833</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42124.234970445119</v>
      </c>
      <c r="D40" s="971">
        <f ca="1">tertiair!C20</f>
        <v>0</v>
      </c>
      <c r="E40" s="971">
        <f ca="1">tertiair!D20</f>
        <v>44111.027823224169</v>
      </c>
      <c r="F40" s="971">
        <f>tertiair!E20</f>
        <v>421.85835380709909</v>
      </c>
      <c r="G40" s="971">
        <f ca="1">tertiair!F20</f>
        <v>8624.0542826170749</v>
      </c>
      <c r="H40" s="971">
        <f>tertiair!G20</f>
        <v>0</v>
      </c>
      <c r="I40" s="971">
        <f>tertiair!H20</f>
        <v>0</v>
      </c>
      <c r="J40" s="971">
        <f>tertiair!I20</f>
        <v>0</v>
      </c>
      <c r="K40" s="971">
        <f>tertiair!J20</f>
        <v>0.12612461582736859</v>
      </c>
      <c r="L40" s="971">
        <f>tertiair!K20</f>
        <v>0</v>
      </c>
      <c r="M40" s="971">
        <f ca="1">tertiair!L20</f>
        <v>0</v>
      </c>
      <c r="N40" s="971">
        <f>tertiair!M20</f>
        <v>0</v>
      </c>
      <c r="O40" s="971">
        <f ca="1">tertiair!N20</f>
        <v>0</v>
      </c>
      <c r="P40" s="971">
        <f>tertiair!O20</f>
        <v>0</v>
      </c>
      <c r="Q40" s="740">
        <f>tertiair!P20</f>
        <v>0</v>
      </c>
      <c r="R40" s="816">
        <f t="shared" ca="1" si="4"/>
        <v>95281.30155470928</v>
      </c>
    </row>
    <row r="41" spans="1:18">
      <c r="A41" s="788" t="s">
        <v>213</v>
      </c>
      <c r="B41" s="795"/>
      <c r="C41" s="971">
        <f ca="1">huishoudens!B12</f>
        <v>24286.02323274911</v>
      </c>
      <c r="D41" s="971">
        <f ca="1">huishoudens!C12</f>
        <v>0</v>
      </c>
      <c r="E41" s="971">
        <f>huishoudens!D12</f>
        <v>78119.421459889301</v>
      </c>
      <c r="F41" s="971">
        <f>huishoudens!E12</f>
        <v>995.37431584837941</v>
      </c>
      <c r="G41" s="971">
        <f>huishoudens!F12</f>
        <v>29662.080802949968</v>
      </c>
      <c r="H41" s="971">
        <f>huishoudens!G12</f>
        <v>0</v>
      </c>
      <c r="I41" s="971">
        <f>huishoudens!H12</f>
        <v>0</v>
      </c>
      <c r="J41" s="971">
        <f>huishoudens!I12</f>
        <v>0</v>
      </c>
      <c r="K41" s="971">
        <f>huishoudens!J12</f>
        <v>189.2383302237632</v>
      </c>
      <c r="L41" s="971">
        <f>huishoudens!K12</f>
        <v>0</v>
      </c>
      <c r="M41" s="971">
        <f>huishoudens!L12</f>
        <v>0</v>
      </c>
      <c r="N41" s="971">
        <f>huishoudens!M12</f>
        <v>0</v>
      </c>
      <c r="O41" s="971">
        <f>huishoudens!N12</f>
        <v>0</v>
      </c>
      <c r="P41" s="971">
        <f>huishoudens!O12</f>
        <v>0</v>
      </c>
      <c r="Q41" s="740">
        <f>huishoudens!P12</f>
        <v>0</v>
      </c>
      <c r="R41" s="816">
        <f t="shared" ca="1" si="4"/>
        <v>133252.13814166054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40102.141214225827</v>
      </c>
      <c r="D43" s="971">
        <f ca="1">industrie!C22</f>
        <v>0</v>
      </c>
      <c r="E43" s="971">
        <f>industrie!D22</f>
        <v>56247.541241355742</v>
      </c>
      <c r="F43" s="971">
        <f>industrie!E22</f>
        <v>2425.4352278286024</v>
      </c>
      <c r="G43" s="971">
        <f>industrie!F22</f>
        <v>9796.0329677892296</v>
      </c>
      <c r="H43" s="971">
        <f>industrie!G22</f>
        <v>0</v>
      </c>
      <c r="I43" s="971">
        <f>industrie!H22</f>
        <v>0</v>
      </c>
      <c r="J43" s="971">
        <f>industrie!I22</f>
        <v>0</v>
      </c>
      <c r="K43" s="971">
        <f>industrie!J22</f>
        <v>166.00252159758614</v>
      </c>
      <c r="L43" s="971">
        <f>industrie!K22</f>
        <v>0</v>
      </c>
      <c r="M43" s="971">
        <f>industrie!L22</f>
        <v>0</v>
      </c>
      <c r="N43" s="971">
        <f>industrie!M22</f>
        <v>0</v>
      </c>
      <c r="O43" s="971">
        <f>industrie!N22</f>
        <v>0</v>
      </c>
      <c r="P43" s="971">
        <f>industrie!O22</f>
        <v>0</v>
      </c>
      <c r="Q43" s="740">
        <f>industrie!P22</f>
        <v>0</v>
      </c>
      <c r="R43" s="815">
        <f t="shared" ca="1" si="4"/>
        <v>108737.153172797</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106512.39941742006</v>
      </c>
      <c r="D46" s="698">
        <f t="shared" ref="D46:Q46" ca="1" si="5">SUM(D39:D45)</f>
        <v>0</v>
      </c>
      <c r="E46" s="698">
        <f t="shared" ca="1" si="5"/>
        <v>178477.99052446921</v>
      </c>
      <c r="F46" s="698">
        <f t="shared" si="5"/>
        <v>3842.6678974840806</v>
      </c>
      <c r="G46" s="698">
        <f t="shared" ca="1" si="5"/>
        <v>48082.168053356276</v>
      </c>
      <c r="H46" s="698">
        <f t="shared" si="5"/>
        <v>0</v>
      </c>
      <c r="I46" s="698">
        <f t="shared" si="5"/>
        <v>0</v>
      </c>
      <c r="J46" s="698">
        <f t="shared" si="5"/>
        <v>0</v>
      </c>
      <c r="K46" s="698">
        <f t="shared" si="5"/>
        <v>355.36697643717673</v>
      </c>
      <c r="L46" s="698">
        <f t="shared" si="5"/>
        <v>0</v>
      </c>
      <c r="M46" s="698">
        <f t="shared" ca="1" si="5"/>
        <v>0</v>
      </c>
      <c r="N46" s="698">
        <f t="shared" si="5"/>
        <v>0</v>
      </c>
      <c r="O46" s="698">
        <f t="shared" ca="1" si="5"/>
        <v>0</v>
      </c>
      <c r="P46" s="698">
        <f t="shared" si="5"/>
        <v>0</v>
      </c>
      <c r="Q46" s="698">
        <f t="shared" si="5"/>
        <v>0</v>
      </c>
      <c r="R46" s="698">
        <f ca="1">SUM(R39:R45)</f>
        <v>337270.59286916681</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23.498139233276266</v>
      </c>
      <c r="D49" s="971">
        <f ca="1">transport!C58</f>
        <v>0</v>
      </c>
      <c r="E49" s="971">
        <f>transport!D58</f>
        <v>0</v>
      </c>
      <c r="F49" s="971">
        <f>transport!E58</f>
        <v>0</v>
      </c>
      <c r="G49" s="971">
        <f>transport!F58</f>
        <v>0</v>
      </c>
      <c r="H49" s="971">
        <f>transport!G58</f>
        <v>2744.10869854055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2767.6068377738261</v>
      </c>
    </row>
    <row r="50" spans="1:18">
      <c r="A50" s="791" t="s">
        <v>295</v>
      </c>
      <c r="B50" s="801"/>
      <c r="C50" s="669">
        <f ca="1">transport!B18</f>
        <v>91.794744944862643</v>
      </c>
      <c r="D50" s="669">
        <f>transport!C18</f>
        <v>0</v>
      </c>
      <c r="E50" s="669">
        <f>transport!D18</f>
        <v>133.87956253059812</v>
      </c>
      <c r="F50" s="669">
        <f>transport!E18</f>
        <v>289.05970457674255</v>
      </c>
      <c r="G50" s="669">
        <f>transport!F18</f>
        <v>0</v>
      </c>
      <c r="H50" s="669">
        <f>transport!G18</f>
        <v>140727.11974314268</v>
      </c>
      <c r="I50" s="669">
        <f>transport!H18</f>
        <v>27100.282967778112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168342.13672297302</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115.29288417813891</v>
      </c>
      <c r="D52" s="698">
        <f t="shared" ref="D52:Q52" ca="1" si="6">SUM(D48:D51)</f>
        <v>0</v>
      </c>
      <c r="E52" s="698">
        <f t="shared" si="6"/>
        <v>133.87956253059812</v>
      </c>
      <c r="F52" s="698">
        <f t="shared" si="6"/>
        <v>289.05970457674255</v>
      </c>
      <c r="G52" s="698">
        <f t="shared" si="6"/>
        <v>0</v>
      </c>
      <c r="H52" s="698">
        <f t="shared" si="6"/>
        <v>143471.22844168323</v>
      </c>
      <c r="I52" s="698">
        <f t="shared" si="6"/>
        <v>27100.282967778112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171109.74356074684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196.59682652579852</v>
      </c>
      <c r="D54" s="669">
        <f ca="1">+landbouw!C12</f>
        <v>0</v>
      </c>
      <c r="E54" s="669">
        <f>+landbouw!D12</f>
        <v>339.9123851549175</v>
      </c>
      <c r="F54" s="669">
        <f>+landbouw!E12</f>
        <v>6.1073492505068572</v>
      </c>
      <c r="G54" s="669">
        <f>+landbouw!F12</f>
        <v>1018.1390029232771</v>
      </c>
      <c r="H54" s="669">
        <f>+landbouw!G12</f>
        <v>0</v>
      </c>
      <c r="I54" s="669">
        <f>+landbouw!H12</f>
        <v>0</v>
      </c>
      <c r="J54" s="669">
        <f>+landbouw!I12</f>
        <v>0</v>
      </c>
      <c r="K54" s="669">
        <f>+landbouw!J12</f>
        <v>46.945012401388666</v>
      </c>
      <c r="L54" s="669">
        <f>+landbouw!K12</f>
        <v>0</v>
      </c>
      <c r="M54" s="669">
        <f>+landbouw!L12</f>
        <v>0</v>
      </c>
      <c r="N54" s="669">
        <f>+landbouw!M12</f>
        <v>0</v>
      </c>
      <c r="O54" s="669">
        <f>+landbouw!N12</f>
        <v>0</v>
      </c>
      <c r="P54" s="669">
        <f>+landbouw!O12</f>
        <v>0</v>
      </c>
      <c r="Q54" s="670">
        <f>+landbouw!P12</f>
        <v>0</v>
      </c>
      <c r="R54" s="697">
        <f ca="1">SUM(C54:Q54)</f>
        <v>1607.7005762558886</v>
      </c>
    </row>
    <row r="55" spans="1:18" ht="15" thickBot="1">
      <c r="A55" s="791" t="s">
        <v>802</v>
      </c>
      <c r="B55" s="801"/>
      <c r="C55" s="669">
        <f ca="1">C25*'EF ele_warmte'!B12</f>
        <v>1391.9373478851444</v>
      </c>
      <c r="D55" s="669"/>
      <c r="E55" s="669">
        <f>E25*EF_CO2_aardgas</f>
        <v>4588.4776878768371</v>
      </c>
      <c r="F55" s="669"/>
      <c r="G55" s="669"/>
      <c r="H55" s="669"/>
      <c r="I55" s="669"/>
      <c r="J55" s="669"/>
      <c r="K55" s="669"/>
      <c r="L55" s="669"/>
      <c r="M55" s="669"/>
      <c r="N55" s="669"/>
      <c r="O55" s="669"/>
      <c r="P55" s="669"/>
      <c r="Q55" s="670"/>
      <c r="R55" s="697">
        <f ca="1">SUM(C55:Q55)</f>
        <v>5980.4150357619819</v>
      </c>
    </row>
    <row r="56" spans="1:18" ht="15.75" thickBot="1">
      <c r="A56" s="789" t="s">
        <v>803</v>
      </c>
      <c r="B56" s="802"/>
      <c r="C56" s="698">
        <f ca="1">SUM(C54:C55)</f>
        <v>1588.5341744109428</v>
      </c>
      <c r="D56" s="698">
        <f t="shared" ref="D56:Q56" ca="1" si="7">SUM(D54:D55)</f>
        <v>0</v>
      </c>
      <c r="E56" s="698">
        <f t="shared" si="7"/>
        <v>4928.3900730317546</v>
      </c>
      <c r="F56" s="698">
        <f t="shared" si="7"/>
        <v>6.1073492505068572</v>
      </c>
      <c r="G56" s="698">
        <f t="shared" si="7"/>
        <v>1018.1390029232771</v>
      </c>
      <c r="H56" s="698">
        <f t="shared" si="7"/>
        <v>0</v>
      </c>
      <c r="I56" s="698">
        <f t="shared" si="7"/>
        <v>0</v>
      </c>
      <c r="J56" s="698">
        <f t="shared" si="7"/>
        <v>0</v>
      </c>
      <c r="K56" s="698">
        <f t="shared" si="7"/>
        <v>46.945012401388666</v>
      </c>
      <c r="L56" s="698">
        <f t="shared" si="7"/>
        <v>0</v>
      </c>
      <c r="M56" s="698">
        <f t="shared" si="7"/>
        <v>0</v>
      </c>
      <c r="N56" s="698">
        <f t="shared" si="7"/>
        <v>0</v>
      </c>
      <c r="O56" s="698">
        <f t="shared" si="7"/>
        <v>0</v>
      </c>
      <c r="P56" s="698">
        <f t="shared" si="7"/>
        <v>0</v>
      </c>
      <c r="Q56" s="699">
        <f t="shared" si="7"/>
        <v>0</v>
      </c>
      <c r="R56" s="700">
        <f ca="1">SUM(R54:R55)</f>
        <v>7588.1156120178703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108216.22647600915</v>
      </c>
      <c r="D61" s="706">
        <f t="shared" ref="D61:Q61" ca="1" si="8">D46+D52+D56</f>
        <v>0</v>
      </c>
      <c r="E61" s="706">
        <f t="shared" ca="1" si="8"/>
        <v>183540.26016003155</v>
      </c>
      <c r="F61" s="706">
        <f t="shared" si="8"/>
        <v>4137.8349513113299</v>
      </c>
      <c r="G61" s="706">
        <f t="shared" ca="1" si="8"/>
        <v>49100.307056279555</v>
      </c>
      <c r="H61" s="706">
        <f t="shared" si="8"/>
        <v>143471.22844168323</v>
      </c>
      <c r="I61" s="706">
        <f t="shared" si="8"/>
        <v>27100.282967778112</v>
      </c>
      <c r="J61" s="706">
        <f t="shared" si="8"/>
        <v>0</v>
      </c>
      <c r="K61" s="706">
        <f t="shared" si="8"/>
        <v>402.31198883856541</v>
      </c>
      <c r="L61" s="706">
        <f t="shared" si="8"/>
        <v>0</v>
      </c>
      <c r="M61" s="706">
        <f t="shared" ca="1" si="8"/>
        <v>0</v>
      </c>
      <c r="N61" s="706">
        <f t="shared" si="8"/>
        <v>0</v>
      </c>
      <c r="O61" s="706">
        <f t="shared" ca="1" si="8"/>
        <v>0</v>
      </c>
      <c r="P61" s="706">
        <f t="shared" si="8"/>
        <v>0</v>
      </c>
      <c r="Q61" s="706">
        <f t="shared" si="8"/>
        <v>0</v>
      </c>
      <c r="R61" s="706">
        <f ca="1">R46+R52+R56</f>
        <v>515968.45204193151</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0.21478023940066004</v>
      </c>
      <c r="D63" s="747">
        <f t="shared" ca="1" si="9"/>
        <v>0</v>
      </c>
      <c r="E63" s="982">
        <f t="shared" ca="1" si="9"/>
        <v>0.20199999999999999</v>
      </c>
      <c r="F63" s="747">
        <f t="shared" si="9"/>
        <v>0.22699999999999995</v>
      </c>
      <c r="G63" s="747">
        <f t="shared" ca="1" si="9"/>
        <v>0.26700000000000007</v>
      </c>
      <c r="H63" s="747">
        <f t="shared" si="9"/>
        <v>0.26700000000000002</v>
      </c>
      <c r="I63" s="747">
        <f t="shared" si="9"/>
        <v>0.249</v>
      </c>
      <c r="J63" s="747">
        <f t="shared" si="9"/>
        <v>0</v>
      </c>
      <c r="K63" s="747">
        <f t="shared" si="9"/>
        <v>0.35400000000000009</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14180.10540113135</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14180.10540113135</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113073.82513642211</v>
      </c>
      <c r="C4" s="443">
        <f>huishoudens!C8</f>
        <v>0</v>
      </c>
      <c r="D4" s="443">
        <f>huishoudens!D8</f>
        <v>386729.80920737277</v>
      </c>
      <c r="E4" s="443">
        <f>huishoudens!E8</f>
        <v>4384.9088803893364</v>
      </c>
      <c r="F4" s="443">
        <f>huishoudens!F8</f>
        <v>111093.93559157291</v>
      </c>
      <c r="G4" s="443">
        <f>huishoudens!G8</f>
        <v>0</v>
      </c>
      <c r="H4" s="443">
        <f>huishoudens!H8</f>
        <v>0</v>
      </c>
      <c r="I4" s="443">
        <f>huishoudens!I8</f>
        <v>0</v>
      </c>
      <c r="J4" s="443">
        <f>huishoudens!J8</f>
        <v>534.57155430441583</v>
      </c>
      <c r="K4" s="443">
        <f>huishoudens!K8</f>
        <v>0</v>
      </c>
      <c r="L4" s="443">
        <f>huishoudens!L8</f>
        <v>0</v>
      </c>
      <c r="M4" s="443">
        <f>huishoudens!M8</f>
        <v>0</v>
      </c>
      <c r="N4" s="443">
        <f>huishoudens!N8</f>
        <v>49174.745834699446</v>
      </c>
      <c r="O4" s="443">
        <f>huishoudens!O8</f>
        <v>611.26333333333332</v>
      </c>
      <c r="P4" s="444">
        <f>huishoudens!P8</f>
        <v>2288</v>
      </c>
      <c r="Q4" s="445">
        <f>SUM(B4:P4)</f>
        <v>667891.05953809444</v>
      </c>
    </row>
    <row r="5" spans="1:17">
      <c r="A5" s="442" t="s">
        <v>149</v>
      </c>
      <c r="B5" s="443">
        <f ca="1">tertiair!B16</f>
        <v>191868.05713575456</v>
      </c>
      <c r="C5" s="443">
        <f ca="1">tertiair!C16</f>
        <v>0</v>
      </c>
      <c r="D5" s="443">
        <f ca="1">tertiair!D16</f>
        <v>218371.42486744636</v>
      </c>
      <c r="E5" s="443">
        <f>tertiair!E16</f>
        <v>1858.4068449651943</v>
      </c>
      <c r="F5" s="443">
        <f ca="1">tertiair!F16</f>
        <v>32299.828773846719</v>
      </c>
      <c r="G5" s="443">
        <f>tertiair!G16</f>
        <v>0</v>
      </c>
      <c r="H5" s="443">
        <f>tertiair!H16</f>
        <v>0</v>
      </c>
      <c r="I5" s="443">
        <f>tertiair!I16</f>
        <v>0</v>
      </c>
      <c r="J5" s="443">
        <f>tertiair!J16</f>
        <v>0.35628422550104122</v>
      </c>
      <c r="K5" s="443">
        <f>tertiair!K16</f>
        <v>0</v>
      </c>
      <c r="L5" s="443">
        <f ca="1">tertiair!L16</f>
        <v>0</v>
      </c>
      <c r="M5" s="443">
        <f>tertiair!M16</f>
        <v>0</v>
      </c>
      <c r="N5" s="443">
        <f ca="1">tertiair!N16</f>
        <v>14254.667023675844</v>
      </c>
      <c r="O5" s="443">
        <f>tertiair!O16</f>
        <v>4.6900000000000004</v>
      </c>
      <c r="P5" s="444">
        <f>tertiair!P16</f>
        <v>228.8</v>
      </c>
      <c r="Q5" s="442">
        <f t="shared" ref="Q5:Q14" ca="1" si="0">SUM(B5:P5)</f>
        <v>458886.23092991416</v>
      </c>
    </row>
    <row r="6" spans="1:17">
      <c r="A6" s="442" t="s">
        <v>187</v>
      </c>
      <c r="B6" s="443">
        <f>'openbare verlichting'!B8</f>
        <v>4259.0870000000004</v>
      </c>
      <c r="C6" s="443"/>
      <c r="D6" s="443"/>
      <c r="E6" s="443"/>
      <c r="F6" s="443"/>
      <c r="G6" s="443"/>
      <c r="H6" s="443"/>
      <c r="I6" s="443"/>
      <c r="J6" s="443"/>
      <c r="K6" s="443"/>
      <c r="L6" s="443"/>
      <c r="M6" s="443"/>
      <c r="N6" s="443"/>
      <c r="O6" s="443"/>
      <c r="P6" s="444"/>
      <c r="Q6" s="442">
        <f t="shared" si="0"/>
        <v>4259.0870000000004</v>
      </c>
    </row>
    <row r="7" spans="1:17">
      <c r="A7" s="442" t="s">
        <v>105</v>
      </c>
      <c r="B7" s="443">
        <f>landbouw!B8</f>
        <v>915.33945149888098</v>
      </c>
      <c r="C7" s="443">
        <f>landbouw!C8</f>
        <v>0</v>
      </c>
      <c r="D7" s="443">
        <f>landbouw!D8</f>
        <v>1682.7345799748389</v>
      </c>
      <c r="E7" s="443">
        <f>landbouw!E8</f>
        <v>26.904622248928884</v>
      </c>
      <c r="F7" s="443">
        <f>landbouw!F8</f>
        <v>3813.254692596543</v>
      </c>
      <c r="G7" s="443">
        <f>landbouw!G8</f>
        <v>0</v>
      </c>
      <c r="H7" s="443">
        <f>landbouw!H8</f>
        <v>0</v>
      </c>
      <c r="I7" s="443">
        <f>landbouw!I8</f>
        <v>0</v>
      </c>
      <c r="J7" s="443">
        <f>landbouw!J8</f>
        <v>132.61302938245387</v>
      </c>
      <c r="K7" s="443">
        <f>landbouw!K8</f>
        <v>0</v>
      </c>
      <c r="L7" s="443">
        <f>landbouw!L8</f>
        <v>0</v>
      </c>
      <c r="M7" s="443">
        <f>landbouw!M8</f>
        <v>0</v>
      </c>
      <c r="N7" s="443">
        <f>landbouw!N8</f>
        <v>0</v>
      </c>
      <c r="O7" s="443">
        <f>landbouw!O8</f>
        <v>0</v>
      </c>
      <c r="P7" s="444">
        <f>landbouw!P8</f>
        <v>0</v>
      </c>
      <c r="Q7" s="442">
        <f t="shared" si="0"/>
        <v>6570.8463757016452</v>
      </c>
    </row>
    <row r="8" spans="1:17">
      <c r="A8" s="442" t="s">
        <v>621</v>
      </c>
      <c r="B8" s="443">
        <f>industrie!B18</f>
        <v>186712.43372355879</v>
      </c>
      <c r="C8" s="443">
        <f>industrie!C18</f>
        <v>0</v>
      </c>
      <c r="D8" s="443">
        <f>industrie!D18</f>
        <v>278453.17446215713</v>
      </c>
      <c r="E8" s="443">
        <f>industrie!E18</f>
        <v>10684.736686469614</v>
      </c>
      <c r="F8" s="443">
        <f>industrie!F18</f>
        <v>36689.262051645055</v>
      </c>
      <c r="G8" s="443">
        <f>industrie!G18</f>
        <v>0</v>
      </c>
      <c r="H8" s="443">
        <f>industrie!H18</f>
        <v>0</v>
      </c>
      <c r="I8" s="443">
        <f>industrie!I18</f>
        <v>0</v>
      </c>
      <c r="J8" s="443">
        <f>industrie!J18</f>
        <v>468.93367682933939</v>
      </c>
      <c r="K8" s="443">
        <f>industrie!K18</f>
        <v>0</v>
      </c>
      <c r="L8" s="443">
        <f>industrie!L18</f>
        <v>0</v>
      </c>
      <c r="M8" s="443">
        <f>industrie!M18</f>
        <v>0</v>
      </c>
      <c r="N8" s="443">
        <f>industrie!N18</f>
        <v>13265.900347004099</v>
      </c>
      <c r="O8" s="443">
        <f>industrie!O18</f>
        <v>0</v>
      </c>
      <c r="P8" s="444">
        <f>industrie!P18</f>
        <v>0</v>
      </c>
      <c r="Q8" s="442">
        <f t="shared" si="0"/>
        <v>526274.44094766397</v>
      </c>
    </row>
    <row r="9" spans="1:17" s="448" customFormat="1">
      <c r="A9" s="446" t="s">
        <v>547</v>
      </c>
      <c r="B9" s="447">
        <f>transport!B14</f>
        <v>427.38915461224013</v>
      </c>
      <c r="C9" s="447">
        <f>transport!C14</f>
        <v>0</v>
      </c>
      <c r="D9" s="447">
        <f>transport!D14</f>
        <v>662.77011153761441</v>
      </c>
      <c r="E9" s="447">
        <f>transport!E14</f>
        <v>1273.3907690605399</v>
      </c>
      <c r="F9" s="447">
        <f>transport!F14</f>
        <v>0</v>
      </c>
      <c r="G9" s="447">
        <f>transport!G14</f>
        <v>527067.86420652689</v>
      </c>
      <c r="H9" s="447">
        <f>transport!H14</f>
        <v>108836.47778224142</v>
      </c>
      <c r="I9" s="447">
        <f>transport!I14</f>
        <v>0</v>
      </c>
      <c r="J9" s="447">
        <f>transport!J14</f>
        <v>0</v>
      </c>
      <c r="K9" s="447">
        <f>transport!K14</f>
        <v>0</v>
      </c>
      <c r="L9" s="447">
        <f>transport!L14</f>
        <v>0</v>
      </c>
      <c r="M9" s="447">
        <f>transport!M14</f>
        <v>33998.341632924195</v>
      </c>
      <c r="N9" s="447">
        <f>transport!N14</f>
        <v>0</v>
      </c>
      <c r="O9" s="447">
        <f>transport!O14</f>
        <v>0</v>
      </c>
      <c r="P9" s="447">
        <f>transport!P14</f>
        <v>0</v>
      </c>
      <c r="Q9" s="446">
        <f>SUM(B9:P9)</f>
        <v>672266.23365690291</v>
      </c>
    </row>
    <row r="10" spans="1:17">
      <c r="A10" s="442" t="s">
        <v>537</v>
      </c>
      <c r="B10" s="443">
        <f>transport!B54</f>
        <v>109.40549884313079</v>
      </c>
      <c r="C10" s="443">
        <f>transport!C54</f>
        <v>0</v>
      </c>
      <c r="D10" s="443">
        <f>transport!D54</f>
        <v>0</v>
      </c>
      <c r="E10" s="443">
        <f>transport!E54</f>
        <v>0</v>
      </c>
      <c r="F10" s="443">
        <f>transport!F54</f>
        <v>0</v>
      </c>
      <c r="G10" s="443">
        <f>transport!G54</f>
        <v>10277.560668691198</v>
      </c>
      <c r="H10" s="443">
        <f>transport!H54</f>
        <v>0</v>
      </c>
      <c r="I10" s="443">
        <f>transport!I54</f>
        <v>0</v>
      </c>
      <c r="J10" s="443">
        <f>transport!J54</f>
        <v>0</v>
      </c>
      <c r="K10" s="443">
        <f>transport!K54</f>
        <v>0</v>
      </c>
      <c r="L10" s="443">
        <f>transport!L54</f>
        <v>0</v>
      </c>
      <c r="M10" s="443">
        <f>transport!M54</f>
        <v>591.85386036931061</v>
      </c>
      <c r="N10" s="443">
        <f>transport!N54</f>
        <v>0</v>
      </c>
      <c r="O10" s="443">
        <f>transport!O54</f>
        <v>0</v>
      </c>
      <c r="P10" s="444">
        <f>transport!P54</f>
        <v>0</v>
      </c>
      <c r="Q10" s="442">
        <f t="shared" si="0"/>
        <v>10978.820027903639</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6480.7514498043101</v>
      </c>
      <c r="C14" s="450"/>
      <c r="D14" s="450">
        <f>'SEAP template'!E25</f>
        <v>22715.236078598202</v>
      </c>
      <c r="E14" s="450"/>
      <c r="F14" s="450"/>
      <c r="G14" s="450"/>
      <c r="H14" s="450"/>
      <c r="I14" s="450"/>
      <c r="J14" s="450"/>
      <c r="K14" s="450"/>
      <c r="L14" s="450"/>
      <c r="M14" s="450"/>
      <c r="N14" s="450"/>
      <c r="O14" s="450"/>
      <c r="P14" s="451"/>
      <c r="Q14" s="442">
        <f t="shared" si="0"/>
        <v>29195.987528402511</v>
      </c>
    </row>
    <row r="15" spans="1:17" s="452" customFormat="1">
      <c r="A15" s="997" t="s">
        <v>541</v>
      </c>
      <c r="B15" s="945">
        <f ca="1">SUM(B4:B14)</f>
        <v>503846.28855049401</v>
      </c>
      <c r="C15" s="945">
        <f t="shared" ref="C15:Q15" ca="1" si="1">SUM(C4:C14)</f>
        <v>0</v>
      </c>
      <c r="D15" s="945">
        <f t="shared" ca="1" si="1"/>
        <v>908615.14930708683</v>
      </c>
      <c r="E15" s="945">
        <f t="shared" si="1"/>
        <v>18228.347803133613</v>
      </c>
      <c r="F15" s="945">
        <f t="shared" ca="1" si="1"/>
        <v>183896.28110966121</v>
      </c>
      <c r="G15" s="945">
        <f t="shared" si="1"/>
        <v>537345.42487521807</v>
      </c>
      <c r="H15" s="945">
        <f t="shared" si="1"/>
        <v>108836.47778224142</v>
      </c>
      <c r="I15" s="945">
        <f t="shared" si="1"/>
        <v>0</v>
      </c>
      <c r="J15" s="945">
        <f t="shared" si="1"/>
        <v>1136.4745447417101</v>
      </c>
      <c r="K15" s="945">
        <f t="shared" si="1"/>
        <v>0</v>
      </c>
      <c r="L15" s="945">
        <f t="shared" ca="1" si="1"/>
        <v>0</v>
      </c>
      <c r="M15" s="945">
        <f t="shared" si="1"/>
        <v>34590.195493293504</v>
      </c>
      <c r="N15" s="945">
        <f t="shared" ca="1" si="1"/>
        <v>76695.313205379382</v>
      </c>
      <c r="O15" s="945">
        <f t="shared" si="1"/>
        <v>615.95333333333338</v>
      </c>
      <c r="P15" s="945">
        <f t="shared" si="1"/>
        <v>2516.8000000000002</v>
      </c>
      <c r="Q15" s="945">
        <f t="shared" ca="1" si="1"/>
        <v>2376322.7060045833</v>
      </c>
    </row>
    <row r="17" spans="1:17">
      <c r="A17" s="453" t="s">
        <v>542</v>
      </c>
      <c r="B17" s="752">
        <f ca="1">huishoudens!B10</f>
        <v>0.21478023940066004</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24286.02323274911</v>
      </c>
      <c r="C22" s="443">
        <f t="shared" ref="C22:C32" ca="1" si="3">C4*$C$17</f>
        <v>0</v>
      </c>
      <c r="D22" s="443">
        <f t="shared" ref="D22:D32" si="4">D4*$D$17</f>
        <v>78119.421459889301</v>
      </c>
      <c r="E22" s="443">
        <f t="shared" ref="E22:E32" si="5">E4*$E$17</f>
        <v>995.37431584837941</v>
      </c>
      <c r="F22" s="443">
        <f t="shared" ref="F22:F32" si="6">F4*$F$17</f>
        <v>29662.080802949968</v>
      </c>
      <c r="G22" s="443">
        <f t="shared" ref="G22:G32" si="7">G4*$G$17</f>
        <v>0</v>
      </c>
      <c r="H22" s="443">
        <f t="shared" ref="H22:H32" si="8">H4*$H$17</f>
        <v>0</v>
      </c>
      <c r="I22" s="443">
        <f t="shared" ref="I22:I32" si="9">I4*$I$17</f>
        <v>0</v>
      </c>
      <c r="J22" s="443">
        <f t="shared" ref="J22:J32" si="10">J4*$J$17</f>
        <v>189.2383302237632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133252.13814166054</v>
      </c>
    </row>
    <row r="23" spans="1:17">
      <c r="A23" s="442" t="s">
        <v>149</v>
      </c>
      <c r="B23" s="443">
        <f t="shared" ca="1" si="2"/>
        <v>41209.467244956882</v>
      </c>
      <c r="C23" s="443">
        <f t="shared" ca="1" si="3"/>
        <v>0</v>
      </c>
      <c r="D23" s="443">
        <f t="shared" ca="1" si="4"/>
        <v>44111.027823224169</v>
      </c>
      <c r="E23" s="443">
        <f t="shared" si="5"/>
        <v>421.85835380709909</v>
      </c>
      <c r="F23" s="443">
        <f t="shared" ca="1" si="6"/>
        <v>8624.0542826170749</v>
      </c>
      <c r="G23" s="443">
        <f t="shared" si="7"/>
        <v>0</v>
      </c>
      <c r="H23" s="443">
        <f t="shared" si="8"/>
        <v>0</v>
      </c>
      <c r="I23" s="443">
        <f t="shared" si="9"/>
        <v>0</v>
      </c>
      <c r="J23" s="443">
        <f t="shared" si="10"/>
        <v>0.12612461582736859</v>
      </c>
      <c r="K23" s="443">
        <f t="shared" si="11"/>
        <v>0</v>
      </c>
      <c r="L23" s="443">
        <f t="shared" ca="1" si="12"/>
        <v>0</v>
      </c>
      <c r="M23" s="443">
        <f t="shared" si="13"/>
        <v>0</v>
      </c>
      <c r="N23" s="443">
        <f t="shared" ca="1" si="14"/>
        <v>0</v>
      </c>
      <c r="O23" s="443">
        <f t="shared" si="15"/>
        <v>0</v>
      </c>
      <c r="P23" s="444">
        <f t="shared" si="16"/>
        <v>0</v>
      </c>
      <c r="Q23" s="442">
        <f t="shared" ref="Q23:Q32" ca="1" si="17">SUM(B23:P23)</f>
        <v>94366.533829221036</v>
      </c>
    </row>
    <row r="24" spans="1:17">
      <c r="A24" s="442" t="s">
        <v>187</v>
      </c>
      <c r="B24" s="443">
        <f t="shared" ca="1" si="2"/>
        <v>914.76772548823908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914.76772548823908</v>
      </c>
    </row>
    <row r="25" spans="1:17">
      <c r="A25" s="442" t="s">
        <v>105</v>
      </c>
      <c r="B25" s="443">
        <f t="shared" ca="1" si="2"/>
        <v>196.59682652579852</v>
      </c>
      <c r="C25" s="443">
        <f t="shared" ca="1" si="3"/>
        <v>0</v>
      </c>
      <c r="D25" s="443">
        <f t="shared" si="4"/>
        <v>339.9123851549175</v>
      </c>
      <c r="E25" s="443">
        <f t="shared" si="5"/>
        <v>6.1073492505068572</v>
      </c>
      <c r="F25" s="443">
        <f t="shared" si="6"/>
        <v>1018.1390029232771</v>
      </c>
      <c r="G25" s="443">
        <f t="shared" si="7"/>
        <v>0</v>
      </c>
      <c r="H25" s="443">
        <f t="shared" si="8"/>
        <v>0</v>
      </c>
      <c r="I25" s="443">
        <f t="shared" si="9"/>
        <v>0</v>
      </c>
      <c r="J25" s="443">
        <f t="shared" si="10"/>
        <v>46.945012401388666</v>
      </c>
      <c r="K25" s="443">
        <f t="shared" si="11"/>
        <v>0</v>
      </c>
      <c r="L25" s="443">
        <f t="shared" si="12"/>
        <v>0</v>
      </c>
      <c r="M25" s="443">
        <f t="shared" si="13"/>
        <v>0</v>
      </c>
      <c r="N25" s="443">
        <f t="shared" si="14"/>
        <v>0</v>
      </c>
      <c r="O25" s="443">
        <f t="shared" si="15"/>
        <v>0</v>
      </c>
      <c r="P25" s="444">
        <f t="shared" si="16"/>
        <v>0</v>
      </c>
      <c r="Q25" s="442">
        <f t="shared" ca="1" si="17"/>
        <v>1607.7005762558886</v>
      </c>
    </row>
    <row r="26" spans="1:17">
      <c r="A26" s="442" t="s">
        <v>621</v>
      </c>
      <c r="B26" s="443">
        <f t="shared" ca="1" si="2"/>
        <v>40102.141214225827</v>
      </c>
      <c r="C26" s="443">
        <f t="shared" ca="1" si="3"/>
        <v>0</v>
      </c>
      <c r="D26" s="443">
        <f t="shared" si="4"/>
        <v>56247.541241355742</v>
      </c>
      <c r="E26" s="443">
        <f t="shared" si="5"/>
        <v>2425.4352278286024</v>
      </c>
      <c r="F26" s="443">
        <f t="shared" si="6"/>
        <v>9796.0329677892296</v>
      </c>
      <c r="G26" s="443">
        <f t="shared" si="7"/>
        <v>0</v>
      </c>
      <c r="H26" s="443">
        <f t="shared" si="8"/>
        <v>0</v>
      </c>
      <c r="I26" s="443">
        <f t="shared" si="9"/>
        <v>0</v>
      </c>
      <c r="J26" s="443">
        <f t="shared" si="10"/>
        <v>166.00252159758614</v>
      </c>
      <c r="K26" s="443">
        <f t="shared" si="11"/>
        <v>0</v>
      </c>
      <c r="L26" s="443">
        <f t="shared" si="12"/>
        <v>0</v>
      </c>
      <c r="M26" s="443">
        <f t="shared" si="13"/>
        <v>0</v>
      </c>
      <c r="N26" s="443">
        <f t="shared" si="14"/>
        <v>0</v>
      </c>
      <c r="O26" s="443">
        <f t="shared" si="15"/>
        <v>0</v>
      </c>
      <c r="P26" s="444">
        <f t="shared" si="16"/>
        <v>0</v>
      </c>
      <c r="Q26" s="442">
        <f t="shared" ca="1" si="17"/>
        <v>108737.153172797</v>
      </c>
    </row>
    <row r="27" spans="1:17" s="448" customFormat="1">
      <c r="A27" s="446" t="s">
        <v>547</v>
      </c>
      <c r="B27" s="746">
        <f t="shared" ca="1" si="2"/>
        <v>91.794744944862643</v>
      </c>
      <c r="C27" s="447">
        <f t="shared" ca="1" si="3"/>
        <v>0</v>
      </c>
      <c r="D27" s="447">
        <f t="shared" si="4"/>
        <v>133.87956253059812</v>
      </c>
      <c r="E27" s="447">
        <f t="shared" si="5"/>
        <v>289.05970457674255</v>
      </c>
      <c r="F27" s="447">
        <f t="shared" si="6"/>
        <v>0</v>
      </c>
      <c r="G27" s="447">
        <f t="shared" si="7"/>
        <v>140727.11974314268</v>
      </c>
      <c r="H27" s="447">
        <f t="shared" si="8"/>
        <v>27100.282967778112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168342.13672297302</v>
      </c>
    </row>
    <row r="28" spans="1:17">
      <c r="A28" s="442" t="s">
        <v>537</v>
      </c>
      <c r="B28" s="443">
        <f t="shared" ca="1" si="2"/>
        <v>23.498139233276266</v>
      </c>
      <c r="C28" s="443">
        <f t="shared" ca="1" si="3"/>
        <v>0</v>
      </c>
      <c r="D28" s="443">
        <f t="shared" si="4"/>
        <v>0</v>
      </c>
      <c r="E28" s="443">
        <f t="shared" si="5"/>
        <v>0</v>
      </c>
      <c r="F28" s="443">
        <f t="shared" si="6"/>
        <v>0</v>
      </c>
      <c r="G28" s="443">
        <f t="shared" si="7"/>
        <v>2744.10869854055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2767.6068377738261</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1391.9373478851444</v>
      </c>
      <c r="C32" s="443">
        <f t="shared" ca="1" si="3"/>
        <v>0</v>
      </c>
      <c r="D32" s="443">
        <f t="shared" si="4"/>
        <v>4588.4776878768371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5980.4150357619819</v>
      </c>
    </row>
    <row r="33" spans="1:17" s="452" customFormat="1">
      <c r="A33" s="997" t="s">
        <v>541</v>
      </c>
      <c r="B33" s="945">
        <f ca="1">SUM(B22:B32)</f>
        <v>108216.22647600913</v>
      </c>
      <c r="C33" s="945">
        <f t="shared" ref="C33:Q33" ca="1" si="18">SUM(C22:C32)</f>
        <v>0</v>
      </c>
      <c r="D33" s="945">
        <f t="shared" ca="1" si="18"/>
        <v>183540.26016003158</v>
      </c>
      <c r="E33" s="945">
        <f t="shared" si="18"/>
        <v>4137.8349513113299</v>
      </c>
      <c r="F33" s="945">
        <f t="shared" ca="1" si="18"/>
        <v>49100.307056279555</v>
      </c>
      <c r="G33" s="945">
        <f t="shared" si="18"/>
        <v>143471.22844168323</v>
      </c>
      <c r="H33" s="945">
        <f t="shared" si="18"/>
        <v>27100.282967778112</v>
      </c>
      <c r="I33" s="945">
        <f t="shared" si="18"/>
        <v>0</v>
      </c>
      <c r="J33" s="945">
        <f t="shared" si="18"/>
        <v>402.31198883856541</v>
      </c>
      <c r="K33" s="945">
        <f t="shared" si="18"/>
        <v>0</v>
      </c>
      <c r="L33" s="945">
        <f t="shared" ca="1" si="18"/>
        <v>0</v>
      </c>
      <c r="M33" s="945">
        <f t="shared" si="18"/>
        <v>0</v>
      </c>
      <c r="N33" s="945">
        <f t="shared" ca="1" si="18"/>
        <v>0</v>
      </c>
      <c r="O33" s="945">
        <f t="shared" si="18"/>
        <v>0</v>
      </c>
      <c r="P33" s="945">
        <f t="shared" si="18"/>
        <v>0</v>
      </c>
      <c r="Q33" s="945">
        <f t="shared" ca="1" si="18"/>
        <v>515968.45204193151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14180.10540113135</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14180.10540113135</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0.21478023940066004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0.21478023940066004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0.21478023940066004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0.21478023940066004</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35693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1911.76</v>
      </c>
      <c r="C14" s="324"/>
      <c r="D14" s="324"/>
      <c r="E14" s="324"/>
      <c r="F14" s="324"/>
    </row>
    <row r="15" spans="1:6">
      <c r="A15" s="1289" t="s">
        <v>177</v>
      </c>
      <c r="B15" s="1290">
        <v>6</v>
      </c>
      <c r="C15" s="324"/>
      <c r="D15" s="324"/>
      <c r="E15" s="324"/>
      <c r="F15" s="324"/>
    </row>
    <row r="16" spans="1:6">
      <c r="A16" s="1289" t="s">
        <v>6</v>
      </c>
      <c r="B16" s="1290">
        <v>254</v>
      </c>
      <c r="C16" s="324"/>
      <c r="D16" s="324"/>
      <c r="E16" s="324"/>
      <c r="F16" s="324"/>
    </row>
    <row r="17" spans="1:6">
      <c r="A17" s="1289" t="s">
        <v>7</v>
      </c>
      <c r="B17" s="1290">
        <v>266</v>
      </c>
      <c r="C17" s="324"/>
      <c r="D17" s="324"/>
      <c r="E17" s="324"/>
      <c r="F17" s="324"/>
    </row>
    <row r="18" spans="1:6">
      <c r="A18" s="1289" t="s">
        <v>8</v>
      </c>
      <c r="B18" s="1290">
        <v>441</v>
      </c>
      <c r="C18" s="324"/>
      <c r="D18" s="324"/>
      <c r="E18" s="324"/>
      <c r="F18" s="324"/>
    </row>
    <row r="19" spans="1:6">
      <c r="A19" s="1289" t="s">
        <v>9</v>
      </c>
      <c r="B19" s="1290">
        <v>411</v>
      </c>
      <c r="C19" s="324"/>
      <c r="D19" s="324"/>
      <c r="E19" s="324"/>
      <c r="F19" s="324"/>
    </row>
    <row r="20" spans="1:6">
      <c r="A20" s="1289" t="s">
        <v>10</v>
      </c>
      <c r="B20" s="1290">
        <v>472</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241</v>
      </c>
      <c r="C26" s="324"/>
      <c r="D26" s="324"/>
      <c r="E26" s="324"/>
      <c r="F26" s="324"/>
    </row>
    <row r="27" spans="1:6">
      <c r="A27" s="1289" t="s">
        <v>17</v>
      </c>
      <c r="B27" s="1290">
        <v>0</v>
      </c>
      <c r="C27" s="324"/>
      <c r="D27" s="324"/>
      <c r="E27" s="324"/>
      <c r="F27" s="324"/>
    </row>
    <row r="28" spans="1:6">
      <c r="A28" s="1289" t="s">
        <v>18</v>
      </c>
      <c r="B28" s="1291">
        <v>3</v>
      </c>
      <c r="C28" s="324"/>
      <c r="D28" s="324"/>
      <c r="E28" s="324"/>
      <c r="F28" s="324"/>
    </row>
    <row r="29" spans="1:6">
      <c r="A29" s="1289" t="s">
        <v>716</v>
      </c>
      <c r="B29" s="1291">
        <v>328</v>
      </c>
      <c r="C29" s="324"/>
      <c r="D29" s="324"/>
      <c r="E29" s="324"/>
      <c r="F29" s="324"/>
    </row>
    <row r="30" spans="1:6">
      <c r="A30" s="1284" t="s">
        <v>717</v>
      </c>
      <c r="B30" s="1292">
        <v>79</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13</v>
      </c>
      <c r="D36" s="1290">
        <v>3009777.5460719499</v>
      </c>
      <c r="E36" s="1290">
        <v>10</v>
      </c>
      <c r="F36" s="1290">
        <v>2362565.2272443902</v>
      </c>
    </row>
    <row r="37" spans="1:6">
      <c r="A37" s="1289" t="s">
        <v>24</v>
      </c>
      <c r="B37" s="1289" t="s">
        <v>27</v>
      </c>
      <c r="C37" s="1290">
        <v>0</v>
      </c>
      <c r="D37" s="1290">
        <v>0</v>
      </c>
      <c r="E37" s="1290">
        <v>0</v>
      </c>
      <c r="F37" s="1290">
        <v>0</v>
      </c>
    </row>
    <row r="38" spans="1:6">
      <c r="A38" s="1289" t="s">
        <v>24</v>
      </c>
      <c r="B38" s="1289" t="s">
        <v>28</v>
      </c>
      <c r="C38" s="1290">
        <v>1</v>
      </c>
      <c r="D38" s="1290">
        <v>11494.0745988486</v>
      </c>
      <c r="E38" s="1290">
        <v>6</v>
      </c>
      <c r="F38" s="1290">
        <v>313756.47650443402</v>
      </c>
    </row>
    <row r="39" spans="1:6">
      <c r="A39" s="1289" t="s">
        <v>29</v>
      </c>
      <c r="B39" s="1289" t="s">
        <v>30</v>
      </c>
      <c r="C39" s="1290">
        <v>29510</v>
      </c>
      <c r="D39" s="1290">
        <v>428747016.85961503</v>
      </c>
      <c r="E39" s="1290">
        <v>36257</v>
      </c>
      <c r="F39" s="1290">
        <v>105595565.436371</v>
      </c>
    </row>
    <row r="40" spans="1:6">
      <c r="A40" s="1289" t="s">
        <v>29</v>
      </c>
      <c r="B40" s="1289" t="s">
        <v>28</v>
      </c>
      <c r="C40" s="1290">
        <v>0</v>
      </c>
      <c r="D40" s="1290">
        <v>0</v>
      </c>
      <c r="E40" s="1290">
        <v>0</v>
      </c>
      <c r="F40" s="1290">
        <v>0</v>
      </c>
    </row>
    <row r="41" spans="1:6">
      <c r="A41" s="1289" t="s">
        <v>31</v>
      </c>
      <c r="B41" s="1289" t="s">
        <v>32</v>
      </c>
      <c r="C41" s="1290">
        <v>251</v>
      </c>
      <c r="D41" s="1290">
        <v>12640176.946836401</v>
      </c>
      <c r="E41" s="1290">
        <v>477</v>
      </c>
      <c r="F41" s="1290">
        <v>11277436.507607499</v>
      </c>
    </row>
    <row r="42" spans="1:6">
      <c r="A42" s="1289" t="s">
        <v>31</v>
      </c>
      <c r="B42" s="1289" t="s">
        <v>33</v>
      </c>
      <c r="C42" s="1290">
        <v>3</v>
      </c>
      <c r="D42" s="1290">
        <v>36849090.148468599</v>
      </c>
      <c r="E42" s="1290">
        <v>4</v>
      </c>
      <c r="F42" s="1290">
        <v>23143446.5062485</v>
      </c>
    </row>
    <row r="43" spans="1:6">
      <c r="A43" s="1289" t="s">
        <v>31</v>
      </c>
      <c r="B43" s="1289" t="s">
        <v>34</v>
      </c>
      <c r="C43" s="1290">
        <v>0</v>
      </c>
      <c r="D43" s="1290">
        <v>0</v>
      </c>
      <c r="E43" s="1290">
        <v>0</v>
      </c>
      <c r="F43" s="1290">
        <v>0</v>
      </c>
    </row>
    <row r="44" spans="1:6">
      <c r="A44" s="1289" t="s">
        <v>31</v>
      </c>
      <c r="B44" s="1289" t="s">
        <v>35</v>
      </c>
      <c r="C44" s="1290">
        <v>11</v>
      </c>
      <c r="D44" s="1290">
        <v>979194.497971643</v>
      </c>
      <c r="E44" s="1290">
        <v>56</v>
      </c>
      <c r="F44" s="1290">
        <v>9666386.9301662892</v>
      </c>
    </row>
    <row r="45" spans="1:6">
      <c r="A45" s="1289" t="s">
        <v>31</v>
      </c>
      <c r="B45" s="1289" t="s">
        <v>36</v>
      </c>
      <c r="C45" s="1290">
        <v>0</v>
      </c>
      <c r="D45" s="1290">
        <v>0</v>
      </c>
      <c r="E45" s="1290">
        <v>7</v>
      </c>
      <c r="F45" s="1290">
        <v>71899.159263442896</v>
      </c>
    </row>
    <row r="46" spans="1:6">
      <c r="A46" s="1289" t="s">
        <v>31</v>
      </c>
      <c r="B46" s="1289" t="s">
        <v>37</v>
      </c>
      <c r="C46" s="1290">
        <v>0</v>
      </c>
      <c r="D46" s="1290">
        <v>0</v>
      </c>
      <c r="E46" s="1290">
        <v>0</v>
      </c>
      <c r="F46" s="1290">
        <v>0</v>
      </c>
    </row>
    <row r="47" spans="1:6">
      <c r="A47" s="1289" t="s">
        <v>31</v>
      </c>
      <c r="B47" s="1289" t="s">
        <v>38</v>
      </c>
      <c r="C47" s="1290">
        <v>22</v>
      </c>
      <c r="D47" s="1290">
        <v>5937077.0512226699</v>
      </c>
      <c r="E47" s="1290">
        <v>35</v>
      </c>
      <c r="F47" s="1290">
        <v>5060280.1542497296</v>
      </c>
    </row>
    <row r="48" spans="1:6">
      <c r="A48" s="1289" t="s">
        <v>31</v>
      </c>
      <c r="B48" s="1289" t="s">
        <v>28</v>
      </c>
      <c r="C48" s="1290">
        <v>102</v>
      </c>
      <c r="D48" s="1290">
        <v>246068562.10057801</v>
      </c>
      <c r="E48" s="1290">
        <v>121</v>
      </c>
      <c r="F48" s="1290">
        <v>130736142.748421</v>
      </c>
    </row>
    <row r="49" spans="1:6">
      <c r="A49" s="1289" t="s">
        <v>31</v>
      </c>
      <c r="B49" s="1289" t="s">
        <v>39</v>
      </c>
      <c r="C49" s="1290">
        <v>0</v>
      </c>
      <c r="D49" s="1290">
        <v>0</v>
      </c>
      <c r="E49" s="1290">
        <v>0</v>
      </c>
      <c r="F49" s="1290">
        <v>0</v>
      </c>
    </row>
    <row r="50" spans="1:6">
      <c r="A50" s="1289" t="s">
        <v>31</v>
      </c>
      <c r="B50" s="1289" t="s">
        <v>40</v>
      </c>
      <c r="C50" s="1290">
        <v>40</v>
      </c>
      <c r="D50" s="1290">
        <v>6232301.09766893</v>
      </c>
      <c r="E50" s="1290">
        <v>73</v>
      </c>
      <c r="F50" s="1290">
        <v>6756841.7176023303</v>
      </c>
    </row>
    <row r="51" spans="1:6">
      <c r="A51" s="1289" t="s">
        <v>41</v>
      </c>
      <c r="B51" s="1289" t="s">
        <v>42</v>
      </c>
      <c r="C51" s="1290">
        <v>15</v>
      </c>
      <c r="D51" s="1290">
        <v>747002.794552912</v>
      </c>
      <c r="E51" s="1290">
        <v>87</v>
      </c>
      <c r="F51" s="1290">
        <v>620765.09447740205</v>
      </c>
    </row>
    <row r="52" spans="1:6">
      <c r="A52" s="1289" t="s">
        <v>41</v>
      </c>
      <c r="B52" s="1289" t="s">
        <v>28</v>
      </c>
      <c r="C52" s="1290">
        <v>12</v>
      </c>
      <c r="D52" s="1290">
        <v>1118556.60674957</v>
      </c>
      <c r="E52" s="1290">
        <v>21</v>
      </c>
      <c r="F52" s="1290">
        <v>294574.35702147899</v>
      </c>
    </row>
    <row r="53" spans="1:6">
      <c r="A53" s="1289" t="s">
        <v>43</v>
      </c>
      <c r="B53" s="1289" t="s">
        <v>44</v>
      </c>
      <c r="C53" s="1290">
        <v>840</v>
      </c>
      <c r="D53" s="1290">
        <v>22715236.078598201</v>
      </c>
      <c r="E53" s="1290">
        <v>1555</v>
      </c>
      <c r="F53" s="1290">
        <v>6480751.4498043098</v>
      </c>
    </row>
    <row r="54" spans="1:6">
      <c r="A54" s="1289" t="s">
        <v>45</v>
      </c>
      <c r="B54" s="1289" t="s">
        <v>46</v>
      </c>
      <c r="C54" s="1290">
        <v>0</v>
      </c>
      <c r="D54" s="1290">
        <v>0</v>
      </c>
      <c r="E54" s="1290">
        <v>1</v>
      </c>
      <c r="F54" s="1290">
        <v>4259087</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347</v>
      </c>
      <c r="D57" s="1290">
        <v>32692067.079060901</v>
      </c>
      <c r="E57" s="1290">
        <v>446</v>
      </c>
      <c r="F57" s="1290">
        <v>15508379.1033701</v>
      </c>
    </row>
    <row r="58" spans="1:6">
      <c r="A58" s="1289" t="s">
        <v>48</v>
      </c>
      <c r="B58" s="1289" t="s">
        <v>50</v>
      </c>
      <c r="C58" s="1290">
        <v>189</v>
      </c>
      <c r="D58" s="1290">
        <v>18858956.783829499</v>
      </c>
      <c r="E58" s="1290">
        <v>241</v>
      </c>
      <c r="F58" s="1290">
        <v>8201503.38973008</v>
      </c>
    </row>
    <row r="59" spans="1:6">
      <c r="A59" s="1289" t="s">
        <v>48</v>
      </c>
      <c r="B59" s="1289" t="s">
        <v>51</v>
      </c>
      <c r="C59" s="1290">
        <v>702</v>
      </c>
      <c r="D59" s="1290">
        <v>37568989.992494702</v>
      </c>
      <c r="E59" s="1290">
        <v>1098</v>
      </c>
      <c r="F59" s="1290">
        <v>40780735.591331601</v>
      </c>
    </row>
    <row r="60" spans="1:6">
      <c r="A60" s="1289" t="s">
        <v>48</v>
      </c>
      <c r="B60" s="1289" t="s">
        <v>52</v>
      </c>
      <c r="C60" s="1290">
        <v>322</v>
      </c>
      <c r="D60" s="1290">
        <v>19921821.247579899</v>
      </c>
      <c r="E60" s="1290">
        <v>395</v>
      </c>
      <c r="F60" s="1290">
        <v>12345291.182604199</v>
      </c>
    </row>
    <row r="61" spans="1:6">
      <c r="A61" s="1289" t="s">
        <v>48</v>
      </c>
      <c r="B61" s="1289" t="s">
        <v>53</v>
      </c>
      <c r="C61" s="1290">
        <v>1376</v>
      </c>
      <c r="D61" s="1290">
        <v>95452932.006166801</v>
      </c>
      <c r="E61" s="1290">
        <v>2941</v>
      </c>
      <c r="F61" s="1290">
        <v>101474989.39453299</v>
      </c>
    </row>
    <row r="62" spans="1:6">
      <c r="A62" s="1289" t="s">
        <v>48</v>
      </c>
      <c r="B62" s="1289" t="s">
        <v>54</v>
      </c>
      <c r="C62" s="1290">
        <v>93</v>
      </c>
      <c r="D62" s="1290">
        <v>17982977.363415901</v>
      </c>
      <c r="E62" s="1290">
        <v>97</v>
      </c>
      <c r="F62" s="1290">
        <v>5439090.5565187996</v>
      </c>
    </row>
    <row r="63" spans="1:6">
      <c r="A63" s="1289" t="s">
        <v>48</v>
      </c>
      <c r="B63" s="1289" t="s">
        <v>28</v>
      </c>
      <c r="C63" s="1290">
        <v>242</v>
      </c>
      <c r="D63" s="1290">
        <v>19619178.883823</v>
      </c>
      <c r="E63" s="1290">
        <v>284</v>
      </c>
      <c r="F63" s="1290">
        <v>8118067.9176667696</v>
      </c>
    </row>
    <row r="64" spans="1:6">
      <c r="A64" s="1289" t="s">
        <v>55</v>
      </c>
      <c r="B64" s="1289" t="s">
        <v>56</v>
      </c>
      <c r="C64" s="1290">
        <v>0</v>
      </c>
      <c r="D64" s="1290">
        <v>0</v>
      </c>
      <c r="E64" s="1290">
        <v>0</v>
      </c>
      <c r="F64" s="1290">
        <v>0</v>
      </c>
    </row>
    <row r="65" spans="1:6">
      <c r="A65" s="1289" t="s">
        <v>55</v>
      </c>
      <c r="B65" s="1289" t="s">
        <v>28</v>
      </c>
      <c r="C65" s="1290">
        <v>6</v>
      </c>
      <c r="D65" s="1290">
        <v>23102143.6729583</v>
      </c>
      <c r="E65" s="1290">
        <v>6</v>
      </c>
      <c r="F65" s="1290">
        <v>77995.5703847283</v>
      </c>
    </row>
    <row r="66" spans="1:6">
      <c r="A66" s="1289" t="s">
        <v>55</v>
      </c>
      <c r="B66" s="1289" t="s">
        <v>57</v>
      </c>
      <c r="C66" s="1290">
        <v>3</v>
      </c>
      <c r="D66" s="1290">
        <v>321656.61423077597</v>
      </c>
      <c r="E66" s="1290">
        <v>57</v>
      </c>
      <c r="F66" s="1290">
        <v>2864495.33580143</v>
      </c>
    </row>
    <row r="67" spans="1:6">
      <c r="A67" s="1289" t="s">
        <v>55</v>
      </c>
      <c r="B67" s="1289" t="s">
        <v>58</v>
      </c>
      <c r="C67" s="1290">
        <v>0</v>
      </c>
      <c r="D67" s="1290">
        <v>0</v>
      </c>
      <c r="E67" s="1290">
        <v>0</v>
      </c>
      <c r="F67" s="1290">
        <v>0</v>
      </c>
    </row>
    <row r="68" spans="1:6">
      <c r="A68" s="1284" t="s">
        <v>55</v>
      </c>
      <c r="B68" s="1284" t="s">
        <v>59</v>
      </c>
      <c r="C68" s="1292">
        <v>21</v>
      </c>
      <c r="D68" s="1292">
        <v>795879.33215418598</v>
      </c>
      <c r="E68" s="1292">
        <v>40</v>
      </c>
      <c r="F68" s="1292">
        <v>3178010.41113307</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308845832</v>
      </c>
      <c r="E73" s="441"/>
      <c r="F73" s="324"/>
    </row>
    <row r="74" spans="1:6">
      <c r="A74" s="1289" t="s">
        <v>63</v>
      </c>
      <c r="B74" s="1289" t="s">
        <v>642</v>
      </c>
      <c r="C74" s="1302" t="s">
        <v>644</v>
      </c>
      <c r="D74" s="1290">
        <v>19201352</v>
      </c>
      <c r="E74" s="441"/>
      <c r="F74" s="324"/>
    </row>
    <row r="75" spans="1:6">
      <c r="A75" s="1289" t="s">
        <v>64</v>
      </c>
      <c r="B75" s="1289" t="s">
        <v>641</v>
      </c>
      <c r="C75" s="1302" t="s">
        <v>645</v>
      </c>
      <c r="D75" s="1290">
        <v>77569309</v>
      </c>
      <c r="E75" s="441"/>
      <c r="F75" s="324"/>
    </row>
    <row r="76" spans="1:6">
      <c r="A76" s="1289" t="s">
        <v>64</v>
      </c>
      <c r="B76" s="1289" t="s">
        <v>642</v>
      </c>
      <c r="C76" s="1302" t="s">
        <v>646</v>
      </c>
      <c r="D76" s="1290">
        <v>2304923</v>
      </c>
      <c r="E76" s="441"/>
      <c r="F76" s="324"/>
    </row>
    <row r="77" spans="1:6">
      <c r="A77" s="1289" t="s">
        <v>65</v>
      </c>
      <c r="B77" s="1289" t="s">
        <v>641</v>
      </c>
      <c r="C77" s="1302" t="s">
        <v>647</v>
      </c>
      <c r="D77" s="1290">
        <v>368123058</v>
      </c>
      <c r="E77" s="441"/>
      <c r="F77" s="324"/>
    </row>
    <row r="78" spans="1:6">
      <c r="A78" s="1284" t="s">
        <v>65</v>
      </c>
      <c r="B78" s="1284" t="s">
        <v>642</v>
      </c>
      <c r="C78" s="1284" t="s">
        <v>648</v>
      </c>
      <c r="D78" s="1292">
        <v>44854561</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2986090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7478.2597000510987</v>
      </c>
      <c r="C91" s="324"/>
      <c r="D91" s="324"/>
      <c r="E91" s="324"/>
      <c r="F91" s="324"/>
    </row>
    <row r="92" spans="1:6">
      <c r="A92" s="1284" t="s">
        <v>68</v>
      </c>
      <c r="B92" s="1285">
        <v>6701.8457010802504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22345</v>
      </c>
      <c r="C97" s="324"/>
      <c r="D97" s="324"/>
      <c r="E97" s="324"/>
      <c r="F97" s="324"/>
    </row>
    <row r="98" spans="1:6">
      <c r="A98" s="1289" t="s">
        <v>71</v>
      </c>
      <c r="B98" s="1290">
        <v>44</v>
      </c>
      <c r="C98" s="324"/>
      <c r="D98" s="324"/>
      <c r="E98" s="324"/>
      <c r="F98" s="324"/>
    </row>
    <row r="99" spans="1:6">
      <c r="A99" s="1289" t="s">
        <v>72</v>
      </c>
      <c r="B99" s="1290">
        <v>106</v>
      </c>
      <c r="C99" s="324"/>
      <c r="D99" s="324"/>
      <c r="E99" s="324"/>
      <c r="F99" s="324"/>
    </row>
    <row r="100" spans="1:6">
      <c r="A100" s="1289" t="s">
        <v>73</v>
      </c>
      <c r="B100" s="1290">
        <v>1577</v>
      </c>
      <c r="C100" s="324"/>
      <c r="D100" s="324"/>
      <c r="E100" s="324"/>
      <c r="F100" s="324"/>
    </row>
    <row r="101" spans="1:6">
      <c r="A101" s="1289" t="s">
        <v>74</v>
      </c>
      <c r="B101" s="1290">
        <v>147</v>
      </c>
      <c r="C101" s="324"/>
      <c r="D101" s="324"/>
      <c r="E101" s="324"/>
      <c r="F101" s="324"/>
    </row>
    <row r="102" spans="1:6">
      <c r="A102" s="1289" t="s">
        <v>75</v>
      </c>
      <c r="B102" s="1290">
        <v>648</v>
      </c>
      <c r="C102" s="324"/>
      <c r="D102" s="324"/>
      <c r="E102" s="324"/>
      <c r="F102" s="324"/>
    </row>
    <row r="103" spans="1:6">
      <c r="A103" s="1289" t="s">
        <v>76</v>
      </c>
      <c r="B103" s="1290">
        <v>662</v>
      </c>
      <c r="C103" s="324"/>
      <c r="D103" s="324"/>
      <c r="E103" s="324"/>
      <c r="F103" s="324"/>
    </row>
    <row r="104" spans="1:6">
      <c r="A104" s="1289" t="s">
        <v>77</v>
      </c>
      <c r="B104" s="1290">
        <v>5761</v>
      </c>
      <c r="C104" s="324"/>
      <c r="D104" s="324"/>
      <c r="E104" s="324"/>
      <c r="F104" s="324"/>
    </row>
    <row r="105" spans="1:6">
      <c r="A105" s="1284" t="s">
        <v>78</v>
      </c>
      <c r="B105" s="1292">
        <v>35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3</v>
      </c>
      <c r="C121" s="1290">
        <v>0</v>
      </c>
      <c r="D121" s="324"/>
      <c r="E121" s="324"/>
      <c r="F121" s="324"/>
    </row>
    <row r="122" spans="1:6">
      <c r="A122" s="1289" t="s">
        <v>86</v>
      </c>
      <c r="B122" s="1290">
        <v>1</v>
      </c>
      <c r="C122" s="1290">
        <v>0</v>
      </c>
      <c r="D122" s="324"/>
      <c r="E122" s="324"/>
      <c r="F122" s="324"/>
    </row>
    <row r="123" spans="1:6">
      <c r="A123" s="1289" t="s">
        <v>87</v>
      </c>
      <c r="B123" s="1290">
        <v>71</v>
      </c>
      <c r="C123" s="1290">
        <v>87</v>
      </c>
      <c r="D123" s="324"/>
      <c r="E123" s="324"/>
      <c r="F123" s="324"/>
    </row>
    <row r="124" spans="1:6">
      <c r="A124" s="1289" t="s">
        <v>88</v>
      </c>
      <c r="B124" s="1290">
        <v>3</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304</v>
      </c>
      <c r="C129" s="324"/>
      <c r="D129" s="324"/>
      <c r="E129" s="324"/>
      <c r="F129" s="324"/>
    </row>
    <row r="130" spans="1:6">
      <c r="A130" s="1289" t="s">
        <v>283</v>
      </c>
      <c r="B130" s="1290">
        <v>3</v>
      </c>
      <c r="C130" s="324"/>
      <c r="D130" s="324"/>
      <c r="E130" s="324"/>
      <c r="F130" s="324"/>
    </row>
    <row r="131" spans="1:6">
      <c r="A131" s="1289" t="s">
        <v>284</v>
      </c>
      <c r="B131" s="1290">
        <v>8</v>
      </c>
      <c r="C131" s="324"/>
      <c r="D131" s="324"/>
      <c r="E131" s="324"/>
      <c r="F131" s="324"/>
    </row>
    <row r="132" spans="1:6">
      <c r="A132" s="1284" t="s">
        <v>285</v>
      </c>
      <c r="B132" s="1285">
        <v>46</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503846.28855049401</v>
      </c>
      <c r="C3" s="43" t="s">
        <v>163</v>
      </c>
      <c r="D3" s="43"/>
      <c r="E3" s="154"/>
      <c r="F3" s="43"/>
      <c r="G3" s="43"/>
      <c r="H3" s="43"/>
      <c r="I3" s="43"/>
      <c r="J3" s="43"/>
      <c r="K3" s="96"/>
    </row>
    <row r="4" spans="1:11">
      <c r="A4" s="350" t="s">
        <v>164</v>
      </c>
      <c r="B4" s="49">
        <f>IF(ISERROR('SEAP template'!B78+'SEAP template'!C78),0,'SEAP template'!B78+'SEAP template'!C78)</f>
        <v>14180.10540113135</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0.21478023940066004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4259.0870000000004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4259.0870000000004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0.21478023940066004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914.76772548823908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105595.56543637101</v>
      </c>
      <c r="C5" s="17">
        <f>IF(ISERROR('Eigen informatie GS &amp; warmtenet'!B57),0,'Eigen informatie GS &amp; warmtenet'!B57)</f>
        <v>0</v>
      </c>
      <c r="D5" s="30">
        <f>(SUM(HH_hh_gas_kWh,HH_rest_gas_kWh)/1000)*0.902</f>
        <v>386729.80920737277</v>
      </c>
      <c r="E5" s="17">
        <f>B32*B41</f>
        <v>4384.9088803893364</v>
      </c>
      <c r="F5" s="17">
        <f>B36*B45</f>
        <v>111093.93559157291</v>
      </c>
      <c r="G5" s="18"/>
      <c r="H5" s="17"/>
      <c r="I5" s="17"/>
      <c r="J5" s="17">
        <f>B35*B44+C35*C44</f>
        <v>534.57155430441583</v>
      </c>
      <c r="K5" s="17"/>
      <c r="L5" s="17"/>
      <c r="M5" s="17"/>
      <c r="N5" s="17">
        <f>B34*B43+C34*C43</f>
        <v>49174.745834699446</v>
      </c>
      <c r="O5" s="17">
        <f>B52*B53*B54</f>
        <v>611.26333333333332</v>
      </c>
      <c r="P5" s="17">
        <f>B60*B61*B62/1000-B60*B61*B62/1000/B63</f>
        <v>2288</v>
      </c>
    </row>
    <row r="6" spans="1:16">
      <c r="A6" s="16" t="s">
        <v>607</v>
      </c>
      <c r="B6" s="754">
        <f>kWh_PV_kleiner_dan_10kW</f>
        <v>7478.2597000510987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113073.82513642211</v>
      </c>
      <c r="C8" s="21">
        <f>C5</f>
        <v>0</v>
      </c>
      <c r="D8" s="21">
        <f>D5</f>
        <v>386729.80920737277</v>
      </c>
      <c r="E8" s="21">
        <f>E5</f>
        <v>4384.9088803893364</v>
      </c>
      <c r="F8" s="21">
        <f>F5</f>
        <v>111093.93559157291</v>
      </c>
      <c r="G8" s="21"/>
      <c r="H8" s="21"/>
      <c r="I8" s="21"/>
      <c r="J8" s="21">
        <f>J5</f>
        <v>534.57155430441583</v>
      </c>
      <c r="K8" s="21"/>
      <c r="L8" s="21">
        <f>L5</f>
        <v>0</v>
      </c>
      <c r="M8" s="21">
        <f>M5</f>
        <v>0</v>
      </c>
      <c r="N8" s="21">
        <f>N5</f>
        <v>49174.745834699446</v>
      </c>
      <c r="O8" s="21">
        <f>O5</f>
        <v>611.26333333333332</v>
      </c>
      <c r="P8" s="21">
        <f>P5</f>
        <v>2288</v>
      </c>
    </row>
    <row r="9" spans="1:16">
      <c r="B9" s="19"/>
      <c r="C9" s="19"/>
      <c r="D9" s="254"/>
      <c r="E9" s="19"/>
      <c r="F9" s="19"/>
      <c r="G9" s="19"/>
      <c r="H9" s="19"/>
      <c r="I9" s="19"/>
      <c r="J9" s="19"/>
      <c r="K9" s="19"/>
      <c r="L9" s="19"/>
      <c r="M9" s="19"/>
      <c r="N9" s="19"/>
      <c r="O9" s="19"/>
      <c r="P9" s="19"/>
    </row>
    <row r="10" spans="1:16">
      <c r="A10" s="24" t="s">
        <v>207</v>
      </c>
      <c r="B10" s="25">
        <f ca="1">'EF ele_warmte'!B12</f>
        <v>0.21478023940066004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24286.02323274911</v>
      </c>
      <c r="C12" s="23">
        <f ca="1">C10*C8</f>
        <v>0</v>
      </c>
      <c r="D12" s="23">
        <f>D8*D10</f>
        <v>78119.421459889301</v>
      </c>
      <c r="E12" s="23">
        <f>E10*E8</f>
        <v>995.37431584837941</v>
      </c>
      <c r="F12" s="23">
        <f>F10*F8</f>
        <v>29662.080802949968</v>
      </c>
      <c r="G12" s="23"/>
      <c r="H12" s="23"/>
      <c r="I12" s="23"/>
      <c r="J12" s="23">
        <f>J10*J8</f>
        <v>189.2383302237632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35693</v>
      </c>
      <c r="C26" s="36"/>
      <c r="D26" s="225"/>
    </row>
    <row r="27" spans="1:5" s="15" customFormat="1">
      <c r="A27" s="227" t="s">
        <v>762</v>
      </c>
      <c r="B27" s="37">
        <f>SUM(HH_hh_gas_aantal,HH_rest_gas_aantal)</f>
        <v>29510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28034.5</v>
      </c>
      <c r="C31" s="34" t="s">
        <v>104</v>
      </c>
      <c r="D31" s="171"/>
    </row>
    <row r="32" spans="1:5">
      <c r="A32" s="168" t="s">
        <v>72</v>
      </c>
      <c r="B32" s="33">
        <f>IF((B21*($B$26-($B$27-0.05*$B$27)-$B$60))&lt;0,0,B21*($B$26-($B$27-0.05*$B$27)-$B$60))</f>
        <v>82.927226275938963</v>
      </c>
      <c r="C32" s="34" t="s">
        <v>104</v>
      </c>
      <c r="D32" s="171"/>
    </row>
    <row r="33" spans="1:6">
      <c r="A33" s="168" t="s">
        <v>73</v>
      </c>
      <c r="B33" s="33">
        <f>IF((B22*($B$26-($B$27-0.05*$B$27)-$B$60))&lt;0,0,B22*($B$26-($B$27-0.05*$B$27)-$B$60))</f>
        <v>1724.1266740141559</v>
      </c>
      <c r="C33" s="34" t="s">
        <v>104</v>
      </c>
      <c r="D33" s="171"/>
    </row>
    <row r="34" spans="1:6">
      <c r="A34" s="168" t="s">
        <v>74</v>
      </c>
      <c r="B34" s="33">
        <f>IF((B24*($B$26-($B$27-0.05*$B$27)-$B$60))&lt;0,0,B24*($B$26-($B$27-0.05*$B$27)-$B$60))</f>
        <v>342.86750388449491</v>
      </c>
      <c r="C34" s="33">
        <f>B26*C24</f>
        <v>7306.1983422280109</v>
      </c>
      <c r="D34" s="230"/>
    </row>
    <row r="35" spans="1:6">
      <c r="A35" s="168" t="s">
        <v>76</v>
      </c>
      <c r="B35" s="33">
        <f>IF((B19*($B$26-($B$27-0.05*$B$27)-$B$60))&lt;0,0,B19*($B$26-($B$27-0.05*$B$27)-$B$60))</f>
        <v>62.76696819189447</v>
      </c>
      <c r="C35" s="33">
        <f>B35/2</f>
        <v>31.383484095947235</v>
      </c>
      <c r="D35" s="230"/>
    </row>
    <row r="36" spans="1:6">
      <c r="A36" s="168" t="s">
        <v>77</v>
      </c>
      <c r="B36" s="33">
        <f>IF((B18*($B$26-($B$27-0.05*$B$27)-$B$60))&lt;0,0,B18*($B$26-($B$27-0.05*$B$27)-$B$60))</f>
        <v>5325.8116276335159</v>
      </c>
      <c r="C36" s="34" t="s">
        <v>104</v>
      </c>
      <c r="D36" s="171"/>
    </row>
    <row r="37" spans="1:6">
      <c r="A37" s="168" t="s">
        <v>78</v>
      </c>
      <c r="B37" s="33">
        <f>B60</f>
        <v>120</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391</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120</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191868.05713575456</v>
      </c>
      <c r="C5" s="17">
        <f>IF(ISERROR('Eigen informatie GS &amp; warmtenet'!B58),0,'Eigen informatie GS &amp; warmtenet'!B58)</f>
        <v>0</v>
      </c>
      <c r="D5" s="30">
        <f>SUM(D6:D12)</f>
        <v>218371.42486744636</v>
      </c>
      <c r="E5" s="17">
        <f>SUM(E6:E12)</f>
        <v>1858.4068449651943</v>
      </c>
      <c r="F5" s="17">
        <f>SUM(F6:F12)</f>
        <v>32299.828773846719</v>
      </c>
      <c r="G5" s="18"/>
      <c r="H5" s="17"/>
      <c r="I5" s="17"/>
      <c r="J5" s="17">
        <f>SUM(J6:J12)</f>
        <v>0.35628422550104122</v>
      </c>
      <c r="K5" s="17"/>
      <c r="L5" s="17"/>
      <c r="M5" s="17"/>
      <c r="N5" s="17">
        <f>SUM(N6:N12)</f>
        <v>14254.667023675844</v>
      </c>
      <c r="O5" s="17">
        <f>B38*B39*B40</f>
        <v>4.6900000000000004</v>
      </c>
      <c r="P5" s="17">
        <f>B46*B47*B48/1000-B46*B47*B48/1000/B49</f>
        <v>228.8</v>
      </c>
      <c r="R5" s="32"/>
    </row>
    <row r="6" spans="1:18">
      <c r="A6" s="32" t="s">
        <v>53</v>
      </c>
      <c r="B6" s="37">
        <f>B26</f>
        <v>101474.989394533</v>
      </c>
      <c r="C6" s="33"/>
      <c r="D6" s="37">
        <f>IF(ISERROR(TER_kantoor_gas_kWh/1000),0,TER_kantoor_gas_kWh/1000)*0.902</f>
        <v>86098.544669562456</v>
      </c>
      <c r="E6" s="33">
        <f>$C$26*'E Balans VL '!I12/100/3.6*1000000</f>
        <v>0.63601148347220238</v>
      </c>
      <c r="F6" s="33">
        <f>$C$26*('E Balans VL '!L12+'E Balans VL '!N12)/100/3.6*1000000</f>
        <v>15248.855424364074</v>
      </c>
      <c r="G6" s="34"/>
      <c r="H6" s="33"/>
      <c r="I6" s="33"/>
      <c r="J6" s="33">
        <f>$C$26*('E Balans VL '!D12+'E Balans VL '!E12)/100/3.6*1000000</f>
        <v>0</v>
      </c>
      <c r="K6" s="33"/>
      <c r="L6" s="33"/>
      <c r="M6" s="33"/>
      <c r="N6" s="33">
        <f>$C$26*'E Balans VL '!Y12/100/3.6*1000000</f>
        <v>97.04578203755716</v>
      </c>
      <c r="O6" s="33"/>
      <c r="P6" s="33"/>
      <c r="R6" s="32"/>
    </row>
    <row r="7" spans="1:18">
      <c r="A7" s="32" t="s">
        <v>52</v>
      </c>
      <c r="B7" s="37">
        <f t="shared" ref="B7:B12" si="0">B27</f>
        <v>12345.2911826042</v>
      </c>
      <c r="C7" s="33"/>
      <c r="D7" s="37">
        <f>IF(ISERROR(TER_horeca_gas_kWh/1000),0,TER_horeca_gas_kWh/1000)*0.902</f>
        <v>17969.482765317069</v>
      </c>
      <c r="E7" s="33">
        <f>$C$27*'E Balans VL '!I9/100/3.6*1000000</f>
        <v>176.78251340193123</v>
      </c>
      <c r="F7" s="33">
        <f>$C$27*('E Balans VL '!L9+'E Balans VL '!N9)/100/3.6*1000000</f>
        <v>1563.3210271072155</v>
      </c>
      <c r="G7" s="34"/>
      <c r="H7" s="33"/>
      <c r="I7" s="33"/>
      <c r="J7" s="33">
        <f>$C$27*('E Balans VL '!D9+'E Balans VL '!E9)/100/3.6*1000000</f>
        <v>0</v>
      </c>
      <c r="K7" s="33"/>
      <c r="L7" s="33"/>
      <c r="M7" s="33"/>
      <c r="N7" s="33">
        <f>$C$27*'E Balans VL '!Y9/100/3.6*1000000</f>
        <v>3.548999024692856</v>
      </c>
      <c r="O7" s="33"/>
      <c r="P7" s="33"/>
      <c r="R7" s="32"/>
    </row>
    <row r="8" spans="1:18">
      <c r="A8" s="6" t="s">
        <v>51</v>
      </c>
      <c r="B8" s="37">
        <f t="shared" si="0"/>
        <v>40780.735591331599</v>
      </c>
      <c r="C8" s="33"/>
      <c r="D8" s="37">
        <f>IF(ISERROR(TER_handel_gas_kWh/1000),0,TER_handel_gas_kWh/1000)*0.902</f>
        <v>33887.228973230223</v>
      </c>
      <c r="E8" s="33">
        <f>$C$28*'E Balans VL '!I13/100/3.6*1000000</f>
        <v>1479.1122510425841</v>
      </c>
      <c r="F8" s="33">
        <f>$C$28*('E Balans VL '!L13+'E Balans VL '!N13)/100/3.6*1000000</f>
        <v>7854.7826060916741</v>
      </c>
      <c r="G8" s="34"/>
      <c r="H8" s="33"/>
      <c r="I8" s="33"/>
      <c r="J8" s="33">
        <f>$C$28*('E Balans VL '!D13+'E Balans VL '!E13)/100/3.6*1000000</f>
        <v>0</v>
      </c>
      <c r="K8" s="33"/>
      <c r="L8" s="33"/>
      <c r="M8" s="33"/>
      <c r="N8" s="33">
        <f>$C$28*'E Balans VL '!Y13/100/3.6*1000000</f>
        <v>56.490702022774357</v>
      </c>
      <c r="O8" s="33"/>
      <c r="P8" s="33"/>
      <c r="R8" s="32"/>
    </row>
    <row r="9" spans="1:18">
      <c r="A9" s="32" t="s">
        <v>50</v>
      </c>
      <c r="B9" s="37">
        <f t="shared" si="0"/>
        <v>8201.50338973008</v>
      </c>
      <c r="C9" s="33"/>
      <c r="D9" s="37">
        <f>IF(ISERROR(TER_gezond_gas_kWh/1000),0,TER_gezond_gas_kWh/1000)*0.902</f>
        <v>17010.779019014211</v>
      </c>
      <c r="E9" s="33">
        <f>$C$29*'E Balans VL '!I10/100/3.6*1000000</f>
        <v>0.5134950874140578</v>
      </c>
      <c r="F9" s="33">
        <f>$C$29*('E Balans VL '!L10+'E Balans VL '!N10)/100/3.6*1000000</f>
        <v>1218.358299744094</v>
      </c>
      <c r="G9" s="34"/>
      <c r="H9" s="33"/>
      <c r="I9" s="33"/>
      <c r="J9" s="33">
        <f>$C$29*('E Balans VL '!D10+'E Balans VL '!E10)/100/3.6*1000000</f>
        <v>0</v>
      </c>
      <c r="K9" s="33"/>
      <c r="L9" s="33"/>
      <c r="M9" s="33"/>
      <c r="N9" s="33">
        <f>$C$29*'E Balans VL '!Y10/100/3.6*1000000</f>
        <v>126.86164580977491</v>
      </c>
      <c r="O9" s="33"/>
      <c r="P9" s="33"/>
      <c r="R9" s="32"/>
    </row>
    <row r="10" spans="1:18">
      <c r="A10" s="32" t="s">
        <v>49</v>
      </c>
      <c r="B10" s="37">
        <f t="shared" si="0"/>
        <v>15508.3791033701</v>
      </c>
      <c r="C10" s="33"/>
      <c r="D10" s="37">
        <f>IF(ISERROR(TER_ander_gas_kWh/1000),0,TER_ander_gas_kWh/1000)*0.902</f>
        <v>29488.244505312934</v>
      </c>
      <c r="E10" s="33">
        <f>$C$30*'E Balans VL '!I14/100/3.6*1000000</f>
        <v>18.485433715387263</v>
      </c>
      <c r="F10" s="33">
        <f>$C$30*('E Balans VL '!L14+'E Balans VL '!N14)/100/3.6*1000000</f>
        <v>4057.6814218251111</v>
      </c>
      <c r="G10" s="34"/>
      <c r="H10" s="33"/>
      <c r="I10" s="33"/>
      <c r="J10" s="33">
        <f>$C$30*('E Balans VL '!D14+'E Balans VL '!E14)/100/3.6*1000000</f>
        <v>0.33662611916664292</v>
      </c>
      <c r="K10" s="33"/>
      <c r="L10" s="33"/>
      <c r="M10" s="33"/>
      <c r="N10" s="33">
        <f>$C$30*'E Balans VL '!Y14/100/3.6*1000000</f>
        <v>13169.336049886857</v>
      </c>
      <c r="O10" s="33"/>
      <c r="P10" s="33"/>
      <c r="R10" s="32"/>
    </row>
    <row r="11" spans="1:18">
      <c r="A11" s="32" t="s">
        <v>54</v>
      </c>
      <c r="B11" s="37">
        <f t="shared" si="0"/>
        <v>5439.0905565187995</v>
      </c>
      <c r="C11" s="33"/>
      <c r="D11" s="37">
        <f>IF(ISERROR(TER_onderwijs_gas_kWh/1000),0,TER_onderwijs_gas_kWh/1000)*0.902</f>
        <v>16220.645581801142</v>
      </c>
      <c r="E11" s="33">
        <f>$C$31*'E Balans VL '!I11/100/3.6*1000000</f>
        <v>82.067116009495251</v>
      </c>
      <c r="F11" s="33">
        <f>$C$31*('E Balans VL '!L11+'E Balans VL '!N11)/100/3.6*1000000</f>
        <v>953.01555755874369</v>
      </c>
      <c r="G11" s="34"/>
      <c r="H11" s="33"/>
      <c r="I11" s="33"/>
      <c r="J11" s="33">
        <f>$C$31*('E Balans VL '!D11+'E Balans VL '!E11)/100/3.6*1000000</f>
        <v>0</v>
      </c>
      <c r="K11" s="33"/>
      <c r="L11" s="33"/>
      <c r="M11" s="33"/>
      <c r="N11" s="33">
        <f>$C$31*'E Balans VL '!Y11/100/3.6*1000000</f>
        <v>15.30601432145469</v>
      </c>
      <c r="O11" s="33"/>
      <c r="P11" s="33"/>
      <c r="R11" s="32"/>
    </row>
    <row r="12" spans="1:18">
      <c r="A12" s="32" t="s">
        <v>248</v>
      </c>
      <c r="B12" s="37">
        <f t="shared" si="0"/>
        <v>8118.06791766677</v>
      </c>
      <c r="C12" s="33"/>
      <c r="D12" s="37">
        <f>IF(ISERROR(TER_rest_gas_kWh/1000),0,TER_rest_gas_kWh/1000)*0.902</f>
        <v>17696.499353208346</v>
      </c>
      <c r="E12" s="33">
        <f>$C$32*'E Balans VL '!I8/100/3.6*1000000</f>
        <v>100.81002422491015</v>
      </c>
      <c r="F12" s="33">
        <f>$C$32*('E Balans VL '!L8+'E Balans VL '!N8)/100/3.6*1000000</f>
        <v>1403.8144371558042</v>
      </c>
      <c r="G12" s="34"/>
      <c r="H12" s="33"/>
      <c r="I12" s="33"/>
      <c r="J12" s="33">
        <f>$C$32*('E Balans VL '!D8+'E Balans VL '!E8)/100/3.6*1000000</f>
        <v>1.9658106334398292E-2</v>
      </c>
      <c r="K12" s="33"/>
      <c r="L12" s="33"/>
      <c r="M12" s="33"/>
      <c r="N12" s="33">
        <f>$C$32*'E Balans VL '!Y8/100/3.6*1000000</f>
        <v>786.07783057273241</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191868.05713575456</v>
      </c>
      <c r="C16" s="21">
        <f t="shared" ca="1" si="1"/>
        <v>0</v>
      </c>
      <c r="D16" s="21">
        <f t="shared" ca="1" si="1"/>
        <v>218371.42486744636</v>
      </c>
      <c r="E16" s="21">
        <f t="shared" si="1"/>
        <v>1858.4068449651943</v>
      </c>
      <c r="F16" s="21">
        <f t="shared" ca="1" si="1"/>
        <v>32299.828773846719</v>
      </c>
      <c r="G16" s="21">
        <f t="shared" si="1"/>
        <v>0</v>
      </c>
      <c r="H16" s="21">
        <f t="shared" si="1"/>
        <v>0</v>
      </c>
      <c r="I16" s="21">
        <f t="shared" si="1"/>
        <v>0</v>
      </c>
      <c r="J16" s="21">
        <f t="shared" si="1"/>
        <v>0.35628422550104122</v>
      </c>
      <c r="K16" s="21">
        <f t="shared" si="1"/>
        <v>0</v>
      </c>
      <c r="L16" s="21">
        <f t="shared" ca="1" si="1"/>
        <v>0</v>
      </c>
      <c r="M16" s="21">
        <f t="shared" si="1"/>
        <v>0</v>
      </c>
      <c r="N16" s="21">
        <f t="shared" ca="1" si="1"/>
        <v>14254.667023675844</v>
      </c>
      <c r="O16" s="21">
        <f>O5</f>
        <v>4.6900000000000004</v>
      </c>
      <c r="P16" s="21">
        <f>P5</f>
        <v>228.8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0.21478023940066004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41209.467244956882</v>
      </c>
      <c r="C20" s="23">
        <f t="shared" ref="C20:P20" ca="1" si="2">C16*C18</f>
        <v>0</v>
      </c>
      <c r="D20" s="23">
        <f t="shared" ca="1" si="2"/>
        <v>44111.027823224169</v>
      </c>
      <c r="E20" s="23">
        <f t="shared" si="2"/>
        <v>421.85835380709909</v>
      </c>
      <c r="F20" s="23">
        <f t="shared" ca="1" si="2"/>
        <v>8624.0542826170749</v>
      </c>
      <c r="G20" s="23">
        <f t="shared" si="2"/>
        <v>0</v>
      </c>
      <c r="H20" s="23">
        <f t="shared" si="2"/>
        <v>0</v>
      </c>
      <c r="I20" s="23">
        <f t="shared" si="2"/>
        <v>0</v>
      </c>
      <c r="J20" s="23">
        <f t="shared" si="2"/>
        <v>0.12612461582736859</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101474.989394533</v>
      </c>
      <c r="C26" s="39">
        <f>IF(ISERROR(B26*3.6/1000000/'E Balans VL '!Z12*100),0,B26*3.6/1000000/'E Balans VL '!Z12*100)</f>
        <v>2.1450205264326851</v>
      </c>
      <c r="D26" s="233" t="s">
        <v>726</v>
      </c>
      <c r="F26" s="6"/>
    </row>
    <row r="27" spans="1:18">
      <c r="A27" s="228" t="s">
        <v>52</v>
      </c>
      <c r="B27" s="33">
        <f>IF(ISERROR(TER_horeca_ele_kWh/1000),0,TER_horeca_ele_kWh/1000)</f>
        <v>12345.2911826042</v>
      </c>
      <c r="C27" s="39">
        <f>IF(ISERROR(B27*3.6/1000000/'E Balans VL '!Z9*100),0,B27*3.6/1000000/'E Balans VL '!Z9*100)</f>
        <v>0.97317470259975924</v>
      </c>
      <c r="D27" s="233" t="s">
        <v>726</v>
      </c>
      <c r="F27" s="6"/>
    </row>
    <row r="28" spans="1:18">
      <c r="A28" s="168" t="s">
        <v>51</v>
      </c>
      <c r="B28" s="33">
        <f>IF(ISERROR(TER_handel_ele_kWh/1000),0,TER_handel_ele_kWh/1000)</f>
        <v>40780.735591331599</v>
      </c>
      <c r="C28" s="39">
        <f>IF(ISERROR(B28*3.6/1000000/'E Balans VL '!Z13*100),0,B28*3.6/1000000/'E Balans VL '!Z13*100)</f>
        <v>1.1836217194960115</v>
      </c>
      <c r="D28" s="233" t="s">
        <v>726</v>
      </c>
      <c r="F28" s="6"/>
    </row>
    <row r="29" spans="1:18">
      <c r="A29" s="228" t="s">
        <v>50</v>
      </c>
      <c r="B29" s="33">
        <f>IF(ISERROR(TER_gezond_ele_kWh/1000),0,TER_gezond_ele_kWh/1000)</f>
        <v>8201.50338973008</v>
      </c>
      <c r="C29" s="39">
        <f>IF(ISERROR(B29*3.6/1000000/'E Balans VL '!Z10*100),0,B29*3.6/1000000/'E Balans VL '!Z10*100)</f>
        <v>0.86375297917906346</v>
      </c>
      <c r="D29" s="233" t="s">
        <v>726</v>
      </c>
      <c r="F29" s="6"/>
    </row>
    <row r="30" spans="1:18">
      <c r="A30" s="228" t="s">
        <v>49</v>
      </c>
      <c r="B30" s="33">
        <f>IF(ISERROR(TER_ander_ele_kWh/1000),0,TER_ander_ele_kWh/1000)</f>
        <v>15508.3791033701</v>
      </c>
      <c r="C30" s="39">
        <f>IF(ISERROR(B30*3.6/1000000/'E Balans VL '!Z14*100),0,B30*3.6/1000000/'E Balans VL '!Z14*100)</f>
        <v>1.1439014110677641</v>
      </c>
      <c r="D30" s="233" t="s">
        <v>726</v>
      </c>
      <c r="F30" s="6"/>
    </row>
    <row r="31" spans="1:18">
      <c r="A31" s="228" t="s">
        <v>54</v>
      </c>
      <c r="B31" s="33">
        <f>IF(ISERROR(TER_onderwijs_ele_kWh/1000),0,TER_onderwijs_ele_kWh/1000)</f>
        <v>5439.0905565187995</v>
      </c>
      <c r="C31" s="39">
        <f>IF(ISERROR(B31*3.6/1000000/'E Balans VL '!Z11*100),0,B31*3.6/1000000/'E Balans VL '!Z11*100)</f>
        <v>1.3507809671899225</v>
      </c>
      <c r="D31" s="233" t="s">
        <v>726</v>
      </c>
    </row>
    <row r="32" spans="1:18">
      <c r="A32" s="228" t="s">
        <v>248</v>
      </c>
      <c r="B32" s="33">
        <f>IF(ISERROR(TER_rest_ele_kWh/1000),0,TER_rest_ele_kWh/1000)</f>
        <v>8118.06791766677</v>
      </c>
      <c r="C32" s="39">
        <f>IF(ISERROR(B32*3.6/1000000/'E Balans VL '!Z8*100),0,B32*3.6/1000000/'E Balans VL '!Z8*100)</f>
        <v>6.6800923322609021E-2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186712.43372355879</v>
      </c>
      <c r="C5" s="17">
        <f>IF(ISERROR('Eigen informatie GS &amp; warmtenet'!B59),0,'Eigen informatie GS &amp; warmtenet'!B59)</f>
        <v>0</v>
      </c>
      <c r="D5" s="30">
        <f>SUM(D6:D15)</f>
        <v>278453.17446215713</v>
      </c>
      <c r="E5" s="17">
        <f>SUM(E6:E15)</f>
        <v>10684.736686469614</v>
      </c>
      <c r="F5" s="17">
        <f>SUM(F6:F15)</f>
        <v>36689.262051645055</v>
      </c>
      <c r="G5" s="18"/>
      <c r="H5" s="17"/>
      <c r="I5" s="17"/>
      <c r="J5" s="17">
        <f>SUM(J6:J15)</f>
        <v>468.93367682933939</v>
      </c>
      <c r="K5" s="17"/>
      <c r="L5" s="17"/>
      <c r="M5" s="17"/>
      <c r="N5" s="17">
        <f>SUM(N6:N15)</f>
        <v>13265.900347004099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9666.3869301662889</v>
      </c>
      <c r="C8" s="33"/>
      <c r="D8" s="37">
        <f>IF( ISERROR(IND_metaal_Gas_kWH/1000),0,IND_metaal_Gas_kWH/1000)*0.902</f>
        <v>883.23343717042201</v>
      </c>
      <c r="E8" s="33">
        <f>C30*'E Balans VL '!I18/100/3.6*1000000</f>
        <v>88.873091937597351</v>
      </c>
      <c r="F8" s="33">
        <f>C30*'E Balans VL '!L18/100/3.6*1000000+C30*'E Balans VL '!N18/100/3.6*1000000</f>
        <v>906.38526745192917</v>
      </c>
      <c r="G8" s="34"/>
      <c r="H8" s="33"/>
      <c r="I8" s="33"/>
      <c r="J8" s="40">
        <f>C30*'E Balans VL '!D18/100/3.6*1000000+C30*'E Balans VL '!E18/100/3.6*1000000</f>
        <v>0</v>
      </c>
      <c r="K8" s="33"/>
      <c r="L8" s="33"/>
      <c r="M8" s="33"/>
      <c r="N8" s="33">
        <f>C30*'E Balans VL '!Y18/100/3.6*1000000</f>
        <v>137.90698393592197</v>
      </c>
      <c r="O8" s="33"/>
      <c r="P8" s="33"/>
      <c r="R8" s="32"/>
    </row>
    <row r="9" spans="1:18">
      <c r="A9" s="6" t="s">
        <v>32</v>
      </c>
      <c r="B9" s="37">
        <f t="shared" si="0"/>
        <v>11277.436507607499</v>
      </c>
      <c r="C9" s="33"/>
      <c r="D9" s="37">
        <f>IF( ISERROR(IND_andere_gas_kWh/1000),0,IND_andere_gas_kWh/1000)*0.902</f>
        <v>11401.439606046433</v>
      </c>
      <c r="E9" s="33">
        <f>C31*'E Balans VL '!I19/100/3.6*1000000</f>
        <v>3296.6142369671993</v>
      </c>
      <c r="F9" s="33">
        <f>C31*'E Balans VL '!L19/100/3.6*1000000+C31*'E Balans VL '!N19/100/3.6*1000000</f>
        <v>9062.27385737027</v>
      </c>
      <c r="G9" s="34"/>
      <c r="H9" s="33"/>
      <c r="I9" s="33"/>
      <c r="J9" s="40">
        <f>C31*'E Balans VL '!D19/100/3.6*1000000+C31*'E Balans VL '!E19/100/3.6*1000000</f>
        <v>0</v>
      </c>
      <c r="K9" s="33"/>
      <c r="L9" s="33"/>
      <c r="M9" s="33"/>
      <c r="N9" s="33">
        <f>C31*'E Balans VL '!Y19/100/3.6*1000000</f>
        <v>884.58680299353261</v>
      </c>
      <c r="O9" s="33"/>
      <c r="P9" s="33"/>
      <c r="R9" s="32"/>
    </row>
    <row r="10" spans="1:18">
      <c r="A10" s="6" t="s">
        <v>40</v>
      </c>
      <c r="B10" s="37">
        <f t="shared" si="0"/>
        <v>6756.8417176023304</v>
      </c>
      <c r="C10" s="33"/>
      <c r="D10" s="37">
        <f>IF( ISERROR(IND_voed_gas_kWh/1000),0,IND_voed_gas_kWh/1000)*0.902</f>
        <v>5621.5355900973755</v>
      </c>
      <c r="E10" s="33">
        <f>C32*'E Balans VL '!I20/100/3.6*1000000</f>
        <v>14.294203419659397</v>
      </c>
      <c r="F10" s="33">
        <f>C32*'E Balans VL '!L20/100/3.6*1000000+C32*'E Balans VL '!N20/100/3.6*1000000</f>
        <v>429.60689831657527</v>
      </c>
      <c r="G10" s="34"/>
      <c r="H10" s="33"/>
      <c r="I10" s="33"/>
      <c r="J10" s="40">
        <f>C32*'E Balans VL '!D20/100/3.6*1000000+C32*'E Balans VL '!E20/100/3.6*1000000</f>
        <v>0</v>
      </c>
      <c r="K10" s="33"/>
      <c r="L10" s="33"/>
      <c r="M10" s="33"/>
      <c r="N10" s="33">
        <f>C32*'E Balans VL '!Y20/100/3.6*1000000</f>
        <v>466.28875665788263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71.899159263442897</v>
      </c>
      <c r="C12" s="33"/>
      <c r="D12" s="37">
        <f>IF( ISERROR(IND_min_gas_kWh/1000),0,IND_min_gas_kWh/1000)*0.902</f>
        <v>0</v>
      </c>
      <c r="E12" s="33">
        <f>C34*'E Balans VL '!I22/100/3.6*1000000</f>
        <v>2.0840605704580595</v>
      </c>
      <c r="F12" s="33">
        <f>C34*'E Balans VL '!L22/100/3.6*1000000+C34*'E Balans VL '!N22/100/3.6*1000000</f>
        <v>24.719743433379136</v>
      </c>
      <c r="G12" s="34"/>
      <c r="H12" s="33"/>
      <c r="I12" s="33"/>
      <c r="J12" s="40">
        <f>C34*'E Balans VL '!D22/100/3.6*1000000+C34*'E Balans VL '!E22/100/3.6*1000000</f>
        <v>0.1181519851582966</v>
      </c>
      <c r="K12" s="33"/>
      <c r="L12" s="33"/>
      <c r="M12" s="33"/>
      <c r="N12" s="33">
        <f>C34*'E Balans VL '!Y22/100/3.6*1000000</f>
        <v>15.739907502594946</v>
      </c>
      <c r="O12" s="33"/>
      <c r="P12" s="33"/>
      <c r="R12" s="32"/>
    </row>
    <row r="13" spans="1:18">
      <c r="A13" s="6" t="s">
        <v>38</v>
      </c>
      <c r="B13" s="37">
        <f t="shared" si="0"/>
        <v>5060.28015424973</v>
      </c>
      <c r="C13" s="33"/>
      <c r="D13" s="37">
        <f>IF( ISERROR(IND_papier_gas_kWh/1000),0,IND_papier_gas_kWh/1000)*0.902</f>
        <v>5355.2435002028487</v>
      </c>
      <c r="E13" s="33">
        <f>C35*'E Balans VL '!I23/100/3.6*1000000</f>
        <v>7.1793802617930096</v>
      </c>
      <c r="F13" s="33">
        <f>C35*'E Balans VL '!L23/100/3.6*1000000+C35*'E Balans VL '!N23/100/3.6*1000000</f>
        <v>123.54046644542723</v>
      </c>
      <c r="G13" s="34"/>
      <c r="H13" s="33"/>
      <c r="I13" s="33"/>
      <c r="J13" s="40">
        <f>C35*'E Balans VL '!D23/100/3.6*1000000+C35*'E Balans VL '!E23/100/3.6*1000000</f>
        <v>0.7826198346598745</v>
      </c>
      <c r="K13" s="33"/>
      <c r="L13" s="33"/>
      <c r="M13" s="33"/>
      <c r="N13" s="33">
        <f>C35*'E Balans VL '!Y23/100/3.6*1000000</f>
        <v>2067.5571018847804</v>
      </c>
      <c r="O13" s="33"/>
      <c r="P13" s="33"/>
      <c r="R13" s="32"/>
    </row>
    <row r="14" spans="1:18">
      <c r="A14" s="6" t="s">
        <v>33</v>
      </c>
      <c r="B14" s="37">
        <f t="shared" si="0"/>
        <v>23143.4465062485</v>
      </c>
      <c r="C14" s="33"/>
      <c r="D14" s="37">
        <f>IF( ISERROR(IND_chemie_gas_kWh/1000),0,IND_chemie_gas_kWh/1000)*0.902</f>
        <v>33237.879313918675</v>
      </c>
      <c r="E14" s="33">
        <f>C36*'E Balans VL '!I24/100/3.6*1000000</f>
        <v>56.972534265725166</v>
      </c>
      <c r="F14" s="33">
        <f>C36*'E Balans VL '!L24/100/3.6*1000000+C36*'E Balans VL '!N24/100/3.6*1000000</f>
        <v>247.81893974075209</v>
      </c>
      <c r="G14" s="34"/>
      <c r="H14" s="33"/>
      <c r="I14" s="33"/>
      <c r="J14" s="40">
        <f>C36*'E Balans VL '!D24/100/3.6*1000000+C36*'E Balans VL '!E24/100/3.6*1000000</f>
        <v>0</v>
      </c>
      <c r="K14" s="33"/>
      <c r="L14" s="33"/>
      <c r="M14" s="33"/>
      <c r="N14" s="33">
        <f>C36*'E Balans VL '!Y24/100/3.6*1000000</f>
        <v>516.8502906195564</v>
      </c>
      <c r="O14" s="33"/>
      <c r="P14" s="33"/>
      <c r="R14" s="32"/>
    </row>
    <row r="15" spans="1:18">
      <c r="A15" s="6" t="s">
        <v>258</v>
      </c>
      <c r="B15" s="37">
        <f t="shared" si="0"/>
        <v>130736.142748421</v>
      </c>
      <c r="C15" s="33"/>
      <c r="D15" s="37">
        <f>IF( ISERROR(IND_rest_gas_kWh/1000),0,IND_rest_gas_kWh/1000)*0.902</f>
        <v>221953.84301472138</v>
      </c>
      <c r="E15" s="33">
        <f>C37*'E Balans VL '!I15/100/3.6*1000000</f>
        <v>7218.7191790471816</v>
      </c>
      <c r="F15" s="33">
        <f>C37*'E Balans VL '!L15/100/3.6*1000000+C37*'E Balans VL '!N15/100/3.6*1000000</f>
        <v>25894.916878886725</v>
      </c>
      <c r="G15" s="34"/>
      <c r="H15" s="33"/>
      <c r="I15" s="33"/>
      <c r="J15" s="40">
        <f>C37*'E Balans VL '!D15/100/3.6*1000000+C37*'E Balans VL '!E15/100/3.6*1000000</f>
        <v>468.03290500952124</v>
      </c>
      <c r="K15" s="33"/>
      <c r="L15" s="33"/>
      <c r="M15" s="33"/>
      <c r="N15" s="33">
        <f>C37*'E Balans VL '!Y15/100/3.6*1000000</f>
        <v>9176.9705034098297</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186712.43372355879</v>
      </c>
      <c r="C18" s="21">
        <f>C5+C16</f>
        <v>0</v>
      </c>
      <c r="D18" s="21">
        <f>MAX((D5+D16),0)</f>
        <v>278453.17446215713</v>
      </c>
      <c r="E18" s="21">
        <f>MAX((E5+E16),0)</f>
        <v>10684.736686469614</v>
      </c>
      <c r="F18" s="21">
        <f>MAX((F5+F16),0)</f>
        <v>36689.262051645055</v>
      </c>
      <c r="G18" s="21"/>
      <c r="H18" s="21"/>
      <c r="I18" s="21"/>
      <c r="J18" s="21">
        <f>MAX((J5+J16),0)</f>
        <v>468.93367682933939</v>
      </c>
      <c r="K18" s="21"/>
      <c r="L18" s="21">
        <f>MAX((L5+L16),0)</f>
        <v>0</v>
      </c>
      <c r="M18" s="21"/>
      <c r="N18" s="21">
        <f>MAX((N5+N16),0)</f>
        <v>13265.900347004099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0.21478023940066004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40102.141214225827</v>
      </c>
      <c r="C22" s="23">
        <f ca="1">C18*C20</f>
        <v>0</v>
      </c>
      <c r="D22" s="23">
        <f>D18*D20</f>
        <v>56247.541241355742</v>
      </c>
      <c r="E22" s="23">
        <f>E18*E20</f>
        <v>2425.4352278286024</v>
      </c>
      <c r="F22" s="23">
        <f>F18*F20</f>
        <v>9796.0329677892296</v>
      </c>
      <c r="G22" s="23"/>
      <c r="H22" s="23"/>
      <c r="I22" s="23"/>
      <c r="J22" s="23">
        <f>J18*J20</f>
        <v>166.00252159758614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9666.3869301662889</v>
      </c>
      <c r="C30" s="39">
        <f>IF(ISERROR(B30*3.6/1000000/'E Balans VL '!Z18*100),0,B30*3.6/1000000/'E Balans VL '!Z18*100)</f>
        <v>0.54781893356975253</v>
      </c>
      <c r="D30" s="233" t="s">
        <v>726</v>
      </c>
    </row>
    <row r="31" spans="1:18">
      <c r="A31" s="6" t="s">
        <v>32</v>
      </c>
      <c r="B31" s="37">
        <f>IF( ISERROR(IND_ander_ele_kWh/1000),0,IND_ander_ele_kWh/1000)</f>
        <v>11277.436507607499</v>
      </c>
      <c r="C31" s="39">
        <f>IF(ISERROR(B31*3.6/1000000/'E Balans VL '!Z19*100),0,B31*3.6/1000000/'E Balans VL '!Z19*100)</f>
        <v>0.51149756155675563</v>
      </c>
      <c r="D31" s="233" t="s">
        <v>726</v>
      </c>
    </row>
    <row r="32" spans="1:18">
      <c r="A32" s="168" t="s">
        <v>40</v>
      </c>
      <c r="B32" s="37">
        <f>IF( ISERROR(IND_voed_ele_kWh/1000),0,IND_voed_ele_kWh/1000)</f>
        <v>6756.8417176023304</v>
      </c>
      <c r="C32" s="39">
        <f>IF(ISERROR(B32*3.6/1000000/'E Balans VL '!Z20*100),0,B32*3.6/1000000/'E Balans VL '!Z20*100)</f>
        <v>0.2090197877969083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71.899159263442897</v>
      </c>
      <c r="C34" s="39">
        <f>IF(ISERROR(B34*3.6/1000000/'E Balans VL '!Z22*100),0,B34*3.6/1000000/'E Balans VL '!Z22*100)</f>
        <v>1.2932415523559426E-2</v>
      </c>
      <c r="D34" s="233" t="s">
        <v>726</v>
      </c>
    </row>
    <row r="35" spans="1:5">
      <c r="A35" s="168" t="s">
        <v>38</v>
      </c>
      <c r="B35" s="37">
        <f>IF( ISERROR(IND_papier_ele_kWh/1000),0,IND_papier_ele_kWh/1000)</f>
        <v>5060.28015424973</v>
      </c>
      <c r="C35" s="39">
        <f>IF(ISERROR(B35*3.6/1000000/'E Balans VL '!Z22*100),0,B35*3.6/1000000/'E Balans VL '!Z22*100)</f>
        <v>0.91018652082699214</v>
      </c>
      <c r="D35" s="233" t="s">
        <v>726</v>
      </c>
    </row>
    <row r="36" spans="1:5">
      <c r="A36" s="168" t="s">
        <v>33</v>
      </c>
      <c r="B36" s="37">
        <f>IF( ISERROR(IND_chemie_ele_kWh/1000),0,IND_chemie_ele_kWh/1000)</f>
        <v>23143.4465062485</v>
      </c>
      <c r="C36" s="39">
        <f>IF(ISERROR(B36*3.6/1000000/'E Balans VL '!Z24*100),0,B36*3.6/1000000/'E Balans VL '!Z24*100)</f>
        <v>0.70573683328923542</v>
      </c>
      <c r="D36" s="233" t="s">
        <v>726</v>
      </c>
    </row>
    <row r="37" spans="1:5">
      <c r="A37" s="168" t="s">
        <v>258</v>
      </c>
      <c r="B37" s="37">
        <f>IF( ISERROR(IND_rest_ele_kWh/1000),0,IND_rest_ele_kWh/1000)</f>
        <v>130736.142748421</v>
      </c>
      <c r="C37" s="39">
        <f>IF(ISERROR(B37*3.6/1000000/'E Balans VL '!Z15*100),0,B37*3.6/1000000/'E Balans VL '!Z15*100)</f>
        <v>1.0362444905344892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915.33945149888098</v>
      </c>
      <c r="C5" s="17">
        <f>'Eigen informatie GS &amp; warmtenet'!B60</f>
        <v>0</v>
      </c>
      <c r="D5" s="30">
        <f>IF(ISERROR(SUM(LB_lb_gas_kWh,LB_rest_gas_kWh)/1000),0,SUM(LB_lb_gas_kWh,LB_rest_gas_kWh)/1000)*0.902</f>
        <v>1682.7345799748389</v>
      </c>
      <c r="E5" s="17">
        <f>B17*'E Balans VL '!I25/3.6*1000000/100</f>
        <v>26.904622248928884</v>
      </c>
      <c r="F5" s="17">
        <f>B17*('E Balans VL '!L25/3.6*1000000+'E Balans VL '!N25/3.6*1000000)/100</f>
        <v>3813.254692596543</v>
      </c>
      <c r="G5" s="18"/>
      <c r="H5" s="17"/>
      <c r="I5" s="17"/>
      <c r="J5" s="17">
        <f>('E Balans VL '!D25+'E Balans VL '!E25)/3.6*1000000*landbouw!B17/100</f>
        <v>132.61302938245387</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915.33945149888098</v>
      </c>
      <c r="C8" s="21">
        <f>C5+C6</f>
        <v>0</v>
      </c>
      <c r="D8" s="21">
        <f>MAX((D5+D6),0)</f>
        <v>1682.7345799748389</v>
      </c>
      <c r="E8" s="21">
        <f>MAX((E5+E6),0)</f>
        <v>26.904622248928884</v>
      </c>
      <c r="F8" s="21">
        <f>MAX((F5+F6),0)</f>
        <v>3813.254692596543</v>
      </c>
      <c r="G8" s="21"/>
      <c r="H8" s="21"/>
      <c r="I8" s="21"/>
      <c r="J8" s="21">
        <f>MAX((J5+J6),0)</f>
        <v>132.61302938245387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0.21478023940066004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196.59682652579852</v>
      </c>
      <c r="C12" s="23">
        <f ca="1">C8*C10</f>
        <v>0</v>
      </c>
      <c r="D12" s="23">
        <f>D8*D10</f>
        <v>339.9123851549175</v>
      </c>
      <c r="E12" s="23">
        <f>E8*E10</f>
        <v>6.1073492505068572</v>
      </c>
      <c r="F12" s="23">
        <f>F8*F10</f>
        <v>1018.1390029232771</v>
      </c>
      <c r="G12" s="23"/>
      <c r="H12" s="23"/>
      <c r="I12" s="23"/>
      <c r="J12" s="23">
        <f>J8*J10</f>
        <v>46.945012401388666</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0.12988953995763963</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112.99214020955885</v>
      </c>
      <c r="C26" s="243">
        <f>B26*'GWP N2O_CH4'!B5</f>
        <v>2372.8349444007358</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13.466807570535746</v>
      </c>
      <c r="C27" s="243">
        <f>B27*'GWP N2O_CH4'!B5</f>
        <v>282.80295898125064</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1.6900801167554877</v>
      </c>
      <c r="C28" s="243">
        <f>B28*'GWP N2O_CH4'!B4</f>
        <v>523.92483619420125</v>
      </c>
      <c r="D28" s="50"/>
    </row>
    <row r="29" spans="1:4">
      <c r="A29" s="41" t="s">
        <v>265</v>
      </c>
      <c r="B29" s="243">
        <f>B34*'ha_N2O bodem landbouw'!B4</f>
        <v>12.438370118464402</v>
      </c>
      <c r="C29" s="243">
        <f>B29*'GWP N2O_CH4'!B4</f>
        <v>3855.8947367239643</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2.8383931965032306E-3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1.5386009566040644E-3</v>
      </c>
      <c r="C5" s="429" t="s">
        <v>204</v>
      </c>
      <c r="D5" s="414">
        <f>SUM(D6:D11)</f>
        <v>2.3859724015354118E-3</v>
      </c>
      <c r="E5" s="414">
        <f>SUM(E6:E11)</f>
        <v>4.584206768617944E-3</v>
      </c>
      <c r="F5" s="427" t="s">
        <v>204</v>
      </c>
      <c r="G5" s="414">
        <f>SUM(G6:G11)</f>
        <v>1.8974443111434969</v>
      </c>
      <c r="H5" s="414">
        <f>SUM(H6:H11)</f>
        <v>0.39181132001606911</v>
      </c>
      <c r="I5" s="429" t="s">
        <v>204</v>
      </c>
      <c r="J5" s="429" t="s">
        <v>204</v>
      </c>
      <c r="K5" s="429" t="s">
        <v>204</v>
      </c>
      <c r="L5" s="429" t="s">
        <v>204</v>
      </c>
      <c r="M5" s="414">
        <f>SUM(M6:M11)</f>
        <v>0.1223940298785271</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5.4172983764311559E-4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9.1074311989395727E-4</v>
      </c>
      <c r="E6" s="857">
        <f>vkm_GW_PW*SUMIFS(TableVerdeelsleutelVkm[LPG],TableVerdeelsleutelVkm[Voertuigtype],"Lichte voertuigen")*SUMIFS(TableECFTransport[EnergieConsumptieFactor (PJ per km)],TableECFTransport[Index],CONCATENATE($A6,"_LPG_LPG"))</f>
        <v>1.60246032160722E-3</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0.47544533773886155</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0.14714293975217671</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3.2110112723747572E-2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5.6161156384055548E-6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0.18039198522723568</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2.9432010784873945E-6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1.0539499846636134E-2</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1.7992937944404216E-4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3.8786251978650859E-4</v>
      </c>
      <c r="E8" s="417">
        <f>vkm_NGW_PW*SUMIFS(TableVerdeelsleutelVkm[LPG],TableVerdeelsleutelVkm[Voertuigtype],"Lichte voertuigen")*SUMIFS(TableECFTransport[EnergieConsumptieFactor (PJ per km)],TableECFTransport[Index],CONCATENATE($A8,"_LPG_LPG"))</f>
        <v>6.5350448128865157E-4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0.18030796599449514</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6.1376044331197081E-2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1.2341540464118617E-2</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6.741563878220996E-7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2.7783753482739499E-2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4.2644300262807322E-7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1.6232801170032881E-3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7.9753216206437797E-4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1.0873667618549457E-3</v>
      </c>
      <c r="E10" s="417">
        <f>vkm_SW_PW*SUMIFS(TableVerdeelsleutelVkm[LPG],TableVerdeelsleutelVkm[Voertuigtype],"Lichte voertuigen")*SUMIFS(TableECFTransport[EnergieConsumptieFactor (PJ per km)],TableECFTransport[Index],CONCATENATE($A10,"_LPG_LPG"))</f>
        <v>2.328241965722073E-3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0.6321410231650112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0.18328188968003462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4.2329072592346528E-2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1.311930542630102E-5</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0.40137424553515366</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7.0766085795958589E-6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2.3450524134674973E-2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427.38915461224013</v>
      </c>
      <c r="C14" s="21"/>
      <c r="D14" s="21">
        <f t="shared" ref="D14:M14" si="0">((D5)*10^9/3600)+D12</f>
        <v>662.77011153761441</v>
      </c>
      <c r="E14" s="21">
        <f t="shared" si="0"/>
        <v>1273.3907690605399</v>
      </c>
      <c r="F14" s="21"/>
      <c r="G14" s="21">
        <f t="shared" si="0"/>
        <v>527067.86420652689</v>
      </c>
      <c r="H14" s="21">
        <f t="shared" si="0"/>
        <v>108836.47778224142</v>
      </c>
      <c r="I14" s="21"/>
      <c r="J14" s="21"/>
      <c r="K14" s="21"/>
      <c r="L14" s="21"/>
      <c r="M14" s="21">
        <f t="shared" si="0"/>
        <v>33998.341632924195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0.21478023940066004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91.794744944862643</v>
      </c>
      <c r="C18" s="23"/>
      <c r="D18" s="23">
        <f t="shared" ref="D18:M18" si="1">D14*D16</f>
        <v>133.87956253059812</v>
      </c>
      <c r="E18" s="23">
        <f t="shared" si="1"/>
        <v>289.05970457674255</v>
      </c>
      <c r="F18" s="23"/>
      <c r="G18" s="23">
        <f t="shared" si="1"/>
        <v>140727.11974314268</v>
      </c>
      <c r="H18" s="23">
        <f t="shared" si="1"/>
        <v>27100.282967778112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3.9385979583527082E-4</v>
      </c>
      <c r="C50" s="313">
        <f t="shared" ref="C50:P50" si="2">SUM(C51:C52)</f>
        <v>0</v>
      </c>
      <c r="D50" s="313">
        <f t="shared" si="2"/>
        <v>0</v>
      </c>
      <c r="E50" s="313">
        <f t="shared" si="2"/>
        <v>0</v>
      </c>
      <c r="F50" s="313">
        <f t="shared" si="2"/>
        <v>0</v>
      </c>
      <c r="G50" s="313">
        <f t="shared" si="2"/>
        <v>3.6999218407288315E-2</v>
      </c>
      <c r="H50" s="313">
        <f t="shared" si="2"/>
        <v>0</v>
      </c>
      <c r="I50" s="313">
        <f t="shared" si="2"/>
        <v>0</v>
      </c>
      <c r="J50" s="313">
        <f t="shared" si="2"/>
        <v>0</v>
      </c>
      <c r="K50" s="313">
        <f t="shared" si="2"/>
        <v>0</v>
      </c>
      <c r="L50" s="313">
        <f t="shared" si="2"/>
        <v>0</v>
      </c>
      <c r="M50" s="313">
        <f t="shared" si="2"/>
        <v>2.130673897329518E-3</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3.9385979583527082E-4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3.6999218407288315E-2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2.130673897329518E-3</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109.40549884313079</v>
      </c>
      <c r="C54" s="21">
        <f t="shared" ref="C54:P54" si="3">(C50)*10^9/3600</f>
        <v>0</v>
      </c>
      <c r="D54" s="21">
        <f t="shared" si="3"/>
        <v>0</v>
      </c>
      <c r="E54" s="21">
        <f t="shared" si="3"/>
        <v>0</v>
      </c>
      <c r="F54" s="21">
        <f t="shared" si="3"/>
        <v>0</v>
      </c>
      <c r="G54" s="21">
        <f t="shared" si="3"/>
        <v>10277.560668691198</v>
      </c>
      <c r="H54" s="21">
        <f t="shared" si="3"/>
        <v>0</v>
      </c>
      <c r="I54" s="21">
        <f t="shared" si="3"/>
        <v>0</v>
      </c>
      <c r="J54" s="21">
        <f t="shared" si="3"/>
        <v>0</v>
      </c>
      <c r="K54" s="21">
        <f t="shared" si="3"/>
        <v>0</v>
      </c>
      <c r="L54" s="21">
        <f t="shared" si="3"/>
        <v>0</v>
      </c>
      <c r="M54" s="21">
        <f t="shared" si="3"/>
        <v>591.85386036931061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0.21478023940066004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23.498139233276266</v>
      </c>
      <c r="C58" s="23">
        <f t="shared" ref="C58:P58" ca="1" si="4">C54*C56</f>
        <v>0</v>
      </c>
      <c r="D58" s="23">
        <f t="shared" si="4"/>
        <v>0</v>
      </c>
      <c r="E58" s="23">
        <f t="shared" si="4"/>
        <v>0</v>
      </c>
      <c r="F58" s="23">
        <f t="shared" si="4"/>
        <v>0</v>
      </c>
      <c r="G58" s="23">
        <f t="shared" si="4"/>
        <v>2744.10869854055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14180.10540113135</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14180.10540113135</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2021-11-11T12:45:25Z</dcterms:modified>
</cp:coreProperties>
</file>