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C8E640FD-B0D1-45B3-BED7-C0A00EE35A2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8" i="18"/>
  <c r="V48" i="18"/>
  <c r="U48" i="18"/>
  <c r="T48" i="18"/>
  <c r="S48" i="18"/>
  <c r="R48" i="18"/>
  <c r="Q48" i="18"/>
  <c r="P48" i="18"/>
  <c r="O48" i="18"/>
  <c r="N48" i="18"/>
  <c r="M48" i="18"/>
  <c r="W47" i="18"/>
  <c r="V47" i="18"/>
  <c r="U47" i="18"/>
  <c r="T47" i="18"/>
  <c r="S47" i="18"/>
  <c r="R47" i="18"/>
  <c r="Q47" i="18"/>
  <c r="P47" i="18"/>
  <c r="O47" i="18"/>
  <c r="N47" i="18"/>
  <c r="M47" i="18"/>
  <c r="W46" i="18"/>
  <c r="V46" i="18"/>
  <c r="U46" i="18"/>
  <c r="T46" i="18"/>
  <c r="S46" i="18"/>
  <c r="R46" i="18"/>
  <c r="Q46" i="18"/>
  <c r="P46" i="18"/>
  <c r="O46" i="18"/>
  <c r="N46" i="18"/>
  <c r="M46" i="18"/>
  <c r="W45" i="18"/>
  <c r="V45" i="18"/>
  <c r="U45" i="18"/>
  <c r="T45" i="18"/>
  <c r="I9" i="18" s="1"/>
  <c r="S45" i="18"/>
  <c r="E9" i="18" s="1"/>
  <c r="R45" i="18"/>
  <c r="Q45" i="18"/>
  <c r="P45" i="18"/>
  <c r="C9" i="18" s="1"/>
  <c r="O45" i="18"/>
  <c r="N45" i="18"/>
  <c r="B9" i="18" s="1"/>
  <c r="M45" i="18"/>
  <c r="W41" i="18"/>
  <c r="V41" i="18"/>
  <c r="U41" i="18"/>
  <c r="T41" i="18"/>
  <c r="S41" i="18"/>
  <c r="R41" i="18"/>
  <c r="Q41" i="18"/>
  <c r="P41" i="18"/>
  <c r="O41" i="18"/>
  <c r="C6" i="17" s="1"/>
  <c r="N41" i="18"/>
  <c r="M41" i="18"/>
  <c r="W40" i="18"/>
  <c r="V40" i="18"/>
  <c r="U40" i="18"/>
  <c r="T40" i="18"/>
  <c r="S40" i="18"/>
  <c r="F13" i="15" s="1"/>
  <c r="R40" i="18"/>
  <c r="Q40" i="18"/>
  <c r="P40" i="18"/>
  <c r="D13" i="15" s="1"/>
  <c r="O40" i="18"/>
  <c r="C13" i="15" s="1"/>
  <c r="N40" i="18"/>
  <c r="M40" i="18"/>
  <c r="W39" i="18"/>
  <c r="V39" i="18"/>
  <c r="U39" i="18"/>
  <c r="T39" i="18"/>
  <c r="S39" i="18"/>
  <c r="R39" i="18"/>
  <c r="Q39" i="18"/>
  <c r="P39" i="18"/>
  <c r="O39" i="18"/>
  <c r="N39" i="18"/>
  <c r="M39" i="18"/>
  <c r="W38" i="18"/>
  <c r="V38" i="18"/>
  <c r="U38" i="18"/>
  <c r="T38" i="18"/>
  <c r="S38" i="18"/>
  <c r="R38" i="18"/>
  <c r="Q38" i="18"/>
  <c r="P38" i="18"/>
  <c r="O38" i="18"/>
  <c r="N38" i="18"/>
  <c r="C54" i="18" s="1"/>
  <c r="M38"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L56" i="14" s="1"/>
  <c r="J54" i="14"/>
  <c r="J56" i="14" s="1"/>
  <c r="I54" i="14"/>
  <c r="H54" i="14"/>
  <c r="H56" i="14" s="1"/>
  <c r="Q24" i="14"/>
  <c r="Q26" i="14" s="1"/>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I56" i="14"/>
  <c r="R44" i="14"/>
  <c r="N26" i="14"/>
  <c r="J26" i="14"/>
  <c r="E25" i="14"/>
  <c r="D14" i="48" s="1"/>
  <c r="C25" i="14"/>
  <c r="B14" i="48" s="1"/>
  <c r="H26" i="14"/>
  <c r="D5" i="17"/>
  <c r="Q14" i="48" l="1"/>
  <c r="B8" i="18"/>
  <c r="B54" i="18"/>
  <c r="E58" i="18" s="1"/>
  <c r="E17" i="18" s="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7" i="18"/>
  <c r="H8" i="18" s="1"/>
  <c r="E57" i="18"/>
  <c r="E8" i="18" s="1"/>
  <c r="G57" i="18"/>
  <c r="F57" i="18"/>
  <c r="H57" i="18"/>
  <c r="D57" i="18"/>
  <c r="C57" i="18"/>
  <c r="B57" i="18"/>
  <c r="C8" i="18" s="1"/>
  <c r="I58" i="18"/>
  <c r="H17" i="18" s="1"/>
  <c r="C58" i="18"/>
  <c r="B58" i="18"/>
  <c r="C17" i="18" s="1"/>
  <c r="H58" i="18"/>
  <c r="G58" i="18"/>
  <c r="F58"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D58"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<sst xmlns="http://schemas.openxmlformats.org/spreadsheetml/2006/main" count="2519" uniqueCount="906">
  <si>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</si>
  <si>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</si>
  <si>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</si>
  <si>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</si>
  <si>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</si>
  <si>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</si>
  <si>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</si>
  <si>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</si>
  <si>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</si>
  <si>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</si>
  <si>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</si>
  <si>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</si>
  <si>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</si>
  <si>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</si>
  <si>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</si>
  <si>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</si>
  <si>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</si>
  <si>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</si>
  <si>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</si>
  <si>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</si>
  <si>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</si>
  <si>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</si>
  <si>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</si>
  <si>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</si>
  <si>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</si>
  <si>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</si>
  <si>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</si>
  <si>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</si>
  <si>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</si>
  <si>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</si>
  <si>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</si>
  <si>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</si>
  <si>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</si>
  <si>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</si>
  <si>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</si>
  <si>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</si>
  <si>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</si>
  <si>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</si>
  <si>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</si>
  <si>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</si>
  <si>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</si>
  <si>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</si>
  <si>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</si>
  <si>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</si>
  <si>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</si>
  <si>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</si>
  <si>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</si>
  <si>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</si>
  <si>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</si>
  <si>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</si>
  <si>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</si>
  <si>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</si>
  <si>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</si>
  <si>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</si>
  <si>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</si>
  <si>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</si>
  <si>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</si>
  <si>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</si>
  <si>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</si>
  <si>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</si>
  <si>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</si>
  <si>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</si>
  <si>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</si>
  <si>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</si>
  <si>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</si>
  <si>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</si>
  <si>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</si>
  <si>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</si>
  <si>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</si>
  <si>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</si>
  <si>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</si>
  <si>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</si>
  <si>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</si>
  <si>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</si>
  <si>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</si>
  <si>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</si>
  <si>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</si>
  <si>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</si>
  <si>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</si>
  <si>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</si>
  <si>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</si>
  <si>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</si>
  <si>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</si>
  <si>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</si>
  <si>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</si>
  <si>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</si>
  <si>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</si>
  <si>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</si>
  <si>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</si>
  <si>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</si>
  <si>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</si>
  <si>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</si>
  <si>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</si>
  <si>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</si>
  <si>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</si>
  <si>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</si>
  <si>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</si>
  <si>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</si>
  <si>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</si>
  <si>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</si>
  <si>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</si>
  <si>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</si>
  <si>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</si>
  <si>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</si>
  <si>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</si>
  <si>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</si>
  <si>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</si>
  <si>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</si>
  <si>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</si>
  <si>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</si>
  <si>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</si>
  <si>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</si>
  <si>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</si>
  <si>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</si>
  <si>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</si>
  <si>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</si>
  <si>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</si>
  <si>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</si>
  <si>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</si>
  <si>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</si>
  <si>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</si>
  <si>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</si>
  <si>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</si>
  <si>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</si>
  <si>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</si>
  <si>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</si>
  <si>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</si>
  <si>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</si>
  <si>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</si>
  <si>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</si>
  <si>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</si>
  <si>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</si>
  <si>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</si>
  <si>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</si>
  <si>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</si>
  <si>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</si>
  <si>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</si>
  <si>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</si>
  <si>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</si>
  <si>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</si>
  <si>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</si>
  <si>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</si>
  <si>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</si>
  <si>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</si>
  <si>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</si>
  <si>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</si>
  <si>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</si>
  <si>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</si>
  <si>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</si>
  <si>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</si>
  <si>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</si>
  <si>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</si>
  <si>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</si>
  <si>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</si>
  <si>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</si>
  <si>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</si>
  <si>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</si>
  <si>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</si>
  <si>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</si>
  <si>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</si>
  <si>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</si>
  <si>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</si>
  <si>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</si>
  <si>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</si>
  <si>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</si>
  <si>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</si>
  <si>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</si>
  <si>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</si>
  <si>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</si>
  <si>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</si>
  <si>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</si>
  <si>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</si>
  <si>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</si>
  <si>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</si>
  <si>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</si>
  <si>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</si>
  <si>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</si>
  <si>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</si>
  <si>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</si>
  <si>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</si>
  <si>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</si>
  <si>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</si>
  <si>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</si>
  <si>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</si>
  <si>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</si>
  <si>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</si>
  <si>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</si>
  <si>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</si>
  <si>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</si>
  <si>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</si>
  <si>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</si>
  <si>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</si>
  <si>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</si>
  <si>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</si>
  <si>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</si>
  <si>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</si>
  <si>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</si>
  <si>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</si>
  <si>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</si>
  <si>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</si>
  <si>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</si>
  <si>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</si>
  <si>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</si>
  <si>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</si>
  <si>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</si>
  <si>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</si>
  <si>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</si>
  <si>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</si>
  <si>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</si>
  <si>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</si>
  <si>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</si>
  <si>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</si>
  <si>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</si>
  <si>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</si>
  <si>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</si>
  <si>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</si>
  <si>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</si>
  <si>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</si>
  <si>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</si>
  <si>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</si>
  <si>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</si>
  <si>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</si>
  <si>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</si>
  <si>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</si>
  <si>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</si>
  <si>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</si>
  <si>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</si>
  <si>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</si>
  <si>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</si>
  <si>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</si>
  <si>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</si>
  <si>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</si>
  <si>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</si>
  <si>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</si>
  <si>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</si>
  <si>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</si>
  <si>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</si>
  <si>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</si>
  <si>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</si>
  <si>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</si>
  <si>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</si>
  <si>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</si>
  <si>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</si>
  <si>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</si>
  <si>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</si>
  <si>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</si>
  <si>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</si>
  <si>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</si>
  <si>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</si>
  <si>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</si>
  <si>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</si>
  <si>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</si>
  <si>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</si>
  <si>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</si>
  <si>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</si>
  <si>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</si>
  <si>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</si>
  <si>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</si>
  <si>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</si>
  <si>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</si>
  <si>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</si>
  <si>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</si>
  <si>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</si>
  <si>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</si>
  <si>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</si>
  <si>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</si>
  <si>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</si>
  <si>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</si>
  <si>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</si>
  <si>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</si>
  <si>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</si>
  <si>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</si>
  <si>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</si>
  <si>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</si>
  <si>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</si>
  <si>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</si>
  <si>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</si>
  <si>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</si>
  <si>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</si>
  <si>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</si>
  <si>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</si>
  <si>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</si>
  <si>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</si>
  <si>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</si>
  <si>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</si>
  <si>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</si>
  <si>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</si>
  <si>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</si>
  <si>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</si>
  <si>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</si>
  <si>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</si>
  <si>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</si>
  <si>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</si>
  <si>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</si>
  <si>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</si>
  <si>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</si>
  <si>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</si>
  <si>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</si>
  <si>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</si>
  <si>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</si>
  <si>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</si>
  <si>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</si>
  <si>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</si>
  <si>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</si>
  <si>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</si>
  <si>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</si>
  <si>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</si>
  <si>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</si>
  <si>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</si>
  <si>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</si>
  <si>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</si>
  <si>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</si>
  <si>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</si>
  <si>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</si>
  <si>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</si>
  <si>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</si>
  <si>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</si>
  <si>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</si>
  <si>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</si>
  <si>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</si>
  <si>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</si>
  <si>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</si>
  <si>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</si>
  <si>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</si>
  <si>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</si>
  <si>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</si>
  <si>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</si>
  <si>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</si>
  <si>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</si>
  <si>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</si>
  <si>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</si>
  <si>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</si>
  <si>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</si>
  <si>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</si>
  <si>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</si>
  <si>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</si>
  <si>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</si>
  <si>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</si>
  <si>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</si>
  <si>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</si>
  <si>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</si>
  <si>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</si>
  <si>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</si>
  <si>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</si>
  <si>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</si>
  <si>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</si>
  <si>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</si>
  <si>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</si>
  <si>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</si>
  <si>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</si>
  <si>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</si>
  <si>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</si>
  <si>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</si>
  <si>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</si>
  <si>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</si>
  <si>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</si>
  <si>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</si>
  <si>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</si>
  <si>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</si>
  <si>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</si>
  <si>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</si>
  <si>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</si>
  <si>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</si>
  <si>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</si>
  <si>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</si>
  <si>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</si>
  <si>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</si>
  <si>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</si>
  <si>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</si>
  <si>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</si>
  <si>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</si>
  <si>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</si>
  <si>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</si>
  <si>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</si>
  <si>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</si>
  <si>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</si>
  <si>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</si>
  <si>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</si>
  <si>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</si>
  <si>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</si>
  <si>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</si>
  <si>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</si>
  <si>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</si>
  <si>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</si>
  <si>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</si>
  <si>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</si>
  <si>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</si>
  <si>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</si>
  <si>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</si>
  <si>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</si>
  <si>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</si>
  <si>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</si>
  <si>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</si>
  <si>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</si>
  <si>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</si>
  <si>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</si>
  <si>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</si>
  <si>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</si>
  <si>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</si>
  <si>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</si>
  <si>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</si>
  <si>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</si>
  <si>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</si>
  <si>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</si>
  <si>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</si>
  <si>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</si>
  <si>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</si>
  <si>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</si>
  <si>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</si>
  <si>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</si>
  <si>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</si>
  <si>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</si>
  <si>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</si>
  <si>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</si>
  <si>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</si>
  <si>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</si>
  <si>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</si>
  <si>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</si>
  <si>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</si>
  <si>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</si>
  <si>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</si>
  <si>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</si>
  <si>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</si>
  <si>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</si>
  <si>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</si>
  <si>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</si>
  <si>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</si>
  <si>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</si>
  <si>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</si>
  <si>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</si>
  <si>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</si>
  <si>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</si>
  <si>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</si>
  <si>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</si>
  <si>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</si>
  <si>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</si>
  <si>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</si>
  <si>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</si>
  <si>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</si>
  <si>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</si>
  <si>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</si>
  <si>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</si>
  <si>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</si>
  <si>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</si>
  <si>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</si>
  <si>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</si>
  <si>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</si>
  <si>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</si>
  <si>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</si>
  <si>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</si>
  <si>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</si>
  <si>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</si>
  <si>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</si>
  <si>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</si>
  <si>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</si>
  <si>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</si>
  <si>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</si>
  <si>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</si>
  <si>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</si>
  <si>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</si>
  <si>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</si>
  <si>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</si>
  <si>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</si>
  <si>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</si>
  <si>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</si>
  <si>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</si>
  <si>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</si>
  <si>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</si>
  <si>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</si>
  <si>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</si>
  <si>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</si>
  <si>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</si>
  <si>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</si>
  <si>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</si>
  <si>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</si>
  <si>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</si>
  <si>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</si>
  <si>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</si>
  <si>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</si>
  <si>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</si>
  <si>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</si>
  <si>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</si>
  <si>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</si>
  <si>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</si>
  <si>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</si>
  <si>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</si>
  <si>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</si>
  <si>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</si>
  <si>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</si>
  <si>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</si>
  <si>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</si>
  <si>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</si>
  <si>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</si>
  <si>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</si>
  <si>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</si>
  <si>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</si>
  <si>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</si>
  <si>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</si>
  <si>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</si>
  <si>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</si>
  <si>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</si>
  <si>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</si>
  <si>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</si>
  <si>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</si>
  <si>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</si>
  <si>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</si>
  <si>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</si>
  <si>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</si>
  <si>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</si>
  <si>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</si>
  <si>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</si>
  <si>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</si>
  <si>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</si>
  <si>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</si>
  <si>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</si>
  <si>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</si>
  <si>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</si>
  <si>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</si>
  <si>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</si>
  <si>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</si>
  <si>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</si>
  <si>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</si>
  <si>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</si>
  <si>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</si>
  <si>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</si>
  <si>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</si>
  <si>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</si>
  <si>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</si>
  <si>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</si>
  <si>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</si>
  <si>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</si>
  <si>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</si>
  <si>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</si>
  <si>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</si>
  <si>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</si>
  <si>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</si>
  <si>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</si>
  <si>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</si>
  <si>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</si>
  <si>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</si>
  <si>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</si>
  <si>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</si>
  <si>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</si>
  <si>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</si>
  <si>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</si>
  <si>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</si>
  <si>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</si>
  <si>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</si>
  <si>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</si>
  <si>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</si>
  <si>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</si>
  <si>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</si>
  <si>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</si>
  <si>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</si>
  <si>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</si>
  <si>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</si>
  <si>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</si>
  <si>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</si>
  <si>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</si>
  <si>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</si>
  <si>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</si>
  <si>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</si>
  <si>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</si>
  <si>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</si>
  <si>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</si>
  <si>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</si>
  <si>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</si>
  <si>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</si>
  <si>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</si>
  <si>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</si>
  <si>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</si>
  <si>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</si>
  <si>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</si>
  <si>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</si>
  <si>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</si>
  <si>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</si>
  <si>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</si>
  <si>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</si>
  <si>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</si>
  <si>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</si>
  <si>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</si>
  <si>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</si>
  <si>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</si>
  <si>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</si>
  <si>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</si>
  <si>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</si>
  <si>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</si>
  <si>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</si>
  <si>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</si>
  <si>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</si>
  <si>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</si>
  <si>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</si>
  <si>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</si>
  <si>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</si>
  <si>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</si>
  <si>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</si>
  <si>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</si>
  <si>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</si>
  <si>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</si>
  <si>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</si>
  <si>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</si>
  <si>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</si>
  <si>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</si>
  <si>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</si>
  <si>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</si>
  <si>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</si>
  <si>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</si>
  <si>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</si>
  <si>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</si>
  <si>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</si>
  <si>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</si>
  <si>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</si>
  <si>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</si>
  <si>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</si>
  <si>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</si>
  <si>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</si>
  <si>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</si>
  <si>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</si>
  <si>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</si>
  <si>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</si>
  <si>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</si>
  <si>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</si>
  <si>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</si>
  <si>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</si>
  <si>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</si>
  <si>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</si>
  <si>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</si>
  <si>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</si>
  <si>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</si>
  <si>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</si>
  <si>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</si>
  <si>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</si>
  <si>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</si>
  <si>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</si>
  <si>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</si>
  <si>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</si>
  <si>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</si>
  <si>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</si>
  <si>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</si>
  <si>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</si>
  <si>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</si>
  <si>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</si>
  <si>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</si>
  <si>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</si>
  <si>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</si>
  <si>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</si>
  <si>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</si>
  <si>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</si>
  <si>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</si>
  <si>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</si>
  <si>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</si>
  <si>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</si>
  <si>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</si>
  <si>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</si>
  <si>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</si>
  <si>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</si>
  <si>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</si>
  <si>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</si>
  <si>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</si>
  <si>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</si>
  <si>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</si>
  <si>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</si>
  <si>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</si>
  <si>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</si>
  <si>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</si>
  <si>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</si>
  <si>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</si>
  <si>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</si>
  <si>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</si>
  <si>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</si>
  <si>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</si>
  <si>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</si>
  <si>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</si>
  <si>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</si>
  <si>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</si>
  <si>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</si>
  <si>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</si>
  <si>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</si>
  <si>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</si>
  <si>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</si>
  <si>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</si>
  <si>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</si>
  <si>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</si>
  <si>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</si>
  <si>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</si>
  <si>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</si>
  <si>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</si>
  <si>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</si>
  <si>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</si>
  <si>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</si>
  <si>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</si>
  <si>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</si>
  <si>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</si>
  <si>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</si>
  <si>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</si>
  <si>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</si>
  <si>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</si>
  <si>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</si>
  <si>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</si>
  <si>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</si>
  <si>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</si>
  <si>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</si>
  <si>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</si>
  <si>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</si>
  <si>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</si>
  <si>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</si>
  <si>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</si>
  <si>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</si>
  <si>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</si>
  <si>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</si>
  <si>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</si>
  <si>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</si>
  <si>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</si>
  <si>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</si>
  <si>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</si>
  <si>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</si>
  <si>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</si>
  <si>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</si>
  <si>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</si>
  <si>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</si>
  <si>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</si>
  <si>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</si>
  <si>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</si>
  <si>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</si>
  <si>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</si>
  <si>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</si>
  <si>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</si>
  <si>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</si>
  <si>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</si>
  <si>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</si>
  <si>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</si>
  <si>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</si>
  <si>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</si>
  <si>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</si>
  <si>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</si>
  <si>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</si>
  <si>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</si>
  <si>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</si>
  <si>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</si>
  <si>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</si>
  <si>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</si>
  <si>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</si>
  <si>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</si>
  <si>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</si>
  <si>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</si>
  <si>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</si>
  <si>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</si>
  <si>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</si>
  <si>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</si>
  <si>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</si>
  <si>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</si>
  <si>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</si>
  <si>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</si>
  <si>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</si>
  <si>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</si>
  <si>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</si>
  <si>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</si>
  <si>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</si>
  <si>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</si>
  <si>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</si>
  <si>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</si>
  <si>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</si>
  <si>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</si>
  <si>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</si>
  <si>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</si>
  <si>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</si>
  <si>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</si>
  <si>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</si>
  <si>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</si>
  <si>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</si>
  <si>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</si>
  <si>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</si>
  <si>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</si>
  <si>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</si>
  <si>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</si>
  <si>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</si>
  <si>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</si>
  <si>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</si>
  <si>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</si>
  <si>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</si>
  <si>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</si>
  <si>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</si>
  <si>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</si>
  <si>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</si>
  <si>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</si>
  <si>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</si>
  <si>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</si>
  <si>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</si>
  <si>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</si>
  <si>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</si>
  <si>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</si>
  <si>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</si>
  <si>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</si>
  <si>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</si>
  <si>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</si>
  <si>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</si>
  <si>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</si>
  <si>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</si>
  <si>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</si>
  <si>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</si>
  <si>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</si>
  <si>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</si>
  <si>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</si>
  <si>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</si>
  <si>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</si>
  <si>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</si>
  <si>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</si>
  <si>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</si>
  <si>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</si>
  <si>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</si>
  <si>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</si>
  <si>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</si>
  <si>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</si>
  <si>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</si>
  <si>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</si>
  <si>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</si>
  <si>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</si>
  <si>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</si>
  <si>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</si>
  <si>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</si>
  <si>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</si>
  <si>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</si>
  <si>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</si>
  <si>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</si>
  <si>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</si>
  <si>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</si>
  <si>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</si>
  <si>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</si>
  <si>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</si>
  <si>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</si>
  <si>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</si>
  <si>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</si>
  <si>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</si>
  <si>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</si>
  <si>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</si>
  <si>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</si>
  <si>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</si>
  <si>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</si>
  <si>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</si>
  <si>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</si>
  <si>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</si>
  <si>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</si>
  <si>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</si>
  <si>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</si>
  <si>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</si>
  <si>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</si>
  <si>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</si>
  <si>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</si>
  <si>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</si>
  <si>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</si>
  <si>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</si>
  <si>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</si>
  <si>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</si>
  <si>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</si>
  <si>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</si>
  <si>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</si>
  <si>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</si>
  <si>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</si>
  <si>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</si>
  <si>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</si>
  <si>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</si>
  <si>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</si>
  <si>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</si>
  <si>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</si>
  <si>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</si>
  <si>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</si>
  <si>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</si>
  <si>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</si>
  <si>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</si>
  <si>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</si>
  <si>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</si>
  <si>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</si>
  <si>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</si>
  <si>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</si>
  <si>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</si>
  <si>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</si>
  <si>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</si>
  <si>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</si>
  <si>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</si>
  <si>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</si>
  <si>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</si>
  <si>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</si>
  <si>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</si>
  <si>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</si>
  <si>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</si>
  <si>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</si>
  <si>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</si>
  <si>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</si>
  <si>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</si>
  <si>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</si>
  <si>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</si>
  <si>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</si>
  <si>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12021</t>
  </si>
  <si>
    <t>LIER</t>
  </si>
  <si>
    <t>Fluvius</t>
  </si>
  <si>
    <t>referentietaak LNE (2017); Jaarverslag De Lijn</t>
  </si>
  <si>
    <t>interne verbrandingsmotor</t>
  </si>
  <si>
    <t>WKK interne verbrandinsgmotor (gas)</t>
  </si>
  <si>
    <t>IVEKA</t>
  </si>
  <si>
    <t>WKK interne verbrandinsgmotor (vloeibaar)</t>
  </si>
  <si>
    <t xml:space="preserve">landbouw </t>
  </si>
  <si>
    <t>Interne verbrandingsmotor</t>
  </si>
  <si>
    <t>IVEKA (via EANDIS)</t>
  </si>
  <si>
    <t>biogas - stortgas</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</si>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</sst>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DCBCB3FD-7A03-48D2-B5EA-80BD7986812E}"/>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306522.59531224909</c:v>
                </c:pt>
                <c:pt idx="1">
                  <c:v>154214.27026376</c:v>
                </c:pt>
                <c:pt idx="2">
                  <c:v>2172.2089999999998</c:v>
                </c:pt>
                <c:pt idx="3">
                  <c:v>115474.0698323353</c:v>
                </c:pt>
                <c:pt idx="4">
                  <c:v>108448.07097243675</c:v>
                </c:pt>
                <c:pt idx="5">
                  <c:v>165332.82772463484</c:v>
                </c:pt>
                <c:pt idx="6">
                  <c:v>4670.4831106919801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306522.59531224909</c:v>
                </c:pt>
                <c:pt idx="1">
                  <c:v>154214.27026376</c:v>
                </c:pt>
                <c:pt idx="2">
                  <c:v>2172.2089999999998</c:v>
                </c:pt>
                <c:pt idx="3">
                  <c:v>115474.0698323353</c:v>
                </c:pt>
                <c:pt idx="4">
                  <c:v>108448.07097243675</c:v>
                </c:pt>
                <c:pt idx="5">
                  <c:v>165332.82772463484</c:v>
                </c:pt>
                <c:pt idx="6">
                  <c:v>4670.4831106919801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60264.631584486786</c:v>
                </c:pt>
                <c:pt idx="2">
                  <c:v>31347.207028413697</c:v>
                </c:pt>
                <c:pt idx="3">
                  <c:v>423.45533956735176</c:v>
                </c:pt>
                <c:pt idx="4">
                  <c:v>24819.665193124023</c:v>
                </c:pt>
                <c:pt idx="5">
                  <c:v>21621.801906075303</c:v>
                </c:pt>
                <c:pt idx="6">
                  <c:v>41420.34309920785</c:v>
                </c:pt>
                <c:pt idx="7">
                  <c:v>1176.4401110434742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60264.631584486786</c:v>
                </c:pt>
                <c:pt idx="2">
                  <c:v>31347.207028413697</c:v>
                </c:pt>
                <c:pt idx="3">
                  <c:v>423.45533956735176</c:v>
                </c:pt>
                <c:pt idx="4">
                  <c:v>24819.665193124023</c:v>
                </c:pt>
                <c:pt idx="5">
                  <c:v>21621.801906075303</c:v>
                </c:pt>
                <c:pt idx="6">
                  <c:v>41420.34309920785</c:v>
                </c:pt>
                <c:pt idx="7">
                  <c:v>1176.4401110434742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12021</v>
      </c>
      <c r="B6" s="382"/>
      <c r="C6" s="383"/>
    </row>
    <row r="7" spans="1:7" s="380" customFormat="1" ht="15.75" customHeight="1">
      <c r="A7" s="384" t="str">
        <f>txtMunicipality</f>
        <v>LIER</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74795.212261010311</v>
      </c>
      <c r="D10" s="971">
        <f ca="1">tertiair!C16</f>
        <v>900.00000000000023</v>
      </c>
      <c r="E10" s="971">
        <f ca="1">tertiair!D16</f>
        <v>68718.806320351781</v>
      </c>
      <c r="F10" s="971">
        <f>tertiair!E16</f>
        <v>944.31256220071134</v>
      </c>
      <c r="G10" s="971">
        <f ca="1">tertiair!F16</f>
        <v>10869.216956808294</v>
      </c>
      <c r="H10" s="971">
        <f>tertiair!G16</f>
        <v>0</v>
      </c>
      <c r="I10" s="971">
        <f>tertiair!H16</f>
        <v>0</v>
      </c>
      <c r="J10" s="971">
        <f>tertiair!I16</f>
        <v>0</v>
      </c>
      <c r="K10" s="971">
        <f>tertiair!J16</f>
        <v>0.1444967222597891</v>
      </c>
      <c r="L10" s="971">
        <f>tertiair!K16</f>
        <v>0</v>
      </c>
      <c r="M10" s="971">
        <f ca="1">tertiair!L16</f>
        <v>0</v>
      </c>
      <c r="N10" s="971">
        <f>tertiair!M16</f>
        <v>0</v>
      </c>
      <c r="O10" s="971">
        <f ca="1">tertiair!N16</f>
        <v>0</v>
      </c>
      <c r="P10" s="971">
        <f>tertiair!O16</f>
        <v>6.2533333333333339</v>
      </c>
      <c r="Q10" s="972">
        <f>tertiair!P16</f>
        <v>152.53333333333333</v>
      </c>
      <c r="R10" s="666">
        <f ca="1">SUM(C10:Q10)</f>
        <v>156386.47926376</v>
      </c>
      <c r="S10" s="67"/>
    </row>
    <row r="11" spans="1:19" s="439" customFormat="1">
      <c r="A11" s="775" t="s">
        <v>213</v>
      </c>
      <c r="B11" s="780"/>
      <c r="C11" s="971">
        <f>huishoudens!B8</f>
        <v>57651.4491161923</v>
      </c>
      <c r="D11" s="971">
        <f>huishoudens!C8</f>
        <v>0</v>
      </c>
      <c r="E11" s="971">
        <f>huishoudens!D8</f>
        <v>172061.84715024999</v>
      </c>
      <c r="F11" s="971">
        <f>huishoudens!E8</f>
        <v>2028.4238897841365</v>
      </c>
      <c r="G11" s="971">
        <f>huishoudens!F8</f>
        <v>51391.168918446987</v>
      </c>
      <c r="H11" s="971">
        <f>huishoudens!G8</f>
        <v>0</v>
      </c>
      <c r="I11" s="971">
        <f>huishoudens!H8</f>
        <v>0</v>
      </c>
      <c r="J11" s="971">
        <f>huishoudens!I8</f>
        <v>0</v>
      </c>
      <c r="K11" s="971">
        <f>huishoudens!J8</f>
        <v>247.28853919852406</v>
      </c>
      <c r="L11" s="971">
        <f>huishoudens!K8</f>
        <v>0</v>
      </c>
      <c r="M11" s="971">
        <f>huishoudens!L8</f>
        <v>0</v>
      </c>
      <c r="N11" s="971">
        <f>huishoudens!M8</f>
        <v>0</v>
      </c>
      <c r="O11" s="971">
        <f>huishoudens!N8</f>
        <v>21474.454365043821</v>
      </c>
      <c r="P11" s="971">
        <f>huishoudens!O8</f>
        <v>314.23</v>
      </c>
      <c r="Q11" s="972">
        <f>huishoudens!P8</f>
        <v>1353.7333333333333</v>
      </c>
      <c r="R11" s="666">
        <f>SUM(C11:Q11)</f>
        <v>306522.59531224909</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50582.97472487246</v>
      </c>
      <c r="D13" s="971">
        <f>industrie!C18</f>
        <v>0</v>
      </c>
      <c r="E13" s="971">
        <f>industrie!D18</f>
        <v>43974.242452353152</v>
      </c>
      <c r="F13" s="971">
        <f>industrie!E18</f>
        <v>2211.4823460821472</v>
      </c>
      <c r="G13" s="971">
        <f>industrie!F18</f>
        <v>8851.6162277385065</v>
      </c>
      <c r="H13" s="971">
        <f>industrie!G18</f>
        <v>0</v>
      </c>
      <c r="I13" s="971">
        <f>industrie!H18</f>
        <v>0</v>
      </c>
      <c r="J13" s="971">
        <f>industrie!I18</f>
        <v>0</v>
      </c>
      <c r="K13" s="971">
        <f>industrie!J18</f>
        <v>36.320086529155084</v>
      </c>
      <c r="L13" s="971">
        <f>industrie!K18</f>
        <v>0</v>
      </c>
      <c r="M13" s="971">
        <f>industrie!L18</f>
        <v>0</v>
      </c>
      <c r="N13" s="971">
        <f>industrie!M18</f>
        <v>0</v>
      </c>
      <c r="O13" s="971">
        <f>industrie!N18</f>
        <v>2791.4351348613295</v>
      </c>
      <c r="P13" s="971">
        <f>industrie!O18</f>
        <v>0</v>
      </c>
      <c r="Q13" s="972">
        <f>industrie!P18</f>
        <v>0</v>
      </c>
      <c r="R13" s="666">
        <f>SUM(C13:Q13)</f>
        <v>108448.07097243675</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183029.63610207505</v>
      </c>
      <c r="D16" s="698">
        <f t="shared" ref="D16:R16" ca="1" si="0">SUM(D9:D15)</f>
        <v>900.00000000000023</v>
      </c>
      <c r="E16" s="698">
        <f t="shared" ca="1" si="0"/>
        <v>284754.89592295489</v>
      </c>
      <c r="F16" s="698">
        <f t="shared" si="0"/>
        <v>5184.2187980669951</v>
      </c>
      <c r="G16" s="698">
        <f t="shared" ca="1" si="0"/>
        <v>71112.002102993778</v>
      </c>
      <c r="H16" s="698">
        <f t="shared" si="0"/>
        <v>0</v>
      </c>
      <c r="I16" s="698">
        <f t="shared" si="0"/>
        <v>0</v>
      </c>
      <c r="J16" s="698">
        <f t="shared" si="0"/>
        <v>0</v>
      </c>
      <c r="K16" s="698">
        <f t="shared" si="0"/>
        <v>283.75312244993893</v>
      </c>
      <c r="L16" s="698">
        <f t="shared" si="0"/>
        <v>0</v>
      </c>
      <c r="M16" s="698">
        <f t="shared" ca="1" si="0"/>
        <v>0</v>
      </c>
      <c r="N16" s="698">
        <f t="shared" si="0"/>
        <v>0</v>
      </c>
      <c r="O16" s="698">
        <f t="shared" ca="1" si="0"/>
        <v>24265.889499905152</v>
      </c>
      <c r="P16" s="698">
        <f t="shared" si="0"/>
        <v>320.48333333333335</v>
      </c>
      <c r="Q16" s="698">
        <f t="shared" si="0"/>
        <v>1506.2666666666667</v>
      </c>
      <c r="R16" s="698">
        <f t="shared" ca="1" si="0"/>
        <v>571357.14554844587</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46.542026671808216</v>
      </c>
      <c r="D19" s="971">
        <f>transport!C54</f>
        <v>0</v>
      </c>
      <c r="E19" s="971">
        <f>transport!D54</f>
        <v>0</v>
      </c>
      <c r="F19" s="971">
        <f>transport!E54</f>
        <v>0</v>
      </c>
      <c r="G19" s="971">
        <f>transport!F54</f>
        <v>0</v>
      </c>
      <c r="H19" s="971">
        <f>transport!G54</f>
        <v>4372.1614344925229</v>
      </c>
      <c r="I19" s="971">
        <f>transport!H54</f>
        <v>0</v>
      </c>
      <c r="J19" s="971">
        <f>transport!I54</f>
        <v>0</v>
      </c>
      <c r="K19" s="971">
        <f>transport!J54</f>
        <v>0</v>
      </c>
      <c r="L19" s="971">
        <f>transport!K54</f>
        <v>0</v>
      </c>
      <c r="M19" s="971">
        <f>transport!L54</f>
        <v>0</v>
      </c>
      <c r="N19" s="971">
        <f>transport!M54</f>
        <v>251.77964952764927</v>
      </c>
      <c r="O19" s="971">
        <f>transport!N54</f>
        <v>0</v>
      </c>
      <c r="P19" s="971">
        <f>transport!O54</f>
        <v>0</v>
      </c>
      <c r="Q19" s="972">
        <f>transport!P54</f>
        <v>0</v>
      </c>
      <c r="R19" s="666">
        <f>SUM(C19:Q19)</f>
        <v>4670.4831106919801</v>
      </c>
      <c r="S19" s="67"/>
    </row>
    <row r="20" spans="1:19" s="439" customFormat="1">
      <c r="A20" s="775" t="s">
        <v>295</v>
      </c>
      <c r="B20" s="780"/>
      <c r="C20" s="971">
        <f>transport!B14</f>
        <v>91.066798347585959</v>
      </c>
      <c r="D20" s="971">
        <f>transport!C14</f>
        <v>0</v>
      </c>
      <c r="E20" s="971">
        <f>transport!D14</f>
        <v>154.9886981187756</v>
      </c>
      <c r="F20" s="971">
        <f>transport!E14</f>
        <v>271.15146904362291</v>
      </c>
      <c r="G20" s="971">
        <f>transport!F14</f>
        <v>0</v>
      </c>
      <c r="H20" s="971">
        <f>transport!G14</f>
        <v>131429.35301300552</v>
      </c>
      <c r="I20" s="971">
        <f>transport!H14</f>
        <v>24972.264965581591</v>
      </c>
      <c r="J20" s="971">
        <f>transport!I14</f>
        <v>0</v>
      </c>
      <c r="K20" s="971">
        <f>transport!J14</f>
        <v>0</v>
      </c>
      <c r="L20" s="971">
        <f>transport!K14</f>
        <v>0</v>
      </c>
      <c r="M20" s="971">
        <f>transport!L14</f>
        <v>0</v>
      </c>
      <c r="N20" s="971">
        <f>transport!M14</f>
        <v>8414.0027805377558</v>
      </c>
      <c r="O20" s="971">
        <f>transport!N14</f>
        <v>0</v>
      </c>
      <c r="P20" s="971">
        <f>transport!O14</f>
        <v>0</v>
      </c>
      <c r="Q20" s="972">
        <f>transport!P14</f>
        <v>0</v>
      </c>
      <c r="R20" s="666">
        <f>SUM(C20:Q20)</f>
        <v>165332.82772463484</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137.60882501939417</v>
      </c>
      <c r="D22" s="778">
        <f t="shared" ref="D22:R22" si="1">SUM(D18:D21)</f>
        <v>0</v>
      </c>
      <c r="E22" s="778">
        <f t="shared" si="1"/>
        <v>154.9886981187756</v>
      </c>
      <c r="F22" s="778">
        <f t="shared" si="1"/>
        <v>271.15146904362291</v>
      </c>
      <c r="G22" s="778">
        <f t="shared" si="1"/>
        <v>0</v>
      </c>
      <c r="H22" s="778">
        <f t="shared" si="1"/>
        <v>135801.51444749805</v>
      </c>
      <c r="I22" s="778">
        <f t="shared" si="1"/>
        <v>24972.264965581591</v>
      </c>
      <c r="J22" s="778">
        <f t="shared" si="1"/>
        <v>0</v>
      </c>
      <c r="K22" s="778">
        <f t="shared" si="1"/>
        <v>0</v>
      </c>
      <c r="L22" s="778">
        <f t="shared" si="1"/>
        <v>0</v>
      </c>
      <c r="M22" s="778">
        <f t="shared" si="1"/>
        <v>0</v>
      </c>
      <c r="N22" s="778">
        <f t="shared" si="1"/>
        <v>8665.7824300654047</v>
      </c>
      <c r="O22" s="778">
        <f t="shared" si="1"/>
        <v>0</v>
      </c>
      <c r="P22" s="778">
        <f t="shared" si="1"/>
        <v>0</v>
      </c>
      <c r="Q22" s="778">
        <f t="shared" si="1"/>
        <v>0</v>
      </c>
      <c r="R22" s="778">
        <f t="shared" si="1"/>
        <v>170003.31083532682</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3005.5203848592732</v>
      </c>
      <c r="D24" s="971">
        <f>+landbouw!C8</f>
        <v>96685.07142857142</v>
      </c>
      <c r="E24" s="971">
        <f>+landbouw!D8</f>
        <v>10231.365721871116</v>
      </c>
      <c r="F24" s="971">
        <f>+landbouw!E8</f>
        <v>88.341424029829383</v>
      </c>
      <c r="G24" s="971">
        <f>+landbouw!F8</f>
        <v>5028.3355135266465</v>
      </c>
      <c r="H24" s="971">
        <f>+landbouw!G8</f>
        <v>0</v>
      </c>
      <c r="I24" s="971">
        <f>+landbouw!H8</f>
        <v>0</v>
      </c>
      <c r="J24" s="971">
        <f>+landbouw!I8</f>
        <v>0</v>
      </c>
      <c r="K24" s="971">
        <f>+landbouw!J8</f>
        <v>435.43535947701258</v>
      </c>
      <c r="L24" s="971">
        <f>+landbouw!K8</f>
        <v>0</v>
      </c>
      <c r="M24" s="971">
        <f>+landbouw!L8</f>
        <v>0</v>
      </c>
      <c r="N24" s="971">
        <f>+landbouw!M8</f>
        <v>0</v>
      </c>
      <c r="O24" s="971">
        <f>+landbouw!N8</f>
        <v>0</v>
      </c>
      <c r="P24" s="971">
        <f>+landbouw!O8</f>
        <v>0</v>
      </c>
      <c r="Q24" s="972">
        <f>+landbouw!P8</f>
        <v>0</v>
      </c>
      <c r="R24" s="666">
        <f>SUM(C24:Q24)</f>
        <v>115474.0698323353</v>
      </c>
      <c r="S24" s="67"/>
    </row>
    <row r="25" spans="1:19" s="439" customFormat="1" ht="15" thickBot="1">
      <c r="A25" s="797" t="s">
        <v>802</v>
      </c>
      <c r="B25" s="974"/>
      <c r="C25" s="975">
        <f>IF(Onbekend_ele_kWh="---",0,Onbekend_ele_kWh)/1000+IF(REST_rest_ele_kWh="---",0,REST_rest_ele_kWh)/1000</f>
        <v>3052.5373984140801</v>
      </c>
      <c r="D25" s="975"/>
      <c r="E25" s="975">
        <f>IF(onbekend_gas_kWh="---",0,onbekend_gas_kWh)/1000+IF(REST_rest_gas_kWh="---",0,REST_rest_gas_kWh)/1000</f>
        <v>10039.4330258592</v>
      </c>
      <c r="F25" s="975"/>
      <c r="G25" s="975"/>
      <c r="H25" s="975"/>
      <c r="I25" s="975"/>
      <c r="J25" s="975"/>
      <c r="K25" s="975"/>
      <c r="L25" s="975"/>
      <c r="M25" s="975"/>
      <c r="N25" s="975"/>
      <c r="O25" s="975"/>
      <c r="P25" s="975"/>
      <c r="Q25" s="976"/>
      <c r="R25" s="666">
        <f>SUM(C25:Q25)</f>
        <v>13091.970424273281</v>
      </c>
      <c r="S25" s="67"/>
    </row>
    <row r="26" spans="1:19" s="439" customFormat="1" ht="15.75" thickBot="1">
      <c r="A26" s="671" t="s">
        <v>803</v>
      </c>
      <c r="B26" s="783"/>
      <c r="C26" s="778">
        <f>SUM(C24:C25)</f>
        <v>6058.0577832733534</v>
      </c>
      <c r="D26" s="778">
        <f t="shared" ref="D26:R26" si="2">SUM(D24:D25)</f>
        <v>96685.07142857142</v>
      </c>
      <c r="E26" s="778">
        <f t="shared" si="2"/>
        <v>20270.798747730318</v>
      </c>
      <c r="F26" s="778">
        <f t="shared" si="2"/>
        <v>88.341424029829383</v>
      </c>
      <c r="G26" s="778">
        <f t="shared" si="2"/>
        <v>5028.3355135266465</v>
      </c>
      <c r="H26" s="778">
        <f t="shared" si="2"/>
        <v>0</v>
      </c>
      <c r="I26" s="778">
        <f t="shared" si="2"/>
        <v>0</v>
      </c>
      <c r="J26" s="778">
        <f t="shared" si="2"/>
        <v>0</v>
      </c>
      <c r="K26" s="778">
        <f t="shared" si="2"/>
        <v>435.43535947701258</v>
      </c>
      <c r="L26" s="778">
        <f t="shared" si="2"/>
        <v>0</v>
      </c>
      <c r="M26" s="778">
        <f t="shared" si="2"/>
        <v>0</v>
      </c>
      <c r="N26" s="778">
        <f t="shared" si="2"/>
        <v>0</v>
      </c>
      <c r="O26" s="778">
        <f t="shared" si="2"/>
        <v>0</v>
      </c>
      <c r="P26" s="778">
        <f t="shared" si="2"/>
        <v>0</v>
      </c>
      <c r="Q26" s="778">
        <f t="shared" si="2"/>
        <v>0</v>
      </c>
      <c r="R26" s="778">
        <f t="shared" si="2"/>
        <v>128566.04025660858</v>
      </c>
      <c r="S26" s="67"/>
    </row>
    <row r="27" spans="1:19" s="439" customFormat="1" ht="17.25" thickTop="1" thickBot="1">
      <c r="A27" s="672" t="s">
        <v>109</v>
      </c>
      <c r="B27" s="771"/>
      <c r="C27" s="673">
        <f ca="1">C22+C16+C26</f>
        <v>189225.30271036777</v>
      </c>
      <c r="D27" s="673">
        <f t="shared" ref="D27:R27" ca="1" si="3">D22+D16+D26</f>
        <v>97585.07142857142</v>
      </c>
      <c r="E27" s="673">
        <f t="shared" ca="1" si="3"/>
        <v>305180.68336880399</v>
      </c>
      <c r="F27" s="673">
        <f t="shared" si="3"/>
        <v>5543.7116911404482</v>
      </c>
      <c r="G27" s="673">
        <f t="shared" ca="1" si="3"/>
        <v>76140.337616520424</v>
      </c>
      <c r="H27" s="673">
        <f t="shared" si="3"/>
        <v>135801.51444749805</v>
      </c>
      <c r="I27" s="673">
        <f t="shared" si="3"/>
        <v>24972.264965581591</v>
      </c>
      <c r="J27" s="673">
        <f t="shared" si="3"/>
        <v>0</v>
      </c>
      <c r="K27" s="673">
        <f t="shared" si="3"/>
        <v>719.18848192695145</v>
      </c>
      <c r="L27" s="673">
        <f t="shared" si="3"/>
        <v>0</v>
      </c>
      <c r="M27" s="673">
        <f t="shared" ca="1" si="3"/>
        <v>0</v>
      </c>
      <c r="N27" s="673">
        <f t="shared" si="3"/>
        <v>8665.7824300654047</v>
      </c>
      <c r="O27" s="673">
        <f t="shared" ca="1" si="3"/>
        <v>24265.889499905152</v>
      </c>
      <c r="P27" s="673">
        <f t="shared" si="3"/>
        <v>320.48333333333335</v>
      </c>
      <c r="Q27" s="673">
        <f t="shared" si="3"/>
        <v>1506.2666666666667</v>
      </c>
      <c r="R27" s="673">
        <f t="shared" ca="1" si="3"/>
        <v>869926.49664038129</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14580.747987876985</v>
      </c>
      <c r="D40" s="971">
        <f ca="1">tertiair!C20</f>
        <v>192.22447246594746</v>
      </c>
      <c r="E40" s="971">
        <f ca="1">tertiair!D20</f>
        <v>13881.198876711062</v>
      </c>
      <c r="F40" s="971">
        <f>tertiair!E20</f>
        <v>214.35895161956148</v>
      </c>
      <c r="G40" s="971">
        <f ca="1">tertiair!F20</f>
        <v>2902.0809274678145</v>
      </c>
      <c r="H40" s="971">
        <f>tertiair!G20</f>
        <v>0</v>
      </c>
      <c r="I40" s="971">
        <f>tertiair!H20</f>
        <v>0</v>
      </c>
      <c r="J40" s="971">
        <f>tertiair!I20</f>
        <v>0</v>
      </c>
      <c r="K40" s="971">
        <f>tertiair!J20</f>
        <v>5.1151839679965339E-2</v>
      </c>
      <c r="L40" s="971">
        <f>tertiair!K20</f>
        <v>0</v>
      </c>
      <c r="M40" s="971">
        <f ca="1">tertiair!L20</f>
        <v>0</v>
      </c>
      <c r="N40" s="971">
        <f>tertiair!M20</f>
        <v>0</v>
      </c>
      <c r="O40" s="971">
        <f ca="1">tertiair!N20</f>
        <v>0</v>
      </c>
      <c r="P40" s="971">
        <f>tertiair!O20</f>
        <v>0</v>
      </c>
      <c r="Q40" s="740">
        <f>tertiair!P20</f>
        <v>0</v>
      </c>
      <c r="R40" s="816">
        <f t="shared" ca="1" si="4"/>
        <v>31770.662367981051</v>
      </c>
    </row>
    <row r="41" spans="1:18">
      <c r="A41" s="788" t="s">
        <v>213</v>
      </c>
      <c r="B41" s="795"/>
      <c r="C41" s="971">
        <f ca="1">huishoudens!B12</f>
        <v>11238.703993053668</v>
      </c>
      <c r="D41" s="971">
        <f ca="1">huishoudens!C12</f>
        <v>0</v>
      </c>
      <c r="E41" s="971">
        <f>huishoudens!D12</f>
        <v>34756.493124350498</v>
      </c>
      <c r="F41" s="971">
        <f>huishoudens!E12</f>
        <v>460.45222298099901</v>
      </c>
      <c r="G41" s="971">
        <f>huishoudens!F12</f>
        <v>13721.442101225346</v>
      </c>
      <c r="H41" s="971">
        <f>huishoudens!G12</f>
        <v>0</v>
      </c>
      <c r="I41" s="971">
        <f>huishoudens!H12</f>
        <v>0</v>
      </c>
      <c r="J41" s="971">
        <f>huishoudens!I12</f>
        <v>0</v>
      </c>
      <c r="K41" s="971">
        <f>huishoudens!J12</f>
        <v>87.540142876277514</v>
      </c>
      <c r="L41" s="971">
        <f>huishoudens!K12</f>
        <v>0</v>
      </c>
      <c r="M41" s="971">
        <f>huishoudens!L12</f>
        <v>0</v>
      </c>
      <c r="N41" s="971">
        <f>huishoudens!M12</f>
        <v>0</v>
      </c>
      <c r="O41" s="971">
        <f>huishoudens!N12</f>
        <v>0</v>
      </c>
      <c r="P41" s="971">
        <f>huishoudens!O12</f>
        <v>0</v>
      </c>
      <c r="Q41" s="740">
        <f>huishoudens!P12</f>
        <v>0</v>
      </c>
      <c r="R41" s="816">
        <f t="shared" ca="1" si="4"/>
        <v>60264.631584486786</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9860.7595947018181</v>
      </c>
      <c r="D43" s="971">
        <f ca="1">industrie!C22</f>
        <v>0</v>
      </c>
      <c r="E43" s="971">
        <f>industrie!D22</f>
        <v>8882.7969753753368</v>
      </c>
      <c r="F43" s="971">
        <f>industrie!E22</f>
        <v>502.00649256064742</v>
      </c>
      <c r="G43" s="971">
        <f>industrie!F22</f>
        <v>2363.3815328061814</v>
      </c>
      <c r="H43" s="971">
        <f>industrie!G22</f>
        <v>0</v>
      </c>
      <c r="I43" s="971">
        <f>industrie!H22</f>
        <v>0</v>
      </c>
      <c r="J43" s="971">
        <f>industrie!I22</f>
        <v>0</v>
      </c>
      <c r="K43" s="971">
        <f>industrie!J22</f>
        <v>12.8573106313209</v>
      </c>
      <c r="L43" s="971">
        <f>industrie!K22</f>
        <v>0</v>
      </c>
      <c r="M43" s="971">
        <f>industrie!L22</f>
        <v>0</v>
      </c>
      <c r="N43" s="971">
        <f>industrie!M22</f>
        <v>0</v>
      </c>
      <c r="O43" s="971">
        <f>industrie!N22</f>
        <v>0</v>
      </c>
      <c r="P43" s="971">
        <f>industrie!O22</f>
        <v>0</v>
      </c>
      <c r="Q43" s="740">
        <f>industrie!P22</f>
        <v>0</v>
      </c>
      <c r="R43" s="815">
        <f t="shared" ca="1" si="4"/>
        <v>21621.801906075303</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35680.211575632471</v>
      </c>
      <c r="D46" s="698">
        <f t="shared" ref="D46:Q46" ca="1" si="5">SUM(D39:D45)</f>
        <v>192.22447246594746</v>
      </c>
      <c r="E46" s="698">
        <f t="shared" ca="1" si="5"/>
        <v>57520.488976436893</v>
      </c>
      <c r="F46" s="698">
        <f t="shared" si="5"/>
        <v>1176.8176671612077</v>
      </c>
      <c r="G46" s="698">
        <f t="shared" ca="1" si="5"/>
        <v>18986.904561499345</v>
      </c>
      <c r="H46" s="698">
        <f t="shared" si="5"/>
        <v>0</v>
      </c>
      <c r="I46" s="698">
        <f t="shared" si="5"/>
        <v>0</v>
      </c>
      <c r="J46" s="698">
        <f t="shared" si="5"/>
        <v>0</v>
      </c>
      <c r="K46" s="698">
        <f t="shared" si="5"/>
        <v>100.44860534727837</v>
      </c>
      <c r="L46" s="698">
        <f t="shared" si="5"/>
        <v>0</v>
      </c>
      <c r="M46" s="698">
        <f t="shared" ca="1" si="5"/>
        <v>0</v>
      </c>
      <c r="N46" s="698">
        <f t="shared" si="5"/>
        <v>0</v>
      </c>
      <c r="O46" s="698">
        <f t="shared" ca="1" si="5"/>
        <v>0</v>
      </c>
      <c r="P46" s="698">
        <f t="shared" si="5"/>
        <v>0</v>
      </c>
      <c r="Q46" s="698">
        <f t="shared" si="5"/>
        <v>0</v>
      </c>
      <c r="R46" s="698">
        <f ca="1">SUM(R39:R45)</f>
        <v>113657.09585854314</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9.0730080339706234</v>
      </c>
      <c r="D49" s="971">
        <f ca="1">transport!C58</f>
        <v>0</v>
      </c>
      <c r="E49" s="971">
        <f>transport!D58</f>
        <v>0</v>
      </c>
      <c r="F49" s="971">
        <f>transport!E58</f>
        <v>0</v>
      </c>
      <c r="G49" s="971">
        <f>transport!F58</f>
        <v>0</v>
      </c>
      <c r="H49" s="971">
        <f>transport!G58</f>
        <v>1167.3671030095036</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1176.4401110434742</v>
      </c>
    </row>
    <row r="50" spans="1:18">
      <c r="A50" s="791" t="s">
        <v>295</v>
      </c>
      <c r="B50" s="801"/>
      <c r="C50" s="669">
        <f ca="1">transport!B18</f>
        <v>17.752767812668377</v>
      </c>
      <c r="D50" s="669">
        <f>transport!C18</f>
        <v>0</v>
      </c>
      <c r="E50" s="669">
        <f>transport!D18</f>
        <v>31.307717019992673</v>
      </c>
      <c r="F50" s="669">
        <f>transport!E18</f>
        <v>61.551383472902401</v>
      </c>
      <c r="G50" s="669">
        <f>transport!F18</f>
        <v>0</v>
      </c>
      <c r="H50" s="669">
        <f>transport!G18</f>
        <v>35091.637254472473</v>
      </c>
      <c r="I50" s="669">
        <f>transport!H18</f>
        <v>6218.0939764298164</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41420.34309920785</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26.825775846639001</v>
      </c>
      <c r="D52" s="698">
        <f t="shared" ref="D52:Q52" ca="1" si="6">SUM(D48:D51)</f>
        <v>0</v>
      </c>
      <c r="E52" s="698">
        <f t="shared" si="6"/>
        <v>31.307717019992673</v>
      </c>
      <c r="F52" s="698">
        <f t="shared" si="6"/>
        <v>61.551383472902401</v>
      </c>
      <c r="G52" s="698">
        <f t="shared" si="6"/>
        <v>0</v>
      </c>
      <c r="H52" s="698">
        <f t="shared" si="6"/>
        <v>36259.004357481979</v>
      </c>
      <c r="I52" s="698">
        <f t="shared" si="6"/>
        <v>6218.0939764298164</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42596.783210251328</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585.90294725193633</v>
      </c>
      <c r="D54" s="669">
        <f ca="1">+landbouw!C12</f>
        <v>20650.263167432873</v>
      </c>
      <c r="E54" s="669">
        <f>+landbouw!D12</f>
        <v>2066.7358758179657</v>
      </c>
      <c r="F54" s="669">
        <f>+landbouw!E12</f>
        <v>20.053503254771272</v>
      </c>
      <c r="G54" s="669">
        <f>+landbouw!F12</f>
        <v>1342.5655821116147</v>
      </c>
      <c r="H54" s="669">
        <f>+landbouw!G12</f>
        <v>0</v>
      </c>
      <c r="I54" s="669">
        <f>+landbouw!H12</f>
        <v>0</v>
      </c>
      <c r="J54" s="669">
        <f>+landbouw!I12</f>
        <v>0</v>
      </c>
      <c r="K54" s="669">
        <f>+landbouw!J12</f>
        <v>154.14411725486244</v>
      </c>
      <c r="L54" s="669">
        <f>+landbouw!K12</f>
        <v>0</v>
      </c>
      <c r="M54" s="669">
        <f>+landbouw!L12</f>
        <v>0</v>
      </c>
      <c r="N54" s="669">
        <f>+landbouw!M12</f>
        <v>0</v>
      </c>
      <c r="O54" s="669">
        <f>+landbouw!N12</f>
        <v>0</v>
      </c>
      <c r="P54" s="669">
        <f>+landbouw!O12</f>
        <v>0</v>
      </c>
      <c r="Q54" s="670">
        <f>+landbouw!P12</f>
        <v>0</v>
      </c>
      <c r="R54" s="697">
        <f ca="1">SUM(C54:Q54)</f>
        <v>24819.665193124023</v>
      </c>
    </row>
    <row r="55" spans="1:18" ht="15" thickBot="1">
      <c r="A55" s="791" t="s">
        <v>802</v>
      </c>
      <c r="B55" s="801"/>
      <c r="C55" s="669">
        <f ca="1">C25*'EF ele_warmte'!B12</f>
        <v>595.06855030407985</v>
      </c>
      <c r="D55" s="669"/>
      <c r="E55" s="669">
        <f>E25*EF_CO2_aardgas</f>
        <v>2027.9654712235586</v>
      </c>
      <c r="F55" s="669"/>
      <c r="G55" s="669"/>
      <c r="H55" s="669"/>
      <c r="I55" s="669"/>
      <c r="J55" s="669"/>
      <c r="K55" s="669"/>
      <c r="L55" s="669"/>
      <c r="M55" s="669"/>
      <c r="N55" s="669"/>
      <c r="O55" s="669"/>
      <c r="P55" s="669"/>
      <c r="Q55" s="670"/>
      <c r="R55" s="697">
        <f ca="1">SUM(C55:Q55)</f>
        <v>2623.0340215276383</v>
      </c>
    </row>
    <row r="56" spans="1:18" ht="15.75" thickBot="1">
      <c r="A56" s="789" t="s">
        <v>803</v>
      </c>
      <c r="B56" s="802"/>
      <c r="C56" s="698">
        <f ca="1">SUM(C54:C55)</f>
        <v>1180.9714975560162</v>
      </c>
      <c r="D56" s="698">
        <f t="shared" ref="D56:Q56" ca="1" si="7">SUM(D54:D55)</f>
        <v>20650.263167432873</v>
      </c>
      <c r="E56" s="698">
        <f t="shared" si="7"/>
        <v>4094.7013470415241</v>
      </c>
      <c r="F56" s="698">
        <f t="shared" si="7"/>
        <v>20.053503254771272</v>
      </c>
      <c r="G56" s="698">
        <f t="shared" si="7"/>
        <v>1342.5655821116147</v>
      </c>
      <c r="H56" s="698">
        <f t="shared" si="7"/>
        <v>0</v>
      </c>
      <c r="I56" s="698">
        <f t="shared" si="7"/>
        <v>0</v>
      </c>
      <c r="J56" s="698">
        <f t="shared" si="7"/>
        <v>0</v>
      </c>
      <c r="K56" s="698">
        <f t="shared" si="7"/>
        <v>154.14411725486244</v>
      </c>
      <c r="L56" s="698">
        <f t="shared" si="7"/>
        <v>0</v>
      </c>
      <c r="M56" s="698">
        <f t="shared" si="7"/>
        <v>0</v>
      </c>
      <c r="N56" s="698">
        <f t="shared" si="7"/>
        <v>0</v>
      </c>
      <c r="O56" s="698">
        <f t="shared" si="7"/>
        <v>0</v>
      </c>
      <c r="P56" s="698">
        <f t="shared" si="7"/>
        <v>0</v>
      </c>
      <c r="Q56" s="699">
        <f t="shared" si="7"/>
        <v>0</v>
      </c>
      <c r="R56" s="700">
        <f ca="1">SUM(R54:R55)</f>
        <v>27442.69921465166</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36888.008849035126</v>
      </c>
      <c r="D61" s="706">
        <f t="shared" ref="D61:Q61" ca="1" si="8">D46+D52+D56</f>
        <v>20842.48763989882</v>
      </c>
      <c r="E61" s="706">
        <f t="shared" ca="1" si="8"/>
        <v>61646.498040498409</v>
      </c>
      <c r="F61" s="706">
        <f t="shared" si="8"/>
        <v>1258.4225538888813</v>
      </c>
      <c r="G61" s="706">
        <f t="shared" ca="1" si="8"/>
        <v>20329.470143610961</v>
      </c>
      <c r="H61" s="706">
        <f t="shared" si="8"/>
        <v>36259.004357481979</v>
      </c>
      <c r="I61" s="706">
        <f t="shared" si="8"/>
        <v>6218.0939764298164</v>
      </c>
      <c r="J61" s="706">
        <f t="shared" si="8"/>
        <v>0</v>
      </c>
      <c r="K61" s="706">
        <f t="shared" si="8"/>
        <v>254.59272260214081</v>
      </c>
      <c r="L61" s="706">
        <f t="shared" si="8"/>
        <v>0</v>
      </c>
      <c r="M61" s="706">
        <f t="shared" ca="1" si="8"/>
        <v>0</v>
      </c>
      <c r="N61" s="706">
        <f t="shared" si="8"/>
        <v>0</v>
      </c>
      <c r="O61" s="706">
        <f t="shared" ca="1" si="8"/>
        <v>0</v>
      </c>
      <c r="P61" s="706">
        <f t="shared" si="8"/>
        <v>0</v>
      </c>
      <c r="Q61" s="706">
        <f t="shared" si="8"/>
        <v>0</v>
      </c>
      <c r="R61" s="706">
        <f ca="1">R46+R52+R56</f>
        <v>183696.57828344611</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0.19494226364376169</v>
      </c>
      <c r="D63" s="747">
        <f t="shared" ca="1" si="9"/>
        <v>0.213582747184386</v>
      </c>
      <c r="E63" s="982">
        <f t="shared" ca="1" si="9"/>
        <v>0.20200000000000001</v>
      </c>
      <c r="F63" s="747">
        <f t="shared" si="9"/>
        <v>0.22699999999999992</v>
      </c>
      <c r="G63" s="747">
        <f t="shared" ca="1" si="9"/>
        <v>0.26700000000000007</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9988.1165936660436</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8037.0953253746848</v>
      </c>
      <c r="C76" s="716">
        <f>'lokale energieproductie'!B8*IFERROR(SUM(D76:H76)/SUM(D76:O76),0)</f>
        <v>62819.904674625323</v>
      </c>
      <c r="D76" s="992">
        <f>'lokale energieproductie'!C8</f>
        <v>70753.96811705931</v>
      </c>
      <c r="E76" s="993">
        <f>'lokale energieproductie'!D8</f>
        <v>0</v>
      </c>
      <c r="F76" s="993">
        <f>'lokale energieproductie'!E8</f>
        <v>3151.8020883822287</v>
      </c>
      <c r="G76" s="993">
        <f>'lokale energieproductie'!F8</f>
        <v>0</v>
      </c>
      <c r="H76" s="993">
        <f>'lokale energieproductie'!G8</f>
        <v>0</v>
      </c>
      <c r="I76" s="993">
        <f>'lokale energieproductie'!I8</f>
        <v>9455.4062651466866</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15133.832717244037</v>
      </c>
      <c r="R76" s="818">
        <v>0</v>
      </c>
    </row>
    <row r="77" spans="1:18" ht="30.75" thickBot="1">
      <c r="A77" s="719" t="s">
        <v>339</v>
      </c>
      <c r="B77" s="716">
        <f>'lokale energieproductie'!B9*IFERROR(SUM(I77:O77)/SUM(D77:O77),0)</f>
        <v>9945</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28414.285714285717</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27970.211919040728</v>
      </c>
      <c r="C78" s="721">
        <f>SUM(C72:C77)</f>
        <v>62819.904674625323</v>
      </c>
      <c r="D78" s="722">
        <f t="shared" ref="D78:H78" si="10">SUM(D76:D77)</f>
        <v>70753.96811705931</v>
      </c>
      <c r="E78" s="722">
        <f t="shared" si="10"/>
        <v>0</v>
      </c>
      <c r="F78" s="722">
        <f t="shared" si="10"/>
        <v>3151.8020883822287</v>
      </c>
      <c r="G78" s="722">
        <f t="shared" si="10"/>
        <v>0</v>
      </c>
      <c r="H78" s="722">
        <f t="shared" si="10"/>
        <v>0</v>
      </c>
      <c r="I78" s="722">
        <f>SUM(I76:I77)</f>
        <v>9455.4062651466866</v>
      </c>
      <c r="J78" s="722">
        <f>SUM(J76:J77)</f>
        <v>28414.285714285717</v>
      </c>
      <c r="K78" s="722">
        <f t="shared" ref="K78:L78" si="11">SUM(K76:K77)</f>
        <v>0</v>
      </c>
      <c r="L78" s="722">
        <f t="shared" si="11"/>
        <v>0</v>
      </c>
      <c r="M78" s="722">
        <f>SUM(M76:M77)</f>
        <v>0</v>
      </c>
      <c r="N78" s="722">
        <f>SUM(N76:N77)</f>
        <v>0</v>
      </c>
      <c r="O78" s="826">
        <f>SUM(O76:O77)</f>
        <v>0</v>
      </c>
      <c r="P78" s="723">
        <v>0</v>
      </c>
      <c r="Q78" s="723">
        <f>SUM(Q76:Q77)</f>
        <v>15133.832717244037</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11068.779674625317</v>
      </c>
      <c r="C87" s="732">
        <f>'lokale energieproductie'!B17*IFERROR(SUM(D87:H87)/SUM(D87:O87),0)</f>
        <v>86516.291753946105</v>
      </c>
      <c r="D87" s="743">
        <f>'lokale energieproductie'!C17</f>
        <v>97443.17474008353</v>
      </c>
      <c r="E87" s="743">
        <f>'lokale energieproductie'!D17</f>
        <v>0</v>
      </c>
      <c r="F87" s="743">
        <f>'lokale energieproductie'!E17</f>
        <v>4340.6979116177708</v>
      </c>
      <c r="G87" s="743">
        <f>'lokale energieproductie'!F17</f>
        <v>0</v>
      </c>
      <c r="H87" s="743">
        <f>'lokale energieproductie'!G17</f>
        <v>0</v>
      </c>
      <c r="I87" s="743">
        <f>'lokale energieproductie'!I17</f>
        <v>13022.093734853313</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20842.48763989882</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11068.779674625317</v>
      </c>
      <c r="C90" s="721">
        <f>SUM(C87:C89)</f>
        <v>86516.291753946105</v>
      </c>
      <c r="D90" s="721">
        <f t="shared" ref="D90:H90" si="12">SUM(D87:D89)</f>
        <v>97443.17474008353</v>
      </c>
      <c r="E90" s="721">
        <f t="shared" si="12"/>
        <v>0</v>
      </c>
      <c r="F90" s="721">
        <f t="shared" si="12"/>
        <v>4340.6979116177708</v>
      </c>
      <c r="G90" s="721">
        <f t="shared" si="12"/>
        <v>0</v>
      </c>
      <c r="H90" s="721">
        <f t="shared" si="12"/>
        <v>0</v>
      </c>
      <c r="I90" s="721">
        <f>SUM(I87:I89)</f>
        <v>13022.093734853313</v>
      </c>
      <c r="J90" s="721">
        <f>SUM(J87:J89)</f>
        <v>0</v>
      </c>
      <c r="K90" s="721">
        <f t="shared" ref="K90:L90" si="13">SUM(K87:K89)</f>
        <v>0</v>
      </c>
      <c r="L90" s="721">
        <f t="shared" si="13"/>
        <v>0</v>
      </c>
      <c r="M90" s="721">
        <f>SUM(M87:M89)</f>
        <v>0</v>
      </c>
      <c r="N90" s="721">
        <f>SUM(N87:N89)</f>
        <v>0</v>
      </c>
      <c r="O90" s="721">
        <f>SUM(O87:O89)</f>
        <v>0</v>
      </c>
      <c r="P90" s="721">
        <v>0</v>
      </c>
      <c r="Q90" s="721">
        <f>SUM(Q87:Q89)</f>
        <v>20842.48763989882</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57651.4491161923</v>
      </c>
      <c r="C4" s="443">
        <f>huishoudens!C8</f>
        <v>0</v>
      </c>
      <c r="D4" s="443">
        <f>huishoudens!D8</f>
        <v>172061.84715024999</v>
      </c>
      <c r="E4" s="443">
        <f>huishoudens!E8</f>
        <v>2028.4238897841365</v>
      </c>
      <c r="F4" s="443">
        <f>huishoudens!F8</f>
        <v>51391.168918446987</v>
      </c>
      <c r="G4" s="443">
        <f>huishoudens!G8</f>
        <v>0</v>
      </c>
      <c r="H4" s="443">
        <f>huishoudens!H8</f>
        <v>0</v>
      </c>
      <c r="I4" s="443">
        <f>huishoudens!I8</f>
        <v>0</v>
      </c>
      <c r="J4" s="443">
        <f>huishoudens!J8</f>
        <v>247.28853919852406</v>
      </c>
      <c r="K4" s="443">
        <f>huishoudens!K8</f>
        <v>0</v>
      </c>
      <c r="L4" s="443">
        <f>huishoudens!L8</f>
        <v>0</v>
      </c>
      <c r="M4" s="443">
        <f>huishoudens!M8</f>
        <v>0</v>
      </c>
      <c r="N4" s="443">
        <f>huishoudens!N8</f>
        <v>21474.454365043821</v>
      </c>
      <c r="O4" s="443">
        <f>huishoudens!O8</f>
        <v>314.23</v>
      </c>
      <c r="P4" s="444">
        <f>huishoudens!P8</f>
        <v>1353.7333333333333</v>
      </c>
      <c r="Q4" s="445">
        <f>SUM(B4:P4)</f>
        <v>306522.59531224909</v>
      </c>
    </row>
    <row r="5" spans="1:17">
      <c r="A5" s="442" t="s">
        <v>149</v>
      </c>
      <c r="B5" s="443">
        <f ca="1">tertiair!B16</f>
        <v>72623.003261010308</v>
      </c>
      <c r="C5" s="443">
        <f ca="1">tertiair!C16</f>
        <v>900.00000000000023</v>
      </c>
      <c r="D5" s="443">
        <f ca="1">tertiair!D16</f>
        <v>68718.806320351781</v>
      </c>
      <c r="E5" s="443">
        <f>tertiair!E16</f>
        <v>944.31256220071134</v>
      </c>
      <c r="F5" s="443">
        <f ca="1">tertiair!F16</f>
        <v>10869.216956808294</v>
      </c>
      <c r="G5" s="443">
        <f>tertiair!G16</f>
        <v>0</v>
      </c>
      <c r="H5" s="443">
        <f>tertiair!H16</f>
        <v>0</v>
      </c>
      <c r="I5" s="443">
        <f>tertiair!I16</f>
        <v>0</v>
      </c>
      <c r="J5" s="443">
        <f>tertiair!J16</f>
        <v>0.1444967222597891</v>
      </c>
      <c r="K5" s="443">
        <f>tertiair!K16</f>
        <v>0</v>
      </c>
      <c r="L5" s="443">
        <f ca="1">tertiair!L16</f>
        <v>0</v>
      </c>
      <c r="M5" s="443">
        <f>tertiair!M16</f>
        <v>0</v>
      </c>
      <c r="N5" s="443">
        <f ca="1">tertiair!N16</f>
        <v>0</v>
      </c>
      <c r="O5" s="443">
        <f>tertiair!O16</f>
        <v>6.2533333333333339</v>
      </c>
      <c r="P5" s="444">
        <f>tertiair!P16</f>
        <v>152.53333333333333</v>
      </c>
      <c r="Q5" s="442">
        <f t="shared" ref="Q5:Q14" ca="1" si="0">SUM(B5:P5)</f>
        <v>154214.27026376</v>
      </c>
    </row>
    <row r="6" spans="1:17">
      <c r="A6" s="442" t="s">
        <v>187</v>
      </c>
      <c r="B6" s="443">
        <f>'openbare verlichting'!B8</f>
        <v>2172.2089999999998</v>
      </c>
      <c r="C6" s="443"/>
      <c r="D6" s="443"/>
      <c r="E6" s="443"/>
      <c r="F6" s="443"/>
      <c r="G6" s="443"/>
      <c r="H6" s="443"/>
      <c r="I6" s="443"/>
      <c r="J6" s="443"/>
      <c r="K6" s="443"/>
      <c r="L6" s="443"/>
      <c r="M6" s="443"/>
      <c r="N6" s="443"/>
      <c r="O6" s="443"/>
      <c r="P6" s="444"/>
      <c r="Q6" s="442">
        <f t="shared" si="0"/>
        <v>2172.2089999999998</v>
      </c>
    </row>
    <row r="7" spans="1:17">
      <c r="A7" s="442" t="s">
        <v>105</v>
      </c>
      <c r="B7" s="443">
        <f>landbouw!B8</f>
        <v>3005.5203848592732</v>
      </c>
      <c r="C7" s="443">
        <f>landbouw!C8</f>
        <v>96685.07142857142</v>
      </c>
      <c r="D7" s="443">
        <f>landbouw!D8</f>
        <v>10231.365721871116</v>
      </c>
      <c r="E7" s="443">
        <f>landbouw!E8</f>
        <v>88.341424029829383</v>
      </c>
      <c r="F7" s="443">
        <f>landbouw!F8</f>
        <v>5028.3355135266465</v>
      </c>
      <c r="G7" s="443">
        <f>landbouw!G8</f>
        <v>0</v>
      </c>
      <c r="H7" s="443">
        <f>landbouw!H8</f>
        <v>0</v>
      </c>
      <c r="I7" s="443">
        <f>landbouw!I8</f>
        <v>0</v>
      </c>
      <c r="J7" s="443">
        <f>landbouw!J8</f>
        <v>435.43535947701258</v>
      </c>
      <c r="K7" s="443">
        <f>landbouw!K8</f>
        <v>0</v>
      </c>
      <c r="L7" s="443">
        <f>landbouw!L8</f>
        <v>0</v>
      </c>
      <c r="M7" s="443">
        <f>landbouw!M8</f>
        <v>0</v>
      </c>
      <c r="N7" s="443">
        <f>landbouw!N8</f>
        <v>0</v>
      </c>
      <c r="O7" s="443">
        <f>landbouw!O8</f>
        <v>0</v>
      </c>
      <c r="P7" s="444">
        <f>landbouw!P8</f>
        <v>0</v>
      </c>
      <c r="Q7" s="442">
        <f t="shared" si="0"/>
        <v>115474.0698323353</v>
      </c>
    </row>
    <row r="8" spans="1:17">
      <c r="A8" s="442" t="s">
        <v>621</v>
      </c>
      <c r="B8" s="443">
        <f>industrie!B18</f>
        <v>50582.97472487246</v>
      </c>
      <c r="C8" s="443">
        <f>industrie!C18</f>
        <v>0</v>
      </c>
      <c r="D8" s="443">
        <f>industrie!D18</f>
        <v>43974.242452353152</v>
      </c>
      <c r="E8" s="443">
        <f>industrie!E18</f>
        <v>2211.4823460821472</v>
      </c>
      <c r="F8" s="443">
        <f>industrie!F18</f>
        <v>8851.6162277385065</v>
      </c>
      <c r="G8" s="443">
        <f>industrie!G18</f>
        <v>0</v>
      </c>
      <c r="H8" s="443">
        <f>industrie!H18</f>
        <v>0</v>
      </c>
      <c r="I8" s="443">
        <f>industrie!I18</f>
        <v>0</v>
      </c>
      <c r="J8" s="443">
        <f>industrie!J18</f>
        <v>36.320086529155084</v>
      </c>
      <c r="K8" s="443">
        <f>industrie!K18</f>
        <v>0</v>
      </c>
      <c r="L8" s="443">
        <f>industrie!L18</f>
        <v>0</v>
      </c>
      <c r="M8" s="443">
        <f>industrie!M18</f>
        <v>0</v>
      </c>
      <c r="N8" s="443">
        <f>industrie!N18</f>
        <v>2791.4351348613295</v>
      </c>
      <c r="O8" s="443">
        <f>industrie!O18</f>
        <v>0</v>
      </c>
      <c r="P8" s="444">
        <f>industrie!P18</f>
        <v>0</v>
      </c>
      <c r="Q8" s="442">
        <f t="shared" si="0"/>
        <v>108448.07097243675</v>
      </c>
    </row>
    <row r="9" spans="1:17" s="448" customFormat="1">
      <c r="A9" s="446" t="s">
        <v>547</v>
      </c>
      <c r="B9" s="447">
        <f>transport!B14</f>
        <v>91.066798347585959</v>
      </c>
      <c r="C9" s="447">
        <f>transport!C14</f>
        <v>0</v>
      </c>
      <c r="D9" s="447">
        <f>transport!D14</f>
        <v>154.9886981187756</v>
      </c>
      <c r="E9" s="447">
        <f>transport!E14</f>
        <v>271.15146904362291</v>
      </c>
      <c r="F9" s="447">
        <f>transport!F14</f>
        <v>0</v>
      </c>
      <c r="G9" s="447">
        <f>transport!G14</f>
        <v>131429.35301300552</v>
      </c>
      <c r="H9" s="447">
        <f>transport!H14</f>
        <v>24972.264965581591</v>
      </c>
      <c r="I9" s="447">
        <f>transport!I14</f>
        <v>0</v>
      </c>
      <c r="J9" s="447">
        <f>transport!J14</f>
        <v>0</v>
      </c>
      <c r="K9" s="447">
        <f>transport!K14</f>
        <v>0</v>
      </c>
      <c r="L9" s="447">
        <f>transport!L14</f>
        <v>0</v>
      </c>
      <c r="M9" s="447">
        <f>transport!M14</f>
        <v>8414.0027805377558</v>
      </c>
      <c r="N9" s="447">
        <f>transport!N14</f>
        <v>0</v>
      </c>
      <c r="O9" s="447">
        <f>transport!O14</f>
        <v>0</v>
      </c>
      <c r="P9" s="447">
        <f>transport!P14</f>
        <v>0</v>
      </c>
      <c r="Q9" s="446">
        <f>SUM(B9:P9)</f>
        <v>165332.82772463484</v>
      </c>
    </row>
    <row r="10" spans="1:17">
      <c r="A10" s="442" t="s">
        <v>537</v>
      </c>
      <c r="B10" s="443">
        <f>transport!B54</f>
        <v>46.542026671808216</v>
      </c>
      <c r="C10" s="443">
        <f>transport!C54</f>
        <v>0</v>
      </c>
      <c r="D10" s="443">
        <f>transport!D54</f>
        <v>0</v>
      </c>
      <c r="E10" s="443">
        <f>transport!E54</f>
        <v>0</v>
      </c>
      <c r="F10" s="443">
        <f>transport!F54</f>
        <v>0</v>
      </c>
      <c r="G10" s="443">
        <f>transport!G54</f>
        <v>4372.1614344925229</v>
      </c>
      <c r="H10" s="443">
        <f>transport!H54</f>
        <v>0</v>
      </c>
      <c r="I10" s="443">
        <f>transport!I54</f>
        <v>0</v>
      </c>
      <c r="J10" s="443">
        <f>transport!J54</f>
        <v>0</v>
      </c>
      <c r="K10" s="443">
        <f>transport!K54</f>
        <v>0</v>
      </c>
      <c r="L10" s="443">
        <f>transport!L54</f>
        <v>0</v>
      </c>
      <c r="M10" s="443">
        <f>transport!M54</f>
        <v>251.77964952764927</v>
      </c>
      <c r="N10" s="443">
        <f>transport!N54</f>
        <v>0</v>
      </c>
      <c r="O10" s="443">
        <f>transport!O54</f>
        <v>0</v>
      </c>
      <c r="P10" s="444">
        <f>transport!P54</f>
        <v>0</v>
      </c>
      <c r="Q10" s="442">
        <f t="shared" si="0"/>
        <v>4670.4831106919801</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3052.5373984140801</v>
      </c>
      <c r="C14" s="450"/>
      <c r="D14" s="450">
        <f>'SEAP template'!E25</f>
        <v>10039.4330258592</v>
      </c>
      <c r="E14" s="450"/>
      <c r="F14" s="450"/>
      <c r="G14" s="450"/>
      <c r="H14" s="450"/>
      <c r="I14" s="450"/>
      <c r="J14" s="450"/>
      <c r="K14" s="450"/>
      <c r="L14" s="450"/>
      <c r="M14" s="450"/>
      <c r="N14" s="450"/>
      <c r="O14" s="450"/>
      <c r="P14" s="451"/>
      <c r="Q14" s="442">
        <f t="shared" si="0"/>
        <v>13091.970424273281</v>
      </c>
    </row>
    <row r="15" spans="1:17" s="452" customFormat="1">
      <c r="A15" s="997" t="s">
        <v>541</v>
      </c>
      <c r="B15" s="945">
        <f ca="1">SUM(B4:B14)</f>
        <v>189225.3027103678</v>
      </c>
      <c r="C15" s="945">
        <f t="shared" ref="C15:Q15" ca="1" si="1">SUM(C4:C14)</f>
        <v>97585.07142857142</v>
      </c>
      <c r="D15" s="945">
        <f t="shared" ca="1" si="1"/>
        <v>305180.68336880399</v>
      </c>
      <c r="E15" s="945">
        <f t="shared" si="1"/>
        <v>5543.7116911404482</v>
      </c>
      <c r="F15" s="945">
        <f t="shared" ca="1" si="1"/>
        <v>76140.337616520424</v>
      </c>
      <c r="G15" s="945">
        <f t="shared" si="1"/>
        <v>135801.51444749805</v>
      </c>
      <c r="H15" s="945">
        <f t="shared" si="1"/>
        <v>24972.264965581591</v>
      </c>
      <c r="I15" s="945">
        <f t="shared" si="1"/>
        <v>0</v>
      </c>
      <c r="J15" s="945">
        <f t="shared" si="1"/>
        <v>719.18848192695157</v>
      </c>
      <c r="K15" s="945">
        <f t="shared" si="1"/>
        <v>0</v>
      </c>
      <c r="L15" s="945">
        <f t="shared" ca="1" si="1"/>
        <v>0</v>
      </c>
      <c r="M15" s="945">
        <f t="shared" si="1"/>
        <v>8665.7824300654047</v>
      </c>
      <c r="N15" s="945">
        <f t="shared" ca="1" si="1"/>
        <v>24265.889499905152</v>
      </c>
      <c r="O15" s="945">
        <f t="shared" si="1"/>
        <v>320.48333333333335</v>
      </c>
      <c r="P15" s="945">
        <f t="shared" si="1"/>
        <v>1506.2666666666667</v>
      </c>
      <c r="Q15" s="945">
        <f t="shared" ca="1" si="1"/>
        <v>869926.49664038129</v>
      </c>
    </row>
    <row r="17" spans="1:17">
      <c r="A17" s="453" t="s">
        <v>542</v>
      </c>
      <c r="B17" s="752">
        <f ca="1">huishoudens!B10</f>
        <v>0.19494226364376163</v>
      </c>
      <c r="C17" s="752">
        <f ca="1">huishoudens!C10</f>
        <v>0.213582747184386</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11238.703993053668</v>
      </c>
      <c r="C22" s="443">
        <f t="shared" ref="C22:C32" ca="1" si="3">C4*$C$17</f>
        <v>0</v>
      </c>
      <c r="D22" s="443">
        <f t="shared" ref="D22:D32" si="4">D4*$D$17</f>
        <v>34756.493124350498</v>
      </c>
      <c r="E22" s="443">
        <f t="shared" ref="E22:E32" si="5">E4*$E$17</f>
        <v>460.45222298099901</v>
      </c>
      <c r="F22" s="443">
        <f t="shared" ref="F22:F32" si="6">F4*$F$17</f>
        <v>13721.442101225346</v>
      </c>
      <c r="G22" s="443">
        <f t="shared" ref="G22:G32" si="7">G4*$G$17</f>
        <v>0</v>
      </c>
      <c r="H22" s="443">
        <f t="shared" ref="H22:H32" si="8">H4*$H$17</f>
        <v>0</v>
      </c>
      <c r="I22" s="443">
        <f t="shared" ref="I22:I32" si="9">I4*$I$17</f>
        <v>0</v>
      </c>
      <c r="J22" s="443">
        <f t="shared" ref="J22:J32" si="10">J4*$J$17</f>
        <v>87.540142876277514</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60264.631584486786</v>
      </c>
    </row>
    <row r="23" spans="1:17">
      <c r="A23" s="442" t="s">
        <v>149</v>
      </c>
      <c r="B23" s="443">
        <f t="shared" ca="1" si="2"/>
        <v>14157.292648309633</v>
      </c>
      <c r="C23" s="443">
        <f t="shared" ca="1" si="3"/>
        <v>192.22447246594746</v>
      </c>
      <c r="D23" s="443">
        <f t="shared" ca="1" si="4"/>
        <v>13881.198876711062</v>
      </c>
      <c r="E23" s="443">
        <f t="shared" si="5"/>
        <v>214.35895161956148</v>
      </c>
      <c r="F23" s="443">
        <f t="shared" ca="1" si="6"/>
        <v>2902.0809274678145</v>
      </c>
      <c r="G23" s="443">
        <f t="shared" si="7"/>
        <v>0</v>
      </c>
      <c r="H23" s="443">
        <f t="shared" si="8"/>
        <v>0</v>
      </c>
      <c r="I23" s="443">
        <f t="shared" si="9"/>
        <v>0</v>
      </c>
      <c r="J23" s="443">
        <f t="shared" si="10"/>
        <v>5.1151839679965339E-2</v>
      </c>
      <c r="K23" s="443">
        <f t="shared" si="11"/>
        <v>0</v>
      </c>
      <c r="L23" s="443">
        <f t="shared" ca="1" si="12"/>
        <v>0</v>
      </c>
      <c r="M23" s="443">
        <f t="shared" si="13"/>
        <v>0</v>
      </c>
      <c r="N23" s="443">
        <f t="shared" ca="1" si="14"/>
        <v>0</v>
      </c>
      <c r="O23" s="443">
        <f t="shared" si="15"/>
        <v>0</v>
      </c>
      <c r="P23" s="444">
        <f t="shared" si="16"/>
        <v>0</v>
      </c>
      <c r="Q23" s="442">
        <f t="shared" ref="Q23:Q32" ca="1" si="17">SUM(B23:P23)</f>
        <v>31347.207028413697</v>
      </c>
    </row>
    <row r="24" spans="1:17">
      <c r="A24" s="442" t="s">
        <v>187</v>
      </c>
      <c r="B24" s="443">
        <f t="shared" ca="1" si="2"/>
        <v>423.45533956735176</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423.45533956735176</v>
      </c>
    </row>
    <row r="25" spans="1:17">
      <c r="A25" s="442" t="s">
        <v>105</v>
      </c>
      <c r="B25" s="443">
        <f t="shared" ca="1" si="2"/>
        <v>585.90294725193633</v>
      </c>
      <c r="C25" s="443">
        <f t="shared" ca="1" si="3"/>
        <v>20650.263167432873</v>
      </c>
      <c r="D25" s="443">
        <f t="shared" si="4"/>
        <v>2066.7358758179657</v>
      </c>
      <c r="E25" s="443">
        <f t="shared" si="5"/>
        <v>20.053503254771272</v>
      </c>
      <c r="F25" s="443">
        <f t="shared" si="6"/>
        <v>1342.5655821116147</v>
      </c>
      <c r="G25" s="443">
        <f t="shared" si="7"/>
        <v>0</v>
      </c>
      <c r="H25" s="443">
        <f t="shared" si="8"/>
        <v>0</v>
      </c>
      <c r="I25" s="443">
        <f t="shared" si="9"/>
        <v>0</v>
      </c>
      <c r="J25" s="443">
        <f t="shared" si="10"/>
        <v>154.14411725486244</v>
      </c>
      <c r="K25" s="443">
        <f t="shared" si="11"/>
        <v>0</v>
      </c>
      <c r="L25" s="443">
        <f t="shared" si="12"/>
        <v>0</v>
      </c>
      <c r="M25" s="443">
        <f t="shared" si="13"/>
        <v>0</v>
      </c>
      <c r="N25" s="443">
        <f t="shared" si="14"/>
        <v>0</v>
      </c>
      <c r="O25" s="443">
        <f t="shared" si="15"/>
        <v>0</v>
      </c>
      <c r="P25" s="444">
        <f t="shared" si="16"/>
        <v>0</v>
      </c>
      <c r="Q25" s="442">
        <f t="shared" ca="1" si="17"/>
        <v>24819.665193124023</v>
      </c>
    </row>
    <row r="26" spans="1:17">
      <c r="A26" s="442" t="s">
        <v>621</v>
      </c>
      <c r="B26" s="443">
        <f t="shared" ca="1" si="2"/>
        <v>9860.7595947018181</v>
      </c>
      <c r="C26" s="443">
        <f t="shared" ca="1" si="3"/>
        <v>0</v>
      </c>
      <c r="D26" s="443">
        <f t="shared" si="4"/>
        <v>8882.7969753753368</v>
      </c>
      <c r="E26" s="443">
        <f t="shared" si="5"/>
        <v>502.00649256064742</v>
      </c>
      <c r="F26" s="443">
        <f t="shared" si="6"/>
        <v>2363.3815328061814</v>
      </c>
      <c r="G26" s="443">
        <f t="shared" si="7"/>
        <v>0</v>
      </c>
      <c r="H26" s="443">
        <f t="shared" si="8"/>
        <v>0</v>
      </c>
      <c r="I26" s="443">
        <f t="shared" si="9"/>
        <v>0</v>
      </c>
      <c r="J26" s="443">
        <f t="shared" si="10"/>
        <v>12.8573106313209</v>
      </c>
      <c r="K26" s="443">
        <f t="shared" si="11"/>
        <v>0</v>
      </c>
      <c r="L26" s="443">
        <f t="shared" si="12"/>
        <v>0</v>
      </c>
      <c r="M26" s="443">
        <f t="shared" si="13"/>
        <v>0</v>
      </c>
      <c r="N26" s="443">
        <f t="shared" si="14"/>
        <v>0</v>
      </c>
      <c r="O26" s="443">
        <f t="shared" si="15"/>
        <v>0</v>
      </c>
      <c r="P26" s="444">
        <f t="shared" si="16"/>
        <v>0</v>
      </c>
      <c r="Q26" s="442">
        <f t="shared" ca="1" si="17"/>
        <v>21621.801906075303</v>
      </c>
    </row>
    <row r="27" spans="1:17" s="448" customFormat="1">
      <c r="A27" s="446" t="s">
        <v>547</v>
      </c>
      <c r="B27" s="746">
        <f t="shared" ca="1" si="2"/>
        <v>17.752767812668377</v>
      </c>
      <c r="C27" s="447">
        <f t="shared" ca="1" si="3"/>
        <v>0</v>
      </c>
      <c r="D27" s="447">
        <f t="shared" si="4"/>
        <v>31.307717019992673</v>
      </c>
      <c r="E27" s="447">
        <f t="shared" si="5"/>
        <v>61.551383472902401</v>
      </c>
      <c r="F27" s="447">
        <f t="shared" si="6"/>
        <v>0</v>
      </c>
      <c r="G27" s="447">
        <f t="shared" si="7"/>
        <v>35091.637254472473</v>
      </c>
      <c r="H27" s="447">
        <f t="shared" si="8"/>
        <v>6218.0939764298164</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41420.34309920785</v>
      </c>
    </row>
    <row r="28" spans="1:17">
      <c r="A28" s="442" t="s">
        <v>537</v>
      </c>
      <c r="B28" s="443">
        <f t="shared" ca="1" si="2"/>
        <v>9.0730080339706234</v>
      </c>
      <c r="C28" s="443">
        <f t="shared" ca="1" si="3"/>
        <v>0</v>
      </c>
      <c r="D28" s="443">
        <f t="shared" si="4"/>
        <v>0</v>
      </c>
      <c r="E28" s="443">
        <f t="shared" si="5"/>
        <v>0</v>
      </c>
      <c r="F28" s="443">
        <f t="shared" si="6"/>
        <v>0</v>
      </c>
      <c r="G28" s="443">
        <f t="shared" si="7"/>
        <v>1167.3671030095036</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1176.4401110434742</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595.06855030407985</v>
      </c>
      <c r="C32" s="443">
        <f t="shared" ca="1" si="3"/>
        <v>0</v>
      </c>
      <c r="D32" s="443">
        <f t="shared" si="4"/>
        <v>2027.9654712235586</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2623.0340215276383</v>
      </c>
    </row>
    <row r="33" spans="1:17" s="452" customFormat="1">
      <c r="A33" s="997" t="s">
        <v>541</v>
      </c>
      <c r="B33" s="945">
        <f ca="1">SUM(B22:B32)</f>
        <v>36888.008849035126</v>
      </c>
      <c r="C33" s="945">
        <f t="shared" ref="C33:Q33" ca="1" si="18">SUM(C22:C32)</f>
        <v>20842.48763989882</v>
      </c>
      <c r="D33" s="945">
        <f t="shared" ca="1" si="18"/>
        <v>61646.498040498409</v>
      </c>
      <c r="E33" s="945">
        <f t="shared" si="18"/>
        <v>1258.4225538888816</v>
      </c>
      <c r="F33" s="945">
        <f t="shared" ca="1" si="18"/>
        <v>20329.470143610961</v>
      </c>
      <c r="G33" s="945">
        <f t="shared" si="18"/>
        <v>36259.004357481979</v>
      </c>
      <c r="H33" s="945">
        <f t="shared" si="18"/>
        <v>6218.0939764298164</v>
      </c>
      <c r="I33" s="945">
        <f t="shared" si="18"/>
        <v>0</v>
      </c>
      <c r="J33" s="945">
        <f t="shared" si="18"/>
        <v>254.59272260214081</v>
      </c>
      <c r="K33" s="945">
        <f t="shared" si="18"/>
        <v>0</v>
      </c>
      <c r="L33" s="945">
        <f t="shared" ca="1" si="18"/>
        <v>0</v>
      </c>
      <c r="M33" s="945">
        <f t="shared" si="18"/>
        <v>0</v>
      </c>
      <c r="N33" s="945">
        <f t="shared" ca="1" si="18"/>
        <v>0</v>
      </c>
      <c r="O33" s="945">
        <f t="shared" si="18"/>
        <v>0</v>
      </c>
      <c r="P33" s="945">
        <f t="shared" si="18"/>
        <v>0</v>
      </c>
      <c r="Q33" s="945">
        <f t="shared" ca="1" si="18"/>
        <v>183696.57828344614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9988.1165936660436</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8037.0953253746848</v>
      </c>
      <c r="C8" s="1014">
        <f>'SEAP template'!C76</f>
        <v>62819.904674625323</v>
      </c>
      <c r="D8" s="1014">
        <f>'SEAP template'!D76</f>
        <v>70753.96811705931</v>
      </c>
      <c r="E8" s="1014">
        <f>'SEAP template'!E76</f>
        <v>0</v>
      </c>
      <c r="F8" s="1014">
        <f>'SEAP template'!F76</f>
        <v>3151.8020883822287</v>
      </c>
      <c r="G8" s="1014">
        <f>'SEAP template'!G76</f>
        <v>0</v>
      </c>
      <c r="H8" s="1014">
        <f>'SEAP template'!H76</f>
        <v>0</v>
      </c>
      <c r="I8" s="1014">
        <f>'SEAP template'!I76</f>
        <v>9455.4062651466866</v>
      </c>
      <c r="J8" s="1014">
        <f>'SEAP template'!J76</f>
        <v>0</v>
      </c>
      <c r="K8" s="1014">
        <f>'SEAP template'!K76</f>
        <v>0</v>
      </c>
      <c r="L8" s="1014">
        <f>'SEAP template'!L76</f>
        <v>0</v>
      </c>
      <c r="M8" s="1014">
        <f>'SEAP template'!M76</f>
        <v>0</v>
      </c>
      <c r="N8" s="1014">
        <f>'SEAP template'!N76</f>
        <v>0</v>
      </c>
      <c r="O8" s="1014">
        <f>'SEAP template'!O76</f>
        <v>0</v>
      </c>
      <c r="P8" s="1015">
        <f>'SEAP template'!Q76</f>
        <v>15133.832717244037</v>
      </c>
    </row>
    <row r="9" spans="1:16">
      <c r="A9" s="1017" t="s">
        <v>819</v>
      </c>
      <c r="B9" s="1014">
        <f>'SEAP template'!B77</f>
        <v>9945</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28414.285714285717</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27970.211919040728</v>
      </c>
      <c r="C10" s="1018">
        <f>SUM(C4:C9)</f>
        <v>62819.904674625323</v>
      </c>
      <c r="D10" s="1018">
        <f t="shared" ref="D10:H10" si="0">SUM(D8:D9)</f>
        <v>70753.96811705931</v>
      </c>
      <c r="E10" s="1018">
        <f t="shared" si="0"/>
        <v>0</v>
      </c>
      <c r="F10" s="1018">
        <f t="shared" si="0"/>
        <v>3151.8020883822287</v>
      </c>
      <c r="G10" s="1018">
        <f t="shared" si="0"/>
        <v>0</v>
      </c>
      <c r="H10" s="1018">
        <f t="shared" si="0"/>
        <v>0</v>
      </c>
      <c r="I10" s="1018">
        <f>SUM(I8:I9)</f>
        <v>9455.4062651466866</v>
      </c>
      <c r="J10" s="1018">
        <f>SUM(J8:J9)</f>
        <v>28414.285714285717</v>
      </c>
      <c r="K10" s="1018">
        <f t="shared" ref="K10:L10" si="1">SUM(K8:K9)</f>
        <v>0</v>
      </c>
      <c r="L10" s="1018">
        <f t="shared" si="1"/>
        <v>0</v>
      </c>
      <c r="M10" s="1018">
        <f>SUM(M8:M9)</f>
        <v>0</v>
      </c>
      <c r="N10" s="1018">
        <f>SUM(N8:N9)</f>
        <v>0</v>
      </c>
      <c r="O10" s="1018">
        <f>SUM(O8:O9)</f>
        <v>0</v>
      </c>
      <c r="P10" s="1018">
        <f>SUM(P8:P9)</f>
        <v>15133.832717244037</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0.19494226364376163</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11068.779674625317</v>
      </c>
      <c r="C17" s="1020">
        <f>'SEAP template'!C87</f>
        <v>86516.291753946105</v>
      </c>
      <c r="D17" s="1015">
        <f>'SEAP template'!D87</f>
        <v>97443.17474008353</v>
      </c>
      <c r="E17" s="1015">
        <f>'SEAP template'!E87</f>
        <v>0</v>
      </c>
      <c r="F17" s="1015">
        <f>'SEAP template'!F87</f>
        <v>4340.6979116177708</v>
      </c>
      <c r="G17" s="1015">
        <f>'SEAP template'!G87</f>
        <v>0</v>
      </c>
      <c r="H17" s="1015">
        <f>'SEAP template'!H87</f>
        <v>0</v>
      </c>
      <c r="I17" s="1015">
        <f>'SEAP template'!I87</f>
        <v>13022.093734853313</v>
      </c>
      <c r="J17" s="1015">
        <f>'SEAP template'!J87</f>
        <v>0</v>
      </c>
      <c r="K17" s="1015">
        <f>'SEAP template'!K87</f>
        <v>0</v>
      </c>
      <c r="L17" s="1015">
        <f>'SEAP template'!L87</f>
        <v>0</v>
      </c>
      <c r="M17" s="1015">
        <f>'SEAP template'!M87</f>
        <v>0</v>
      </c>
      <c r="N17" s="1015">
        <f>'SEAP template'!N87</f>
        <v>0</v>
      </c>
      <c r="O17" s="1015">
        <f>'SEAP template'!O87</f>
        <v>0</v>
      </c>
      <c r="P17" s="1015">
        <f>'SEAP template'!Q87</f>
        <v>20842.48763989882</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11068.779674625317</v>
      </c>
      <c r="C20" s="1018">
        <f>SUM(C17:C19)</f>
        <v>86516.291753946105</v>
      </c>
      <c r="D20" s="1018">
        <f t="shared" ref="D20:H20" si="2">SUM(D17:D19)</f>
        <v>97443.17474008353</v>
      </c>
      <c r="E20" s="1018">
        <f t="shared" si="2"/>
        <v>0</v>
      </c>
      <c r="F20" s="1018">
        <f t="shared" si="2"/>
        <v>4340.6979116177708</v>
      </c>
      <c r="G20" s="1018">
        <f t="shared" si="2"/>
        <v>0</v>
      </c>
      <c r="H20" s="1018">
        <f t="shared" si="2"/>
        <v>0</v>
      </c>
      <c r="I20" s="1018">
        <f>SUM(I17:I19)</f>
        <v>13022.093734853313</v>
      </c>
      <c r="J20" s="1018">
        <f>SUM(J17:J19)</f>
        <v>0</v>
      </c>
      <c r="K20" s="1018">
        <f t="shared" ref="K20:L20" si="3">SUM(K17:K19)</f>
        <v>0</v>
      </c>
      <c r="L20" s="1018">
        <f t="shared" si="3"/>
        <v>0</v>
      </c>
      <c r="M20" s="1018">
        <f>SUM(M17:M19)</f>
        <v>0</v>
      </c>
      <c r="N20" s="1018">
        <f>SUM(N17:N19)</f>
        <v>0</v>
      </c>
      <c r="O20" s="1018">
        <f>SUM(O17:O19)</f>
        <v>0</v>
      </c>
      <c r="P20" s="1018">
        <f>SUM(P17:P19)</f>
        <v>20842.48763989882</v>
      </c>
    </row>
    <row r="22" spans="1:16">
      <c r="A22" s="453" t="s">
        <v>827</v>
      </c>
      <c r="B22" s="752" t="s">
        <v>821</v>
      </c>
      <c r="C22" s="752">
        <f ca="1">'EF ele_warmte'!B22</f>
        <v>0.213582747184386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0.19494226364376163</v>
      </c>
      <c r="C17" s="490">
        <f ca="1">'EF ele_warmte'!B22</f>
        <v>0.213582747184386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0.19494226364376163</v>
      </c>
      <c r="C17" s="490">
        <f ca="1">'EF ele_warmte'!B22</f>
        <v>0.213582747184386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0.19494226364376163</v>
      </c>
      <c r="C29" s="491">
        <f ca="1">'EF ele_warmte'!B22</f>
        <v>0.213582747184386</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15514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2079.08</v>
      </c>
      <c r="C14" s="324"/>
      <c r="D14" s="324"/>
      <c r="E14" s="324"/>
      <c r="F14" s="324"/>
    </row>
    <row r="15" spans="1:6">
      <c r="A15" s="1289" t="s">
        <v>177</v>
      </c>
      <c r="B15" s="1290">
        <v>666</v>
      </c>
      <c r="C15" s="324"/>
      <c r="D15" s="324"/>
      <c r="E15" s="324"/>
      <c r="F15" s="324"/>
    </row>
    <row r="16" spans="1:6">
      <c r="A16" s="1289" t="s">
        <v>6</v>
      </c>
      <c r="B16" s="1290">
        <v>923</v>
      </c>
      <c r="C16" s="324"/>
      <c r="D16" s="324"/>
      <c r="E16" s="324"/>
      <c r="F16" s="324"/>
    </row>
    <row r="17" spans="1:6">
      <c r="A17" s="1289" t="s">
        <v>7</v>
      </c>
      <c r="B17" s="1290">
        <v>250</v>
      </c>
      <c r="C17" s="324"/>
      <c r="D17" s="324"/>
      <c r="E17" s="324"/>
      <c r="F17" s="324"/>
    </row>
    <row r="18" spans="1:6">
      <c r="A18" s="1289" t="s">
        <v>8</v>
      </c>
      <c r="B18" s="1290">
        <v>751</v>
      </c>
      <c r="C18" s="324"/>
      <c r="D18" s="324"/>
      <c r="E18" s="324"/>
      <c r="F18" s="324"/>
    </row>
    <row r="19" spans="1:6">
      <c r="A19" s="1289" t="s">
        <v>9</v>
      </c>
      <c r="B19" s="1290">
        <v>995</v>
      </c>
      <c r="C19" s="324"/>
      <c r="D19" s="324"/>
      <c r="E19" s="324"/>
      <c r="F19" s="324"/>
    </row>
    <row r="20" spans="1:6">
      <c r="A20" s="1289" t="s">
        <v>10</v>
      </c>
      <c r="B20" s="1290">
        <v>549</v>
      </c>
      <c r="C20" s="324"/>
      <c r="D20" s="324"/>
      <c r="E20" s="324"/>
      <c r="F20" s="324"/>
    </row>
    <row r="21" spans="1:6">
      <c r="A21" s="1289" t="s">
        <v>11</v>
      </c>
      <c r="B21" s="1290">
        <v>0</v>
      </c>
      <c r="C21" s="324"/>
      <c r="D21" s="324"/>
      <c r="E21" s="324"/>
      <c r="F21" s="324"/>
    </row>
    <row r="22" spans="1:6">
      <c r="A22" s="1289" t="s">
        <v>12</v>
      </c>
      <c r="B22" s="1290">
        <v>357</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609</v>
      </c>
      <c r="C26" s="324"/>
      <c r="D26" s="324"/>
      <c r="E26" s="324"/>
      <c r="F26" s="324"/>
    </row>
    <row r="27" spans="1:6">
      <c r="A27" s="1289" t="s">
        <v>17</v>
      </c>
      <c r="B27" s="1290">
        <v>17</v>
      </c>
      <c r="C27" s="324"/>
      <c r="D27" s="324"/>
      <c r="E27" s="324"/>
      <c r="F27" s="324"/>
    </row>
    <row r="28" spans="1:6">
      <c r="A28" s="1289" t="s">
        <v>18</v>
      </c>
      <c r="B28" s="1291">
        <v>104</v>
      </c>
      <c r="C28" s="324"/>
      <c r="D28" s="324"/>
      <c r="E28" s="324"/>
      <c r="F28" s="324"/>
    </row>
    <row r="29" spans="1:6">
      <c r="A29" s="1289" t="s">
        <v>716</v>
      </c>
      <c r="B29" s="1291">
        <v>414</v>
      </c>
      <c r="C29" s="324"/>
      <c r="D29" s="324"/>
      <c r="E29" s="324"/>
      <c r="F29" s="324"/>
    </row>
    <row r="30" spans="1:6">
      <c r="A30" s="1284" t="s">
        <v>717</v>
      </c>
      <c r="B30" s="1292">
        <v>66</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8</v>
      </c>
      <c r="F36" s="1290">
        <v>30422.537367479399</v>
      </c>
    </row>
    <row r="37" spans="1:6">
      <c r="A37" s="1289" t="s">
        <v>24</v>
      </c>
      <c r="B37" s="1289" t="s">
        <v>27</v>
      </c>
      <c r="C37" s="1290">
        <v>0</v>
      </c>
      <c r="D37" s="1290">
        <v>0</v>
      </c>
      <c r="E37" s="1290">
        <v>0</v>
      </c>
      <c r="F37" s="1290">
        <v>0</v>
      </c>
    </row>
    <row r="38" spans="1:6">
      <c r="A38" s="1289" t="s">
        <v>24</v>
      </c>
      <c r="B38" s="1289" t="s">
        <v>28</v>
      </c>
      <c r="C38" s="1290">
        <v>2</v>
      </c>
      <c r="D38" s="1290">
        <v>32916045.760798499</v>
      </c>
      <c r="E38" s="1290">
        <v>5</v>
      </c>
      <c r="F38" s="1290">
        <v>203769.999013191</v>
      </c>
    </row>
    <row r="39" spans="1:6">
      <c r="A39" s="1289" t="s">
        <v>29</v>
      </c>
      <c r="B39" s="1289" t="s">
        <v>30</v>
      </c>
      <c r="C39" s="1290">
        <v>12585</v>
      </c>
      <c r="D39" s="1290">
        <v>190755928.10449001</v>
      </c>
      <c r="E39" s="1290">
        <v>15639</v>
      </c>
      <c r="F39" s="1290">
        <v>53823959.044702001</v>
      </c>
    </row>
    <row r="40" spans="1:6">
      <c r="A40" s="1289" t="s">
        <v>29</v>
      </c>
      <c r="B40" s="1289" t="s">
        <v>28</v>
      </c>
      <c r="C40" s="1290">
        <v>0</v>
      </c>
      <c r="D40" s="1290">
        <v>0</v>
      </c>
      <c r="E40" s="1290">
        <v>0</v>
      </c>
      <c r="F40" s="1290">
        <v>0</v>
      </c>
    </row>
    <row r="41" spans="1:6">
      <c r="A41" s="1289" t="s">
        <v>31</v>
      </c>
      <c r="B41" s="1289" t="s">
        <v>32</v>
      </c>
      <c r="C41" s="1290">
        <v>212</v>
      </c>
      <c r="D41" s="1290">
        <v>4421701.6568354499</v>
      </c>
      <c r="E41" s="1290">
        <v>338</v>
      </c>
      <c r="F41" s="1290">
        <v>4645733.8853310496</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23</v>
      </c>
      <c r="D44" s="1290">
        <v>880925.02651093004</v>
      </c>
      <c r="E44" s="1290">
        <v>52</v>
      </c>
      <c r="F44" s="1290">
        <v>31970943.562369902</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3</v>
      </c>
      <c r="D47" s="1290">
        <v>113807.849900512</v>
      </c>
      <c r="E47" s="1290">
        <v>11</v>
      </c>
      <c r="F47" s="1290">
        <v>2930805.01186979</v>
      </c>
    </row>
    <row r="48" spans="1:6">
      <c r="A48" s="1289" t="s">
        <v>31</v>
      </c>
      <c r="B48" s="1289" t="s">
        <v>28</v>
      </c>
      <c r="C48" s="1290">
        <v>31</v>
      </c>
      <c r="D48" s="1290">
        <v>41370727.635949098</v>
      </c>
      <c r="E48" s="1290">
        <v>46</v>
      </c>
      <c r="F48" s="1290">
        <v>10018715.2318868</v>
      </c>
    </row>
    <row r="49" spans="1:6">
      <c r="A49" s="1289" t="s">
        <v>31</v>
      </c>
      <c r="B49" s="1289" t="s">
        <v>39</v>
      </c>
      <c r="C49" s="1290">
        <v>3</v>
      </c>
      <c r="D49" s="1290">
        <v>162596.45366624201</v>
      </c>
      <c r="E49" s="1290">
        <v>0</v>
      </c>
      <c r="F49" s="1290">
        <v>0</v>
      </c>
    </row>
    <row r="50" spans="1:6">
      <c r="A50" s="1289" t="s">
        <v>31</v>
      </c>
      <c r="B50" s="1289" t="s">
        <v>40</v>
      </c>
      <c r="C50" s="1290">
        <v>22</v>
      </c>
      <c r="D50" s="1290">
        <v>1802173.1424960201</v>
      </c>
      <c r="E50" s="1290">
        <v>30</v>
      </c>
      <c r="F50" s="1290">
        <v>1016777.03341492</v>
      </c>
    </row>
    <row r="51" spans="1:6">
      <c r="A51" s="1289" t="s">
        <v>41</v>
      </c>
      <c r="B51" s="1289" t="s">
        <v>42</v>
      </c>
      <c r="C51" s="1290">
        <v>29</v>
      </c>
      <c r="D51" s="1290">
        <v>195359014.41199899</v>
      </c>
      <c r="E51" s="1290">
        <v>117</v>
      </c>
      <c r="F51" s="1290">
        <v>2837831.0595856602</v>
      </c>
    </row>
    <row r="52" spans="1:6">
      <c r="A52" s="1289" t="s">
        <v>41</v>
      </c>
      <c r="B52" s="1289" t="s">
        <v>28</v>
      </c>
      <c r="C52" s="1290">
        <v>8</v>
      </c>
      <c r="D52" s="1290">
        <v>459731.24100981897</v>
      </c>
      <c r="E52" s="1290">
        <v>11</v>
      </c>
      <c r="F52" s="1290">
        <v>167689.32527361301</v>
      </c>
    </row>
    <row r="53" spans="1:6">
      <c r="A53" s="1289" t="s">
        <v>43</v>
      </c>
      <c r="B53" s="1289" t="s">
        <v>44</v>
      </c>
      <c r="C53" s="1290">
        <v>407</v>
      </c>
      <c r="D53" s="1290">
        <v>10039433.025859199</v>
      </c>
      <c r="E53" s="1290">
        <v>819</v>
      </c>
      <c r="F53" s="1290">
        <v>3052537.39841408</v>
      </c>
    </row>
    <row r="54" spans="1:6">
      <c r="A54" s="1289" t="s">
        <v>45</v>
      </c>
      <c r="B54" s="1289" t="s">
        <v>46</v>
      </c>
      <c r="C54" s="1290">
        <v>0</v>
      </c>
      <c r="D54" s="1290">
        <v>0</v>
      </c>
      <c r="E54" s="1290">
        <v>2</v>
      </c>
      <c r="F54" s="1290">
        <v>2172209</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122</v>
      </c>
      <c r="D57" s="1290">
        <v>5847255.1418309296</v>
      </c>
      <c r="E57" s="1290">
        <v>209</v>
      </c>
      <c r="F57" s="1290">
        <v>6374198.3729296802</v>
      </c>
    </row>
    <row r="58" spans="1:6">
      <c r="A58" s="1289" t="s">
        <v>48</v>
      </c>
      <c r="B58" s="1289" t="s">
        <v>50</v>
      </c>
      <c r="C58" s="1290">
        <v>123</v>
      </c>
      <c r="D58" s="1290">
        <v>9242759.5875232797</v>
      </c>
      <c r="E58" s="1290">
        <v>155</v>
      </c>
      <c r="F58" s="1290">
        <v>8278171.3910865104</v>
      </c>
    </row>
    <row r="59" spans="1:6">
      <c r="A59" s="1289" t="s">
        <v>48</v>
      </c>
      <c r="B59" s="1289" t="s">
        <v>51</v>
      </c>
      <c r="C59" s="1290">
        <v>358</v>
      </c>
      <c r="D59" s="1290">
        <v>15278308.7379582</v>
      </c>
      <c r="E59" s="1290">
        <v>570</v>
      </c>
      <c r="F59" s="1290">
        <v>21900974.785730202</v>
      </c>
    </row>
    <row r="60" spans="1:6">
      <c r="A60" s="1289" t="s">
        <v>48</v>
      </c>
      <c r="B60" s="1289" t="s">
        <v>52</v>
      </c>
      <c r="C60" s="1290">
        <v>165</v>
      </c>
      <c r="D60" s="1290">
        <v>9759735.4129578602</v>
      </c>
      <c r="E60" s="1290">
        <v>207</v>
      </c>
      <c r="F60" s="1290">
        <v>6711089.9936612695</v>
      </c>
    </row>
    <row r="61" spans="1:6">
      <c r="A61" s="1289" t="s">
        <v>48</v>
      </c>
      <c r="B61" s="1289" t="s">
        <v>53</v>
      </c>
      <c r="C61" s="1290">
        <v>455</v>
      </c>
      <c r="D61" s="1290">
        <v>23589158.319924202</v>
      </c>
      <c r="E61" s="1290">
        <v>943</v>
      </c>
      <c r="F61" s="1290">
        <v>15309251.169330301</v>
      </c>
    </row>
    <row r="62" spans="1:6">
      <c r="A62" s="1289" t="s">
        <v>48</v>
      </c>
      <c r="B62" s="1289" t="s">
        <v>54</v>
      </c>
      <c r="C62" s="1290">
        <v>25</v>
      </c>
      <c r="D62" s="1290">
        <v>3012312.31319167</v>
      </c>
      <c r="E62" s="1290">
        <v>31</v>
      </c>
      <c r="F62" s="1290">
        <v>939608.57285977597</v>
      </c>
    </row>
    <row r="63" spans="1:6">
      <c r="A63" s="1289" t="s">
        <v>48</v>
      </c>
      <c r="B63" s="1289" t="s">
        <v>28</v>
      </c>
      <c r="C63" s="1290">
        <v>96</v>
      </c>
      <c r="D63" s="1290">
        <v>11450965.298533799</v>
      </c>
      <c r="E63" s="1290">
        <v>82</v>
      </c>
      <c r="F63" s="1290">
        <v>2534708.9754125802</v>
      </c>
    </row>
    <row r="64" spans="1:6">
      <c r="A64" s="1289" t="s">
        <v>55</v>
      </c>
      <c r="B64" s="1289" t="s">
        <v>56</v>
      </c>
      <c r="C64" s="1290">
        <v>0</v>
      </c>
      <c r="D64" s="1290">
        <v>0</v>
      </c>
      <c r="E64" s="1290">
        <v>0</v>
      </c>
      <c r="F64" s="1290">
        <v>0</v>
      </c>
    </row>
    <row r="65" spans="1:6">
      <c r="A65" s="1289" t="s">
        <v>55</v>
      </c>
      <c r="B65" s="1289" t="s">
        <v>28</v>
      </c>
      <c r="C65" s="1290">
        <v>4</v>
      </c>
      <c r="D65" s="1290">
        <v>614486.04719049495</v>
      </c>
      <c r="E65" s="1290">
        <v>4</v>
      </c>
      <c r="F65" s="1290">
        <v>141030.01890730101</v>
      </c>
    </row>
    <row r="66" spans="1:6">
      <c r="A66" s="1289" t="s">
        <v>55</v>
      </c>
      <c r="B66" s="1289" t="s">
        <v>57</v>
      </c>
      <c r="C66" s="1290">
        <v>0</v>
      </c>
      <c r="D66" s="1290">
        <v>0</v>
      </c>
      <c r="E66" s="1290">
        <v>12</v>
      </c>
      <c r="F66" s="1290">
        <v>489727.35677848599</v>
      </c>
    </row>
    <row r="67" spans="1:6">
      <c r="A67" s="1289" t="s">
        <v>55</v>
      </c>
      <c r="B67" s="1289" t="s">
        <v>58</v>
      </c>
      <c r="C67" s="1290">
        <v>0</v>
      </c>
      <c r="D67" s="1290">
        <v>0</v>
      </c>
      <c r="E67" s="1290">
        <v>0</v>
      </c>
      <c r="F67" s="1290">
        <v>0</v>
      </c>
    </row>
    <row r="68" spans="1:6">
      <c r="A68" s="1284" t="s">
        <v>55</v>
      </c>
      <c r="B68" s="1284" t="s">
        <v>59</v>
      </c>
      <c r="C68" s="1292">
        <v>16</v>
      </c>
      <c r="D68" s="1292">
        <v>353334.27894673502</v>
      </c>
      <c r="E68" s="1292">
        <v>30</v>
      </c>
      <c r="F68" s="1292">
        <v>504170.66454383399</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163813402</v>
      </c>
      <c r="E73" s="441"/>
      <c r="F73" s="324"/>
    </row>
    <row r="74" spans="1:6">
      <c r="A74" s="1289" t="s">
        <v>63</v>
      </c>
      <c r="B74" s="1289" t="s">
        <v>642</v>
      </c>
      <c r="C74" s="1302" t="s">
        <v>644</v>
      </c>
      <c r="D74" s="1290">
        <v>19261839</v>
      </c>
      <c r="E74" s="441"/>
      <c r="F74" s="324"/>
    </row>
    <row r="75" spans="1:6">
      <c r="A75" s="1289" t="s">
        <v>64</v>
      </c>
      <c r="B75" s="1289" t="s">
        <v>641</v>
      </c>
      <c r="C75" s="1302" t="s">
        <v>645</v>
      </c>
      <c r="D75" s="1290">
        <v>14978688</v>
      </c>
      <c r="E75" s="441"/>
      <c r="F75" s="324"/>
    </row>
    <row r="76" spans="1:6">
      <c r="A76" s="1289" t="s">
        <v>64</v>
      </c>
      <c r="B76" s="1289" t="s">
        <v>642</v>
      </c>
      <c r="C76" s="1302" t="s">
        <v>646</v>
      </c>
      <c r="D76" s="1290">
        <v>430493</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1270308</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3827.4900714903001</v>
      </c>
      <c r="C91" s="324"/>
      <c r="D91" s="324"/>
      <c r="E91" s="324"/>
      <c r="F91" s="324"/>
    </row>
    <row r="92" spans="1:6">
      <c r="A92" s="1284" t="s">
        <v>68</v>
      </c>
      <c r="B92" s="1285">
        <v>6160.626522175744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8975</v>
      </c>
      <c r="C97" s="324"/>
      <c r="D97" s="324"/>
      <c r="E97" s="324"/>
      <c r="F97" s="324"/>
    </row>
    <row r="98" spans="1:6">
      <c r="A98" s="1289" t="s">
        <v>71</v>
      </c>
      <c r="B98" s="1290">
        <v>10</v>
      </c>
      <c r="C98" s="324"/>
      <c r="D98" s="324"/>
      <c r="E98" s="324"/>
      <c r="F98" s="324"/>
    </row>
    <row r="99" spans="1:6">
      <c r="A99" s="1289" t="s">
        <v>72</v>
      </c>
      <c r="B99" s="1290">
        <v>93</v>
      </c>
      <c r="C99" s="324"/>
      <c r="D99" s="324"/>
      <c r="E99" s="324"/>
      <c r="F99" s="324"/>
    </row>
    <row r="100" spans="1:6">
      <c r="A100" s="1289" t="s">
        <v>73</v>
      </c>
      <c r="B100" s="1290">
        <v>1324</v>
      </c>
      <c r="C100" s="324"/>
      <c r="D100" s="324"/>
      <c r="E100" s="324"/>
      <c r="F100" s="324"/>
    </row>
    <row r="101" spans="1:6">
      <c r="A101" s="1289" t="s">
        <v>74</v>
      </c>
      <c r="B101" s="1290">
        <v>71</v>
      </c>
      <c r="C101" s="324"/>
      <c r="D101" s="324"/>
      <c r="E101" s="324"/>
      <c r="F101" s="324"/>
    </row>
    <row r="102" spans="1:6">
      <c r="A102" s="1289" t="s">
        <v>75</v>
      </c>
      <c r="B102" s="1290">
        <v>164</v>
      </c>
      <c r="C102" s="324"/>
      <c r="D102" s="324"/>
      <c r="E102" s="324"/>
      <c r="F102" s="324"/>
    </row>
    <row r="103" spans="1:6">
      <c r="A103" s="1289" t="s">
        <v>76</v>
      </c>
      <c r="B103" s="1290">
        <v>319</v>
      </c>
      <c r="C103" s="324"/>
      <c r="D103" s="324"/>
      <c r="E103" s="324"/>
      <c r="F103" s="324"/>
    </row>
    <row r="104" spans="1:6">
      <c r="A104" s="1289" t="s">
        <v>77</v>
      </c>
      <c r="B104" s="1290">
        <v>2496</v>
      </c>
      <c r="C104" s="324"/>
      <c r="D104" s="324"/>
      <c r="E104" s="324"/>
      <c r="F104" s="324"/>
    </row>
    <row r="105" spans="1:6">
      <c r="A105" s="1284" t="s">
        <v>78</v>
      </c>
      <c r="B105" s="1292">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3</v>
      </c>
      <c r="C121" s="1290">
        <v>0</v>
      </c>
      <c r="D121" s="324"/>
      <c r="E121" s="324"/>
      <c r="F121" s="324"/>
    </row>
    <row r="122" spans="1:6">
      <c r="A122" s="1289" t="s">
        <v>86</v>
      </c>
      <c r="B122" s="1290">
        <v>0</v>
      </c>
      <c r="C122" s="1290">
        <v>0</v>
      </c>
      <c r="D122" s="324"/>
      <c r="E122" s="324"/>
      <c r="F122" s="324"/>
    </row>
    <row r="123" spans="1:6">
      <c r="A123" s="1289" t="s">
        <v>87</v>
      </c>
      <c r="B123" s="1290">
        <v>32</v>
      </c>
      <c r="C123" s="1290">
        <v>61</v>
      </c>
      <c r="D123" s="324"/>
      <c r="E123" s="324"/>
      <c r="F123" s="324"/>
    </row>
    <row r="124" spans="1:6">
      <c r="A124" s="1289" t="s">
        <v>88</v>
      </c>
      <c r="B124" s="1290">
        <v>0</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140</v>
      </c>
      <c r="C129" s="324"/>
      <c r="D129" s="324"/>
      <c r="E129" s="324"/>
      <c r="F129" s="324"/>
    </row>
    <row r="130" spans="1:6">
      <c r="A130" s="1289" t="s">
        <v>283</v>
      </c>
      <c r="B130" s="1290">
        <v>4</v>
      </c>
      <c r="C130" s="324"/>
      <c r="D130" s="324"/>
      <c r="E130" s="324"/>
      <c r="F130" s="324"/>
    </row>
    <row r="131" spans="1:6">
      <c r="A131" s="1289" t="s">
        <v>284</v>
      </c>
      <c r="B131" s="1290">
        <v>5</v>
      </c>
      <c r="C131" s="324"/>
      <c r="D131" s="324"/>
      <c r="E131" s="324"/>
      <c r="F131" s="324"/>
    </row>
    <row r="132" spans="1:6">
      <c r="A132" s="1284" t="s">
        <v>285</v>
      </c>
      <c r="B132" s="1285">
        <v>39</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189225.30271036777</v>
      </c>
      <c r="C3" s="43" t="s">
        <v>163</v>
      </c>
      <c r="D3" s="43"/>
      <c r="E3" s="154"/>
      <c r="F3" s="43"/>
      <c r="G3" s="43"/>
      <c r="H3" s="43"/>
      <c r="I3" s="43"/>
      <c r="J3" s="43"/>
      <c r="K3" s="96"/>
    </row>
    <row r="4" spans="1:11">
      <c r="A4" s="350" t="s">
        <v>164</v>
      </c>
      <c r="B4" s="49">
        <f>IF(ISERROR('SEAP template'!B78+'SEAP template'!C78),0,'SEAP template'!B78+'SEAP template'!C78)</f>
        <v>90790.116593666055</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15133.832717244037</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0.19494226364376163</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20842.48763989882</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97585.07142857142</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0.213582747184386</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2172.2089999999998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2172.2089999999998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0.19494226364376163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423.45533956735176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53823.959044702002</v>
      </c>
      <c r="C5" s="17">
        <f>IF(ISERROR('Eigen informatie GS &amp; warmtenet'!B57),0,'Eigen informatie GS &amp; warmtenet'!B57)</f>
        <v>0</v>
      </c>
      <c r="D5" s="30">
        <f>(SUM(HH_hh_gas_kWh,HH_rest_gas_kWh)/1000)*0.902</f>
        <v>172061.84715024999</v>
      </c>
      <c r="E5" s="17">
        <f>B32*B41</f>
        <v>2028.4238897841365</v>
      </c>
      <c r="F5" s="17">
        <f>B36*B45</f>
        <v>51391.168918446987</v>
      </c>
      <c r="G5" s="18"/>
      <c r="H5" s="17"/>
      <c r="I5" s="17"/>
      <c r="J5" s="17">
        <f>B35*B44+C35*C44</f>
        <v>247.28853919852406</v>
      </c>
      <c r="K5" s="17"/>
      <c r="L5" s="17"/>
      <c r="M5" s="17"/>
      <c r="N5" s="17">
        <f>B34*B43+C34*C43</f>
        <v>21474.454365043821</v>
      </c>
      <c r="O5" s="17">
        <f>B52*B53*B54</f>
        <v>314.23</v>
      </c>
      <c r="P5" s="17">
        <f>B60*B61*B62/1000-B60*B61*B62/1000/B63</f>
        <v>1353.7333333333333</v>
      </c>
    </row>
    <row r="6" spans="1:16">
      <c r="A6" s="16" t="s">
        <v>607</v>
      </c>
      <c r="B6" s="754">
        <f>kWh_PV_kleiner_dan_10kW</f>
        <v>3827.4900714903001</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57651.4491161923</v>
      </c>
      <c r="C8" s="21">
        <f>C5</f>
        <v>0</v>
      </c>
      <c r="D8" s="21">
        <f>D5</f>
        <v>172061.84715024999</v>
      </c>
      <c r="E8" s="21">
        <f>E5</f>
        <v>2028.4238897841365</v>
      </c>
      <c r="F8" s="21">
        <f>F5</f>
        <v>51391.168918446987</v>
      </c>
      <c r="G8" s="21"/>
      <c r="H8" s="21"/>
      <c r="I8" s="21"/>
      <c r="J8" s="21">
        <f>J5</f>
        <v>247.28853919852406</v>
      </c>
      <c r="K8" s="21"/>
      <c r="L8" s="21">
        <f>L5</f>
        <v>0</v>
      </c>
      <c r="M8" s="21">
        <f>M5</f>
        <v>0</v>
      </c>
      <c r="N8" s="21">
        <f>N5</f>
        <v>21474.454365043821</v>
      </c>
      <c r="O8" s="21">
        <f>O5</f>
        <v>314.23</v>
      </c>
      <c r="P8" s="21">
        <f>P5</f>
        <v>1353.7333333333333</v>
      </c>
    </row>
    <row r="9" spans="1:16">
      <c r="B9" s="19"/>
      <c r="C9" s="19"/>
      <c r="D9" s="254"/>
      <c r="E9" s="19"/>
      <c r="F9" s="19"/>
      <c r="G9" s="19"/>
      <c r="H9" s="19"/>
      <c r="I9" s="19"/>
      <c r="J9" s="19"/>
      <c r="K9" s="19"/>
      <c r="L9" s="19"/>
      <c r="M9" s="19"/>
      <c r="N9" s="19"/>
      <c r="O9" s="19"/>
      <c r="P9" s="19"/>
    </row>
    <row r="10" spans="1:16">
      <c r="A10" s="24" t="s">
        <v>207</v>
      </c>
      <c r="B10" s="25">
        <f ca="1">'EF ele_warmte'!B12</f>
        <v>0.19494226364376163</v>
      </c>
      <c r="C10" s="25">
        <f ca="1">'EF ele_warmte'!B22</f>
        <v>0.213582747184386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11238.703993053668</v>
      </c>
      <c r="C12" s="23">
        <f ca="1">C10*C8</f>
        <v>0</v>
      </c>
      <c r="D12" s="23">
        <f>D8*D10</f>
        <v>34756.493124350498</v>
      </c>
      <c r="E12" s="23">
        <f>E10*E8</f>
        <v>460.45222298099901</v>
      </c>
      <c r="F12" s="23">
        <f>F10*F8</f>
        <v>13721.442101225346</v>
      </c>
      <c r="G12" s="23"/>
      <c r="H12" s="23"/>
      <c r="I12" s="23"/>
      <c r="J12" s="23">
        <f>J10*J8</f>
        <v>87.540142876277514</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15514</v>
      </c>
      <c r="C26" s="36"/>
      <c r="D26" s="225"/>
    </row>
    <row r="27" spans="1:5" s="15" customFormat="1">
      <c r="A27" s="227" t="s">
        <v>762</v>
      </c>
      <c r="B27" s="37">
        <f>SUM(HH_hh_gas_aantal,HH_rest_gas_aantal)</f>
        <v>12585</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11955.75</v>
      </c>
      <c r="C31" s="34" t="s">
        <v>104</v>
      </c>
      <c r="D31" s="171"/>
    </row>
    <row r="32" spans="1:5">
      <c r="A32" s="168" t="s">
        <v>72</v>
      </c>
      <c r="B32" s="33">
        <f>IF((B21*($B$26-($B$27-0.05*$B$27)-$B$60))&lt;0,0,B21*($B$26-($B$27-0.05*$B$27)-$B$60))</f>
        <v>38.361473745541971</v>
      </c>
      <c r="C32" s="34" t="s">
        <v>104</v>
      </c>
      <c r="D32" s="171"/>
    </row>
    <row r="33" spans="1:6">
      <c r="A33" s="168" t="s">
        <v>73</v>
      </c>
      <c r="B33" s="33">
        <f>IF((B22*($B$26-($B$27-0.05*$B$27)-$B$60))&lt;0,0,B22*($B$26-($B$27-0.05*$B$27)-$B$60))</f>
        <v>797.56725395713534</v>
      </c>
      <c r="C33" s="34" t="s">
        <v>104</v>
      </c>
      <c r="D33" s="171"/>
    </row>
    <row r="34" spans="1:6">
      <c r="A34" s="168" t="s">
        <v>74</v>
      </c>
      <c r="B34" s="33">
        <f>IF((B24*($B$26-($B$27-0.05*$B$27)-$B$60))&lt;0,0,B24*($B$26-($B$27-0.05*$B$27)-$B$60))</f>
        <v>158.60777381723219</v>
      </c>
      <c r="C34" s="33">
        <f>B26*C24</f>
        <v>3175.6467957673876</v>
      </c>
      <c r="D34" s="230"/>
    </row>
    <row r="35" spans="1:6">
      <c r="A35" s="168" t="s">
        <v>76</v>
      </c>
      <c r="B35" s="33">
        <f>IF((B19*($B$26-($B$27-0.05*$B$27)-$B$60))&lt;0,0,B19*($B$26-($B$27-0.05*$B$27)-$B$60))</f>
        <v>29.035499081671947</v>
      </c>
      <c r="C35" s="33">
        <f>B35/2</f>
        <v>14.517749540835974</v>
      </c>
      <c r="D35" s="230"/>
    </row>
    <row r="36" spans="1:6">
      <c r="A36" s="168" t="s">
        <v>77</v>
      </c>
      <c r="B36" s="33">
        <f>IF((B18*($B$26-($B$27-0.05*$B$27)-$B$60))&lt;0,0,B18*($B$26-($B$27-0.05*$B$27)-$B$60))</f>
        <v>2463.6779993984187</v>
      </c>
      <c r="C36" s="34" t="s">
        <v>104</v>
      </c>
      <c r="D36" s="171"/>
    </row>
    <row r="37" spans="1:6">
      <c r="A37" s="168" t="s">
        <v>78</v>
      </c>
      <c r="B37" s="33">
        <f>B60</f>
        <v>71</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201</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71</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62048.003261010315</v>
      </c>
      <c r="C5" s="17">
        <f>IF(ISERROR('Eigen informatie GS &amp; warmtenet'!B58),0,'Eigen informatie GS &amp; warmtenet'!B58)</f>
        <v>0</v>
      </c>
      <c r="D5" s="30">
        <f>SUM(D6:D12)</f>
        <v>70518.806320351781</v>
      </c>
      <c r="E5" s="17">
        <f>SUM(E6:E12)</f>
        <v>944.31256220071134</v>
      </c>
      <c r="F5" s="17">
        <f>SUM(F6:F12)</f>
        <v>10869.216956808294</v>
      </c>
      <c r="G5" s="18"/>
      <c r="H5" s="17"/>
      <c r="I5" s="17"/>
      <c r="J5" s="17">
        <f>SUM(J6:J12)</f>
        <v>0.1444967222597891</v>
      </c>
      <c r="K5" s="17"/>
      <c r="L5" s="17"/>
      <c r="M5" s="17"/>
      <c r="N5" s="17">
        <f>SUM(N6:N12)</f>
        <v>5835.850705548839</v>
      </c>
      <c r="O5" s="17">
        <f>B38*B39*B40</f>
        <v>6.2533333333333339</v>
      </c>
      <c r="P5" s="17">
        <f>B46*B47*B48/1000-B46*B47*B48/1000/B49</f>
        <v>152.53333333333333</v>
      </c>
      <c r="R5" s="32"/>
    </row>
    <row r="6" spans="1:18">
      <c r="A6" s="32" t="s">
        <v>53</v>
      </c>
      <c r="B6" s="37">
        <f>B26</f>
        <v>15309.2511693303</v>
      </c>
      <c r="C6" s="33"/>
      <c r="D6" s="37">
        <f>IF(ISERROR(TER_kantoor_gas_kWh/1000),0,TER_kantoor_gas_kWh/1000)*0.902</f>
        <v>21277.42080457163</v>
      </c>
      <c r="E6" s="33">
        <f>$C$26*'E Balans VL '!I12/100/3.6*1000000</f>
        <v>9.5953294552193286E-2</v>
      </c>
      <c r="F6" s="33">
        <f>$C$26*('E Balans VL '!L12+'E Balans VL '!N12)/100/3.6*1000000</f>
        <v>2300.5526694735636</v>
      </c>
      <c r="G6" s="34"/>
      <c r="H6" s="33"/>
      <c r="I6" s="33"/>
      <c r="J6" s="33">
        <f>$C$26*('E Balans VL '!D12+'E Balans VL '!E12)/100/3.6*1000000</f>
        <v>0</v>
      </c>
      <c r="K6" s="33"/>
      <c r="L6" s="33"/>
      <c r="M6" s="33"/>
      <c r="N6" s="33">
        <f>$C$26*'E Balans VL '!Y12/100/3.6*1000000</f>
        <v>14.64102889787627</v>
      </c>
      <c r="O6" s="33"/>
      <c r="P6" s="33"/>
      <c r="R6" s="32"/>
    </row>
    <row r="7" spans="1:18">
      <c r="A7" s="32" t="s">
        <v>52</v>
      </c>
      <c r="B7" s="37">
        <f t="shared" ref="B7:B12" si="0">B27</f>
        <v>6711.0899936612695</v>
      </c>
      <c r="C7" s="33"/>
      <c r="D7" s="37">
        <f>IF(ISERROR(TER_horeca_gas_kWh/1000),0,TER_horeca_gas_kWh/1000)*0.902</f>
        <v>8803.2813424879896</v>
      </c>
      <c r="E7" s="33">
        <f>$C$27*'E Balans VL '!I9/100/3.6*1000000</f>
        <v>96.101690855032672</v>
      </c>
      <c r="F7" s="33">
        <f>$C$27*('E Balans VL '!L9+'E Balans VL '!N9)/100/3.6*1000000</f>
        <v>849.84533347283298</v>
      </c>
      <c r="G7" s="34"/>
      <c r="H7" s="33"/>
      <c r="I7" s="33"/>
      <c r="J7" s="33">
        <f>$C$27*('E Balans VL '!D9+'E Balans VL '!E9)/100/3.6*1000000</f>
        <v>0</v>
      </c>
      <c r="K7" s="33"/>
      <c r="L7" s="33"/>
      <c r="M7" s="33"/>
      <c r="N7" s="33">
        <f>$C$27*'E Balans VL '!Y9/100/3.6*1000000</f>
        <v>1.9292904063446781</v>
      </c>
      <c r="O7" s="33"/>
      <c r="P7" s="33"/>
      <c r="R7" s="32"/>
    </row>
    <row r="8" spans="1:18">
      <c r="A8" s="6" t="s">
        <v>51</v>
      </c>
      <c r="B8" s="37">
        <f t="shared" si="0"/>
        <v>21900.974785730203</v>
      </c>
      <c r="C8" s="33"/>
      <c r="D8" s="37">
        <f>IF(ISERROR(TER_handel_gas_kWh/1000),0,TER_handel_gas_kWh/1000)*0.902</f>
        <v>13781.034481638299</v>
      </c>
      <c r="E8" s="33">
        <f>$C$28*'E Balans VL '!I13/100/3.6*1000000</f>
        <v>794.34565477121953</v>
      </c>
      <c r="F8" s="33">
        <f>$C$28*('E Balans VL '!L13+'E Balans VL '!N13)/100/3.6*1000000</f>
        <v>4218.3495052004955</v>
      </c>
      <c r="G8" s="34"/>
      <c r="H8" s="33"/>
      <c r="I8" s="33"/>
      <c r="J8" s="33">
        <f>$C$28*('E Balans VL '!D13+'E Balans VL '!E13)/100/3.6*1000000</f>
        <v>0</v>
      </c>
      <c r="K8" s="33"/>
      <c r="L8" s="33"/>
      <c r="M8" s="33"/>
      <c r="N8" s="33">
        <f>$C$28*'E Balans VL '!Y13/100/3.6*1000000</f>
        <v>30.3378892677934</v>
      </c>
      <c r="O8" s="33"/>
      <c r="P8" s="33"/>
      <c r="R8" s="32"/>
    </row>
    <row r="9" spans="1:18">
      <c r="A9" s="32" t="s">
        <v>50</v>
      </c>
      <c r="B9" s="37">
        <f t="shared" si="0"/>
        <v>8278.171391086511</v>
      </c>
      <c r="C9" s="33"/>
      <c r="D9" s="37">
        <f>IF(ISERROR(TER_gezond_gas_kWh/1000),0,TER_gezond_gas_kWh/1000)*0.902</f>
        <v>8336.969147945998</v>
      </c>
      <c r="E9" s="33">
        <f>$C$29*'E Balans VL '!I10/100/3.6*1000000</f>
        <v>0.51829526125873104</v>
      </c>
      <c r="F9" s="33">
        <f>$C$29*('E Balans VL '!L10+'E Balans VL '!N10)/100/3.6*1000000</f>
        <v>1229.7475647774252</v>
      </c>
      <c r="G9" s="34"/>
      <c r="H9" s="33"/>
      <c r="I9" s="33"/>
      <c r="J9" s="33">
        <f>$C$29*('E Balans VL '!D10+'E Balans VL '!E10)/100/3.6*1000000</f>
        <v>0</v>
      </c>
      <c r="K9" s="33"/>
      <c r="L9" s="33"/>
      <c r="M9" s="33"/>
      <c r="N9" s="33">
        <f>$C$29*'E Balans VL '!Y10/100/3.6*1000000</f>
        <v>128.04755385258593</v>
      </c>
      <c r="O9" s="33"/>
      <c r="P9" s="33"/>
      <c r="R9" s="32"/>
    </row>
    <row r="10" spans="1:18">
      <c r="A10" s="32" t="s">
        <v>49</v>
      </c>
      <c r="B10" s="37">
        <f t="shared" si="0"/>
        <v>6374.1983729296799</v>
      </c>
      <c r="C10" s="33"/>
      <c r="D10" s="37">
        <f>IF(ISERROR(TER_ander_gas_kWh/1000),0,TER_ander_gas_kWh/1000)*0.902</f>
        <v>5274.2241379314983</v>
      </c>
      <c r="E10" s="33">
        <f>$C$30*'E Balans VL '!I14/100/3.6*1000000</f>
        <v>7.5978166851696036</v>
      </c>
      <c r="F10" s="33">
        <f>$C$30*('E Balans VL '!L14+'E Balans VL '!N14)/100/3.6*1000000</f>
        <v>1667.773668960933</v>
      </c>
      <c r="G10" s="34"/>
      <c r="H10" s="33"/>
      <c r="I10" s="33"/>
      <c r="J10" s="33">
        <f>$C$30*('E Balans VL '!D14+'E Balans VL '!E14)/100/3.6*1000000</f>
        <v>0.13835886050859852</v>
      </c>
      <c r="K10" s="33"/>
      <c r="L10" s="33"/>
      <c r="M10" s="33"/>
      <c r="N10" s="33">
        <f>$C$30*'E Balans VL '!Y14/100/3.6*1000000</f>
        <v>5412.8132838531947</v>
      </c>
      <c r="O10" s="33"/>
      <c r="P10" s="33"/>
      <c r="R10" s="32"/>
    </row>
    <row r="11" spans="1:18">
      <c r="A11" s="32" t="s">
        <v>54</v>
      </c>
      <c r="B11" s="37">
        <f t="shared" si="0"/>
        <v>939.60857285977602</v>
      </c>
      <c r="C11" s="33"/>
      <c r="D11" s="37">
        <f>IF(ISERROR(TER_onderwijs_gas_kWh/1000),0,TER_onderwijs_gas_kWh/1000)*0.902</f>
        <v>2717.1057064988863</v>
      </c>
      <c r="E11" s="33">
        <f>$C$31*'E Balans VL '!I11/100/3.6*1000000</f>
        <v>14.177179980940256</v>
      </c>
      <c r="F11" s="33">
        <f>$C$31*('E Balans VL '!L11+'E Balans VL '!N11)/100/3.6*1000000</f>
        <v>164.63443265854733</v>
      </c>
      <c r="G11" s="34"/>
      <c r="H11" s="33"/>
      <c r="I11" s="33"/>
      <c r="J11" s="33">
        <f>$C$31*('E Balans VL '!D11+'E Balans VL '!E11)/100/3.6*1000000</f>
        <v>0</v>
      </c>
      <c r="K11" s="33"/>
      <c r="L11" s="33"/>
      <c r="M11" s="33"/>
      <c r="N11" s="33">
        <f>$C$31*'E Balans VL '!Y11/100/3.6*1000000</f>
        <v>2.644129955791374</v>
      </c>
      <c r="O11" s="33"/>
      <c r="P11" s="33"/>
      <c r="R11" s="32"/>
    </row>
    <row r="12" spans="1:18">
      <c r="A12" s="32" t="s">
        <v>248</v>
      </c>
      <c r="B12" s="37">
        <f t="shared" si="0"/>
        <v>2534.70897541258</v>
      </c>
      <c r="C12" s="33"/>
      <c r="D12" s="37">
        <f>IF(ISERROR(TER_rest_gas_kWh/1000),0,TER_rest_gas_kWh/1000)*0.902</f>
        <v>10328.770699277487</v>
      </c>
      <c r="E12" s="33">
        <f>$C$32*'E Balans VL '!I8/100/3.6*1000000</f>
        <v>31.475971352538291</v>
      </c>
      <c r="F12" s="33">
        <f>$C$32*('E Balans VL '!L8+'E Balans VL '!N8)/100/3.6*1000000</f>
        <v>438.31378226449516</v>
      </c>
      <c r="G12" s="34"/>
      <c r="H12" s="33"/>
      <c r="I12" s="33"/>
      <c r="J12" s="33">
        <f>$C$32*('E Balans VL '!D8+'E Balans VL '!E8)/100/3.6*1000000</f>
        <v>6.1378617511905842E-3</v>
      </c>
      <c r="K12" s="33"/>
      <c r="L12" s="33"/>
      <c r="M12" s="33"/>
      <c r="N12" s="33">
        <f>$C$32*'E Balans VL '!Y8/100/3.6*1000000</f>
        <v>245.43752931525324</v>
      </c>
      <c r="O12" s="33"/>
      <c r="P12" s="33"/>
      <c r="R12" s="32"/>
    </row>
    <row r="13" spans="1:18">
      <c r="A13" s="16" t="s">
        <v>474</v>
      </c>
      <c r="B13" s="243">
        <f ca="1">'lokale energieproductie'!N47+'lokale energieproductie'!N40</f>
        <v>10575</v>
      </c>
      <c r="C13" s="243">
        <f ca="1">'lokale energieproductie'!O47+'lokale energieproductie'!O40</f>
        <v>900.00000000000023</v>
      </c>
      <c r="D13" s="302">
        <f ca="1">('lokale energieproductie'!P40+'lokale energieproductie'!P47)*(-1)</f>
        <v>-1800.0000000000005</v>
      </c>
      <c r="E13" s="244"/>
      <c r="F13" s="302">
        <f ca="1">('lokale energieproductie'!S40+'lokale energieproductie'!S47)*(-1)</f>
        <v>0</v>
      </c>
      <c r="G13" s="245"/>
      <c r="H13" s="244"/>
      <c r="I13" s="244"/>
      <c r="J13" s="244"/>
      <c r="K13" s="244"/>
      <c r="L13" s="302">
        <f ca="1">('lokale energieproductie'!U40+'lokale energieproductie'!T40+'lokale energieproductie'!U47+'lokale energieproductie'!T47)*(-1)</f>
        <v>0</v>
      </c>
      <c r="M13" s="244"/>
      <c r="N13" s="302">
        <f ca="1">('lokale energieproductie'!Q40+'lokale energieproductie'!R40+'lokale energieproductie'!V40+'lokale energieproductie'!Q47+'lokale energieproductie'!R47+'lokale energieproductie'!V47)*(-1)</f>
        <v>-28414.285714285717</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72623.003261010308</v>
      </c>
      <c r="C16" s="21">
        <f t="shared" ca="1" si="1"/>
        <v>900.00000000000023</v>
      </c>
      <c r="D16" s="21">
        <f t="shared" ca="1" si="1"/>
        <v>68718.806320351781</v>
      </c>
      <c r="E16" s="21">
        <f t="shared" si="1"/>
        <v>944.31256220071134</v>
      </c>
      <c r="F16" s="21">
        <f t="shared" ca="1" si="1"/>
        <v>10869.216956808294</v>
      </c>
      <c r="G16" s="21">
        <f t="shared" si="1"/>
        <v>0</v>
      </c>
      <c r="H16" s="21">
        <f t="shared" si="1"/>
        <v>0</v>
      </c>
      <c r="I16" s="21">
        <f t="shared" si="1"/>
        <v>0</v>
      </c>
      <c r="J16" s="21">
        <f t="shared" si="1"/>
        <v>0.1444967222597891</v>
      </c>
      <c r="K16" s="21">
        <f t="shared" si="1"/>
        <v>0</v>
      </c>
      <c r="L16" s="21">
        <f t="shared" ca="1" si="1"/>
        <v>0</v>
      </c>
      <c r="M16" s="21">
        <f t="shared" si="1"/>
        <v>0</v>
      </c>
      <c r="N16" s="21">
        <f t="shared" ca="1" si="1"/>
        <v>0</v>
      </c>
      <c r="O16" s="21">
        <f>O5</f>
        <v>6.2533333333333339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0.19494226364376163</v>
      </c>
      <c r="C18" s="25">
        <f ca="1">'EF ele_warmte'!B22</f>
        <v>0.213582747184386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14157.292648309633</v>
      </c>
      <c r="C20" s="23">
        <f t="shared" ref="C20:P20" ca="1" si="2">C16*C18</f>
        <v>192.22447246594746</v>
      </c>
      <c r="D20" s="23">
        <f t="shared" ca="1" si="2"/>
        <v>13881.198876711062</v>
      </c>
      <c r="E20" s="23">
        <f t="shared" si="2"/>
        <v>214.35895161956148</v>
      </c>
      <c r="F20" s="23">
        <f t="shared" ca="1" si="2"/>
        <v>2902.0809274678145</v>
      </c>
      <c r="G20" s="23">
        <f t="shared" si="2"/>
        <v>0</v>
      </c>
      <c r="H20" s="23">
        <f t="shared" si="2"/>
        <v>0</v>
      </c>
      <c r="I20" s="23">
        <f t="shared" si="2"/>
        <v>0</v>
      </c>
      <c r="J20" s="23">
        <f t="shared" si="2"/>
        <v>5.1151839679965339E-2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15309.2511693303</v>
      </c>
      <c r="C26" s="39">
        <f>IF(ISERROR(B26*3.6/1000000/'E Balans VL '!Z12*100),0,B26*3.6/1000000/'E Balans VL '!Z12*100)</f>
        <v>0.3236133179068485</v>
      </c>
      <c r="D26" s="233" t="s">
        <v>726</v>
      </c>
      <c r="F26" s="6"/>
    </row>
    <row r="27" spans="1:18">
      <c r="A27" s="228" t="s">
        <v>52</v>
      </c>
      <c r="B27" s="33">
        <f>IF(ISERROR(TER_horeca_ele_kWh/1000),0,TER_horeca_ele_kWh/1000)</f>
        <v>6711.0899936612695</v>
      </c>
      <c r="C27" s="39">
        <f>IF(ISERROR(B27*3.6/1000000/'E Balans VL '!Z9*100),0,B27*3.6/1000000/'E Balans VL '!Z9*100)</f>
        <v>0.52903272284937863</v>
      </c>
      <c r="D27" s="233" t="s">
        <v>726</v>
      </c>
      <c r="F27" s="6"/>
    </row>
    <row r="28" spans="1:18">
      <c r="A28" s="168" t="s">
        <v>51</v>
      </c>
      <c r="B28" s="33">
        <f>IF(ISERROR(TER_handel_ele_kWh/1000),0,TER_handel_ele_kWh/1000)</f>
        <v>21900.974785730203</v>
      </c>
      <c r="C28" s="39">
        <f>IF(ISERROR(B28*3.6/1000000/'E Balans VL '!Z13*100),0,B28*3.6/1000000/'E Balans VL '!Z13*100)</f>
        <v>0.63565477813585303</v>
      </c>
      <c r="D28" s="233" t="s">
        <v>726</v>
      </c>
      <c r="F28" s="6"/>
    </row>
    <row r="29" spans="1:18">
      <c r="A29" s="228" t="s">
        <v>50</v>
      </c>
      <c r="B29" s="33">
        <f>IF(ISERROR(TER_gezond_ele_kWh/1000),0,TER_gezond_ele_kWh/1000)</f>
        <v>8278.171391086511</v>
      </c>
      <c r="C29" s="39">
        <f>IF(ISERROR(B29*3.6/1000000/'E Balans VL '!Z10*100),0,B29*3.6/1000000/'E Balans VL '!Z10*100)</f>
        <v>0.87182737864370863</v>
      </c>
      <c r="D29" s="233" t="s">
        <v>726</v>
      </c>
      <c r="F29" s="6"/>
    </row>
    <row r="30" spans="1:18">
      <c r="A30" s="228" t="s">
        <v>49</v>
      </c>
      <c r="B30" s="33">
        <f>IF(ISERROR(TER_ander_ele_kWh/1000),0,TER_ander_ele_kWh/1000)</f>
        <v>6374.1983729296799</v>
      </c>
      <c r="C30" s="39">
        <f>IF(ISERROR(B30*3.6/1000000/'E Balans VL '!Z14*100),0,B30*3.6/1000000/'E Balans VL '!Z14*100)</f>
        <v>0.47016225645629295</v>
      </c>
      <c r="D30" s="233" t="s">
        <v>726</v>
      </c>
      <c r="F30" s="6"/>
    </row>
    <row r="31" spans="1:18">
      <c r="A31" s="228" t="s">
        <v>54</v>
      </c>
      <c r="B31" s="33">
        <f>IF(ISERROR(TER_onderwijs_ele_kWh/1000),0,TER_onderwijs_ele_kWh/1000)</f>
        <v>939.60857285977602</v>
      </c>
      <c r="C31" s="39">
        <f>IF(ISERROR(B31*3.6/1000000/'E Balans VL '!Z11*100),0,B31*3.6/1000000/'E Balans VL '!Z11*100)</f>
        <v>0.2333488224987019</v>
      </c>
      <c r="D31" s="233" t="s">
        <v>726</v>
      </c>
    </row>
    <row r="32" spans="1:18">
      <c r="A32" s="228" t="s">
        <v>248</v>
      </c>
      <c r="B32" s="33">
        <f>IF(ISERROR(TER_rest_ele_kWh/1000),0,TER_rest_ele_kWh/1000)</f>
        <v>2534.70897541258</v>
      </c>
      <c r="C32" s="39">
        <f>IF(ISERROR(B32*3.6/1000000/'E Balans VL '!Z8*100),0,B32*3.6/1000000/'E Balans VL '!Z8*100)</f>
        <v>2.0857290383489366E-2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4</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8</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50582.97472487246</v>
      </c>
      <c r="C5" s="17">
        <f>IF(ISERROR('Eigen informatie GS &amp; warmtenet'!B59),0,'Eigen informatie GS &amp; warmtenet'!B59)</f>
        <v>0</v>
      </c>
      <c r="D5" s="30">
        <f>SUM(D6:D15)</f>
        <v>43974.242452353152</v>
      </c>
      <c r="E5" s="17">
        <f>SUM(E6:E15)</f>
        <v>2211.4823460821472</v>
      </c>
      <c r="F5" s="17">
        <f>SUM(F6:F15)</f>
        <v>8851.6162277385065</v>
      </c>
      <c r="G5" s="18"/>
      <c r="H5" s="17"/>
      <c r="I5" s="17"/>
      <c r="J5" s="17">
        <f>SUM(J6:J15)</f>
        <v>36.320086529155084</v>
      </c>
      <c r="K5" s="17"/>
      <c r="L5" s="17"/>
      <c r="M5" s="17"/>
      <c r="N5" s="17">
        <f>SUM(N6:N15)</f>
        <v>2791.4351348613295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31970.943562369903</v>
      </c>
      <c r="C8" s="33"/>
      <c r="D8" s="37">
        <f>IF( ISERROR(IND_metaal_Gas_kWH/1000),0,IND_metaal_Gas_kWH/1000)*0.902</f>
        <v>794.59437391285894</v>
      </c>
      <c r="E8" s="33">
        <f>C30*'E Balans VL '!I18/100/3.6*1000000</f>
        <v>293.9419482250496</v>
      </c>
      <c r="F8" s="33">
        <f>C30*'E Balans VL '!L18/100/3.6*1000000+C30*'E Balans VL '!N18/100/3.6*1000000</f>
        <v>2997.8100856935866</v>
      </c>
      <c r="G8" s="34"/>
      <c r="H8" s="33"/>
      <c r="I8" s="33"/>
      <c r="J8" s="40">
        <f>C30*'E Balans VL '!D18/100/3.6*1000000+C30*'E Balans VL '!E18/100/3.6*1000000</f>
        <v>0</v>
      </c>
      <c r="K8" s="33"/>
      <c r="L8" s="33"/>
      <c r="M8" s="33"/>
      <c r="N8" s="33">
        <f>C30*'E Balans VL '!Y18/100/3.6*1000000</f>
        <v>456.11834412634744</v>
      </c>
      <c r="O8" s="33"/>
      <c r="P8" s="33"/>
      <c r="R8" s="32"/>
    </row>
    <row r="9" spans="1:18">
      <c r="A9" s="6" t="s">
        <v>32</v>
      </c>
      <c r="B9" s="37">
        <f t="shared" si="0"/>
        <v>4645.7338853310494</v>
      </c>
      <c r="C9" s="33"/>
      <c r="D9" s="37">
        <f>IF( ISERROR(IND_andere_gas_kWh/1000),0,IND_andere_gas_kWh/1000)*0.902</f>
        <v>3988.3748944655763</v>
      </c>
      <c r="E9" s="33">
        <f>C31*'E Balans VL '!I19/100/3.6*1000000</f>
        <v>1358.0384564534679</v>
      </c>
      <c r="F9" s="33">
        <f>C31*'E Balans VL '!L19/100/3.6*1000000+C31*'E Balans VL '!N19/100/3.6*1000000</f>
        <v>3733.198826606957</v>
      </c>
      <c r="G9" s="34"/>
      <c r="H9" s="33"/>
      <c r="I9" s="33"/>
      <c r="J9" s="40">
        <f>C31*'E Balans VL '!D19/100/3.6*1000000+C31*'E Balans VL '!E19/100/3.6*1000000</f>
        <v>0</v>
      </c>
      <c r="K9" s="33"/>
      <c r="L9" s="33"/>
      <c r="M9" s="33"/>
      <c r="N9" s="33">
        <f>C31*'E Balans VL '!Y19/100/3.6*1000000</f>
        <v>364.40505627422544</v>
      </c>
      <c r="O9" s="33"/>
      <c r="P9" s="33"/>
      <c r="R9" s="32"/>
    </row>
    <row r="10" spans="1:18">
      <c r="A10" s="6" t="s">
        <v>40</v>
      </c>
      <c r="B10" s="37">
        <f t="shared" si="0"/>
        <v>1016.77703341492</v>
      </c>
      <c r="C10" s="33"/>
      <c r="D10" s="37">
        <f>IF( ISERROR(IND_voed_gas_kWh/1000),0,IND_voed_gas_kWh/1000)*0.902</f>
        <v>1625.5601745314102</v>
      </c>
      <c r="E10" s="33">
        <f>C32*'E Balans VL '!I20/100/3.6*1000000</f>
        <v>2.1510075795038883</v>
      </c>
      <c r="F10" s="33">
        <f>C32*'E Balans VL '!L20/100/3.6*1000000+C32*'E Balans VL '!N20/100/3.6*1000000</f>
        <v>64.647722391803541</v>
      </c>
      <c r="G10" s="34"/>
      <c r="H10" s="33"/>
      <c r="I10" s="33"/>
      <c r="J10" s="40">
        <f>C32*'E Balans VL '!D20/100/3.6*1000000+C32*'E Balans VL '!E20/100/3.6*1000000</f>
        <v>0</v>
      </c>
      <c r="K10" s="33"/>
      <c r="L10" s="33"/>
      <c r="M10" s="33"/>
      <c r="N10" s="33">
        <f>C32*'E Balans VL '!Y20/100/3.6*1000000</f>
        <v>70.167649106566941</v>
      </c>
      <c r="O10" s="33"/>
      <c r="P10" s="33"/>
      <c r="R10" s="32"/>
    </row>
    <row r="11" spans="1:18">
      <c r="A11" s="6" t="s">
        <v>39</v>
      </c>
      <c r="B11" s="37">
        <f t="shared" si="0"/>
        <v>0</v>
      </c>
      <c r="C11" s="33"/>
      <c r="D11" s="37">
        <f>IF( ISERROR(IND_textiel_gas_kWh/1000),0,IND_textiel_gas_kWh/1000)*0.902</f>
        <v>146.66200120695029</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2930.8050118697902</v>
      </c>
      <c r="C13" s="33"/>
      <c r="D13" s="37">
        <f>IF( ISERROR(IND_papier_gas_kWh/1000),0,IND_papier_gas_kWh/1000)*0.902</f>
        <v>102.65468061026182</v>
      </c>
      <c r="E13" s="33">
        <f>C35*'E Balans VL '!I23/100/3.6*1000000</f>
        <v>4.1581420419403106</v>
      </c>
      <c r="F13" s="33">
        <f>C35*'E Balans VL '!L23/100/3.6*1000000+C35*'E Balans VL '!N23/100/3.6*1000000</f>
        <v>71.551970877128866</v>
      </c>
      <c r="G13" s="34"/>
      <c r="H13" s="33"/>
      <c r="I13" s="33"/>
      <c r="J13" s="40">
        <f>C35*'E Balans VL '!D23/100/3.6*1000000+C35*'E Balans VL '!E23/100/3.6*1000000</f>
        <v>0.45327651115987405</v>
      </c>
      <c r="K13" s="33"/>
      <c r="L13" s="33"/>
      <c r="M13" s="33"/>
      <c r="N13" s="33">
        <f>C35*'E Balans VL '!Y23/100/3.6*1000000</f>
        <v>1197.4844340272164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10018.715231886801</v>
      </c>
      <c r="C15" s="33"/>
      <c r="D15" s="37">
        <f>IF( ISERROR(IND_rest_gas_kWh/1000),0,IND_rest_gas_kWh/1000)*0.902</f>
        <v>37316.396327626091</v>
      </c>
      <c r="E15" s="33">
        <f>C37*'E Balans VL '!I15/100/3.6*1000000</f>
        <v>553.19279178218585</v>
      </c>
      <c r="F15" s="33">
        <f>C37*'E Balans VL '!L15/100/3.6*1000000+C37*'E Balans VL '!N15/100/3.6*1000000</f>
        <v>1984.4076221690307</v>
      </c>
      <c r="G15" s="34"/>
      <c r="H15" s="33"/>
      <c r="I15" s="33"/>
      <c r="J15" s="40">
        <f>C37*'E Balans VL '!D15/100/3.6*1000000+C37*'E Balans VL '!E15/100/3.6*1000000</f>
        <v>35.866810017995213</v>
      </c>
      <c r="K15" s="33"/>
      <c r="L15" s="33"/>
      <c r="M15" s="33"/>
      <c r="N15" s="33">
        <f>C37*'E Balans VL '!Y15/100/3.6*1000000</f>
        <v>703.25965132697308</v>
      </c>
      <c r="O15" s="33"/>
      <c r="P15" s="33"/>
      <c r="R15" s="32"/>
    </row>
    <row r="16" spans="1:18">
      <c r="A16" s="16" t="s">
        <v>474</v>
      </c>
      <c r="B16" s="243">
        <f>'lokale energieproductie'!N46+'lokale energieproductie'!N39</f>
        <v>0</v>
      </c>
      <c r="C16" s="243">
        <f>'lokale energieproductie'!O46+'lokale energieproductie'!O39</f>
        <v>0</v>
      </c>
      <c r="D16" s="302">
        <f>('lokale energieproductie'!P39+'lokale energieproductie'!P46)*(-1)</f>
        <v>0</v>
      </c>
      <c r="E16" s="244"/>
      <c r="F16" s="302">
        <f>('lokale energieproductie'!S39+'lokale energieproductie'!S46)*(-1)</f>
        <v>0</v>
      </c>
      <c r="G16" s="245"/>
      <c r="H16" s="244"/>
      <c r="I16" s="244"/>
      <c r="J16" s="244"/>
      <c r="K16" s="244"/>
      <c r="L16" s="302">
        <f>('lokale energieproductie'!T39+'lokale energieproductie'!U39+'lokale energieproductie'!T46+'lokale energieproductie'!U46)*(-1)</f>
        <v>0</v>
      </c>
      <c r="M16" s="244"/>
      <c r="N16" s="302">
        <f>('lokale energieproductie'!Q39+'lokale energieproductie'!R39+'lokale energieproductie'!V39+'lokale energieproductie'!Q46+'lokale energieproductie'!R46+'lokale energieproductie'!V46)*(-1)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50582.97472487246</v>
      </c>
      <c r="C18" s="21">
        <f>C5+C16</f>
        <v>0</v>
      </c>
      <c r="D18" s="21">
        <f>MAX((D5+D16),0)</f>
        <v>43974.242452353152</v>
      </c>
      <c r="E18" s="21">
        <f>MAX((E5+E16),0)</f>
        <v>2211.4823460821472</v>
      </c>
      <c r="F18" s="21">
        <f>MAX((F5+F16),0)</f>
        <v>8851.6162277385065</v>
      </c>
      <c r="G18" s="21"/>
      <c r="H18" s="21"/>
      <c r="I18" s="21"/>
      <c r="J18" s="21">
        <f>MAX((J5+J16),0)</f>
        <v>36.320086529155084</v>
      </c>
      <c r="K18" s="21"/>
      <c r="L18" s="21">
        <f>MAX((L5+L16),0)</f>
        <v>0</v>
      </c>
      <c r="M18" s="21"/>
      <c r="N18" s="21">
        <f>MAX((N5+N16),0)</f>
        <v>2791.4351348613295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0.19494226364376163</v>
      </c>
      <c r="C20" s="25">
        <f ca="1">'EF ele_warmte'!B22</f>
        <v>0.213582747184386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9860.7595947018181</v>
      </c>
      <c r="C22" s="23">
        <f ca="1">C18*C20</f>
        <v>0</v>
      </c>
      <c r="D22" s="23">
        <f>D18*D20</f>
        <v>8882.7969753753368</v>
      </c>
      <c r="E22" s="23">
        <f>E18*E20</f>
        <v>502.00649256064742</v>
      </c>
      <c r="F22" s="23">
        <f>F18*F20</f>
        <v>2363.3815328061814</v>
      </c>
      <c r="G22" s="23"/>
      <c r="H22" s="23"/>
      <c r="I22" s="23"/>
      <c r="J22" s="23">
        <f>J18*J20</f>
        <v>12.8573106313209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31970.943562369903</v>
      </c>
      <c r="C30" s="39">
        <f>IF(ISERROR(B30*3.6/1000000/'E Balans VL '!Z18*100),0,B30*3.6/1000000/'E Balans VL '!Z18*100)</f>
        <v>1.8118753505406107</v>
      </c>
      <c r="D30" s="233" t="s">
        <v>726</v>
      </c>
    </row>
    <row r="31" spans="1:18">
      <c r="A31" s="6" t="s">
        <v>32</v>
      </c>
      <c r="B31" s="37">
        <f>IF( ISERROR(IND_ander_ele_kWh/1000),0,IND_ander_ele_kWh/1000)</f>
        <v>4645.7338853310494</v>
      </c>
      <c r="C31" s="39">
        <f>IF(ISERROR(B31*3.6/1000000/'E Balans VL '!Z19*100),0,B31*3.6/1000000/'E Balans VL '!Z19*100)</f>
        <v>0.21071114453940298</v>
      </c>
      <c r="D31" s="233" t="s">
        <v>726</v>
      </c>
    </row>
    <row r="32" spans="1:18">
      <c r="A32" s="168" t="s">
        <v>40</v>
      </c>
      <c r="B32" s="37">
        <f>IF( ISERROR(IND_voed_ele_kWh/1000),0,IND_voed_ele_kWh/1000)</f>
        <v>1016.77703341492</v>
      </c>
      <c r="C32" s="39">
        <f>IF(ISERROR(B32*3.6/1000000/'E Balans VL '!Z20*100),0,B32*3.6/1000000/'E Balans VL '!Z20*100)</f>
        <v>3.1453529421519681E-2</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2930.8050118697902</v>
      </c>
      <c r="C35" s="39">
        <f>IF(ISERROR(B35*3.6/1000000/'E Balans VL '!Z22*100),0,B35*3.6/1000000/'E Balans VL '!Z22*100)</f>
        <v>0.52716038157211254</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10018.715231886801</v>
      </c>
      <c r="C37" s="39">
        <f>IF(ISERROR(B37*3.6/1000000/'E Balans VL '!Z15*100),0,B37*3.6/1000000/'E Balans VL '!Z15*100)</f>
        <v>7.941062236519178E-2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3005.5203848592732</v>
      </c>
      <c r="C5" s="17">
        <f>'Eigen informatie GS &amp; warmtenet'!B60</f>
        <v>0</v>
      </c>
      <c r="D5" s="30">
        <f>IF(ISERROR(SUM(LB_lb_gas_kWh,LB_rest_gas_kWh)/1000),0,SUM(LB_lb_gas_kWh,LB_rest_gas_kWh)/1000)*0.902</f>
        <v>176628.50857901396</v>
      </c>
      <c r="E5" s="17">
        <f>B17*'E Balans VL '!I25/3.6*1000000/100</f>
        <v>88.341424029829383</v>
      </c>
      <c r="F5" s="17">
        <f>B17*('E Balans VL '!L25/3.6*1000000+'E Balans VL '!N25/3.6*1000000)/100</f>
        <v>12520.835513526647</v>
      </c>
      <c r="G5" s="18"/>
      <c r="H5" s="17"/>
      <c r="I5" s="17"/>
      <c r="J5" s="17">
        <f>('E Balans VL '!D25+'E Balans VL '!E25)/3.6*1000000*landbouw!B17/100</f>
        <v>435.43535947701258</v>
      </c>
      <c r="K5" s="17"/>
      <c r="L5" s="17">
        <f>L6*(-1)</f>
        <v>22477.5</v>
      </c>
      <c r="M5" s="17"/>
      <c r="N5" s="17">
        <f>N6*(-1)</f>
        <v>0</v>
      </c>
      <c r="O5" s="17"/>
      <c r="P5" s="17"/>
      <c r="R5" s="32"/>
    </row>
    <row r="6" spans="1:18">
      <c r="A6" s="16" t="s">
        <v>474</v>
      </c>
      <c r="B6" s="17" t="s">
        <v>204</v>
      </c>
      <c r="C6" s="17">
        <f>'lokale energieproductie'!O48+'lokale energieproductie'!O41</f>
        <v>96685.07142857142</v>
      </c>
      <c r="D6" s="302">
        <f>('lokale energieproductie'!P41+'lokale energieproductie'!P48)*(-1)</f>
        <v>-166397.14285714284</v>
      </c>
      <c r="E6" s="244"/>
      <c r="F6" s="302">
        <f>('lokale energieproductie'!S41+'lokale energieproductie'!S48)*(-1)</f>
        <v>-7492.5</v>
      </c>
      <c r="G6" s="245"/>
      <c r="H6" s="244"/>
      <c r="I6" s="244"/>
      <c r="J6" s="244"/>
      <c r="K6" s="244"/>
      <c r="L6" s="302">
        <f>('lokale energieproductie'!T41+'lokale energieproductie'!U41+'lokale energieproductie'!T48+'lokale energieproductie'!U48)*(-1)</f>
        <v>-22477.5</v>
      </c>
      <c r="M6" s="244"/>
      <c r="N6" s="302">
        <f>('lokale energieproductie'!V41+'lokale energieproductie'!R41+'lokale energieproductie'!Q41+'lokale energieproductie'!Q48+'lokale energieproductie'!R48+'lokale energieproductie'!V48)*(-1)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3005.5203848592732</v>
      </c>
      <c r="C8" s="21">
        <f>C5+C6</f>
        <v>96685.07142857142</v>
      </c>
      <c r="D8" s="21">
        <f>MAX((D5+D6),0)</f>
        <v>10231.365721871116</v>
      </c>
      <c r="E8" s="21">
        <f>MAX((E5+E6),0)</f>
        <v>88.341424029829383</v>
      </c>
      <c r="F8" s="21">
        <f>MAX((F5+F6),0)</f>
        <v>5028.3355135266465</v>
      </c>
      <c r="G8" s="21"/>
      <c r="H8" s="21"/>
      <c r="I8" s="21"/>
      <c r="J8" s="21">
        <f>MAX((J5+J6),0)</f>
        <v>435.43535947701258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0.19494226364376163</v>
      </c>
      <c r="C10" s="31">
        <f ca="1">'EF ele_warmte'!B22</f>
        <v>0.213582747184386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585.90294725193633</v>
      </c>
      <c r="C12" s="23">
        <f ca="1">C8*C10</f>
        <v>20650.263167432873</v>
      </c>
      <c r="D12" s="23">
        <f>D8*D10</f>
        <v>2066.7358758179657</v>
      </c>
      <c r="E12" s="23">
        <f>E8*E10</f>
        <v>20.053503254771272</v>
      </c>
      <c r="F12" s="23">
        <f>F8*F10</f>
        <v>1342.5655821116147</v>
      </c>
      <c r="G12" s="23"/>
      <c r="H12" s="23"/>
      <c r="I12" s="23"/>
      <c r="J12" s="23">
        <f>J8*J10</f>
        <v>154.14411725486244</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0.42649277214416692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246.67448152449589</v>
      </c>
      <c r="C26" s="243">
        <f>B26*'GWP N2O_CH4'!B5</f>
        <v>5180.1641120144141</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43.134242331200802</v>
      </c>
      <c r="C27" s="243">
        <f>B27*'GWP N2O_CH4'!B5</f>
        <v>905.8190889552169</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3.7652521223503501</v>
      </c>
      <c r="C28" s="243">
        <f>B28*'GWP N2O_CH4'!B4</f>
        <v>1167.2281579286084</v>
      </c>
      <c r="D28" s="50"/>
    </row>
    <row r="29" spans="1:4">
      <c r="A29" s="41" t="s">
        <v>265</v>
      </c>
      <c r="B29" s="243">
        <f>B34*'ha_N2O bodem landbouw'!B4</f>
        <v>13.526994259685823</v>
      </c>
      <c r="C29" s="243">
        <f>B29*'GWP N2O_CH4'!B4</f>
        <v>4193.3682205026053</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3.0868134739642722E-3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3.2784047405130947E-4</v>
      </c>
      <c r="C5" s="429" t="s">
        <v>204</v>
      </c>
      <c r="D5" s="414">
        <f>SUM(D6:D11)</f>
        <v>5.579593132275921E-4</v>
      </c>
      <c r="E5" s="414">
        <f>SUM(E6:E11)</f>
        <v>9.761452885570425E-4</v>
      </c>
      <c r="F5" s="427" t="s">
        <v>204</v>
      </c>
      <c r="G5" s="414">
        <f>SUM(G6:G11)</f>
        <v>0.47314567084681985</v>
      </c>
      <c r="H5" s="414">
        <f>SUM(H6:H11)</f>
        <v>8.9900153876093736E-2</v>
      </c>
      <c r="I5" s="429" t="s">
        <v>204</v>
      </c>
      <c r="J5" s="429" t="s">
        <v>204</v>
      </c>
      <c r="K5" s="429" t="s">
        <v>204</v>
      </c>
      <c r="L5" s="429" t="s">
        <v>204</v>
      </c>
      <c r="M5" s="414">
        <f>SUM(M6:M11)</f>
        <v>3.0290410009935924E-2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2.8733626448689269E-4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4.8306278848510742E-4</v>
      </c>
      <c r="E6" s="857">
        <f>vkm_GW_PW*SUMIFS(TableVerdeelsleutelVkm[LPG],TableVerdeelsleutelVkm[Voertuigtype],"Lichte voertuigen")*SUMIFS(TableECFTransport[EnergieConsumptieFactor (PJ per km)],TableECFTransport[Index],CONCATENATE($A6,"_LPG_LPG"))</f>
        <v>8.4995311464165346E-4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0.25217862820321918</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7.8045364527001615E-2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1.7031367300046889E-2</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5.6338072044275852E-6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0.18096024573360212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2.9524725820583131E-6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1.0572700775780262E-2</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3.4744489431070228E-5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7.4896524742484663E-5</v>
      </c>
      <c r="E8" s="417">
        <f>vkm_NGW_PW*SUMIFS(TableVerdeelsleutelVkm[LPG],TableVerdeelsleutelVkm[Voertuigtype],"Lichte voertuigen")*SUMIFS(TableECFTransport[EnergieConsumptieFactor (PJ per km)],TableECFTransport[Index],CONCATENATE($A8,"_LPG_LPG"))</f>
        <v>1.2619217391538899E-4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3.4817594759625266E-2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1.1851757229282134E-2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2.3831601239532505E-3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1.2591292891897003E-7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5.1892021503733409E-3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7.9647227924909925E-8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3.0318181015552201E-4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91.066798347585959</v>
      </c>
      <c r="C14" s="21"/>
      <c r="D14" s="21">
        <f t="shared" ref="D14:M14" si="0">((D5)*10^9/3600)+D12</f>
        <v>154.9886981187756</v>
      </c>
      <c r="E14" s="21">
        <f t="shared" si="0"/>
        <v>271.15146904362291</v>
      </c>
      <c r="F14" s="21"/>
      <c r="G14" s="21">
        <f t="shared" si="0"/>
        <v>131429.35301300552</v>
      </c>
      <c r="H14" s="21">
        <f t="shared" si="0"/>
        <v>24972.264965581591</v>
      </c>
      <c r="I14" s="21"/>
      <c r="J14" s="21"/>
      <c r="K14" s="21"/>
      <c r="L14" s="21"/>
      <c r="M14" s="21">
        <f t="shared" si="0"/>
        <v>8414.0027805377558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0.19494226364376163</v>
      </c>
      <c r="C16" s="56">
        <f ca="1">'EF ele_warmte'!B22</f>
        <v>0.213582747184386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17.752767812668377</v>
      </c>
      <c r="C18" s="23"/>
      <c r="D18" s="23">
        <f t="shared" ref="D18:M18" si="1">D14*D16</f>
        <v>31.307717019992673</v>
      </c>
      <c r="E18" s="23">
        <f t="shared" si="1"/>
        <v>61.551383472902401</v>
      </c>
      <c r="F18" s="23"/>
      <c r="G18" s="23">
        <f t="shared" si="1"/>
        <v>35091.637254472473</v>
      </c>
      <c r="H18" s="23">
        <f t="shared" si="1"/>
        <v>6218.0939764298164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1.6755129601850956E-4</v>
      </c>
      <c r="C50" s="313">
        <f t="shared" ref="C50:P50" si="2">SUM(C51:C52)</f>
        <v>0</v>
      </c>
      <c r="D50" s="313">
        <f t="shared" si="2"/>
        <v>0</v>
      </c>
      <c r="E50" s="313">
        <f t="shared" si="2"/>
        <v>0</v>
      </c>
      <c r="F50" s="313">
        <f t="shared" si="2"/>
        <v>0</v>
      </c>
      <c r="G50" s="313">
        <f t="shared" si="2"/>
        <v>1.5739781164173083E-2</v>
      </c>
      <c r="H50" s="313">
        <f t="shared" si="2"/>
        <v>0</v>
      </c>
      <c r="I50" s="313">
        <f t="shared" si="2"/>
        <v>0</v>
      </c>
      <c r="J50" s="313">
        <f t="shared" si="2"/>
        <v>0</v>
      </c>
      <c r="K50" s="313">
        <f t="shared" si="2"/>
        <v>0</v>
      </c>
      <c r="L50" s="313">
        <f t="shared" si="2"/>
        <v>0</v>
      </c>
      <c r="M50" s="313">
        <f t="shared" si="2"/>
        <v>9.0640673829953729E-4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1.6755129601850956E-4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1.5739781164173083E-2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9.0640673829953729E-4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46.542026671808216</v>
      </c>
      <c r="C54" s="21">
        <f t="shared" ref="C54:P54" si="3">(C50)*10^9/3600</f>
        <v>0</v>
      </c>
      <c r="D54" s="21">
        <f t="shared" si="3"/>
        <v>0</v>
      </c>
      <c r="E54" s="21">
        <f t="shared" si="3"/>
        <v>0</v>
      </c>
      <c r="F54" s="21">
        <f t="shared" si="3"/>
        <v>0</v>
      </c>
      <c r="G54" s="21">
        <f t="shared" si="3"/>
        <v>4372.1614344925229</v>
      </c>
      <c r="H54" s="21">
        <f t="shared" si="3"/>
        <v>0</v>
      </c>
      <c r="I54" s="21">
        <f t="shared" si="3"/>
        <v>0</v>
      </c>
      <c r="J54" s="21">
        <f t="shared" si="3"/>
        <v>0</v>
      </c>
      <c r="K54" s="21">
        <f t="shared" si="3"/>
        <v>0</v>
      </c>
      <c r="L54" s="21">
        <f t="shared" si="3"/>
        <v>0</v>
      </c>
      <c r="M54" s="21">
        <f t="shared" si="3"/>
        <v>251.77964952764927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0.19494226364376163</v>
      </c>
      <c r="C56" s="56">
        <f ca="1">'EF ele_warmte'!B22</f>
        <v>0.213582747184386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9.0730080339706234</v>
      </c>
      <c r="C58" s="23">
        <f t="shared" ref="C58:P58" ca="1" si="4">C54*C56</f>
        <v>0</v>
      </c>
      <c r="D58" s="23">
        <f t="shared" si="4"/>
        <v>0</v>
      </c>
      <c r="E58" s="23">
        <f t="shared" si="4"/>
        <v>0</v>
      </c>
      <c r="F58" s="23">
        <f t="shared" si="4"/>
        <v>0</v>
      </c>
      <c r="G58" s="23">
        <f t="shared" si="4"/>
        <v>1167.3671030095036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60"/>
  <sheetViews>
    <sheetView showGridLines="0" zoomScaleNormal="100" workbookViewId="0">
      <selection activeCell="A28" sqref="A28:XFD38"/>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9988.1165936660436</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N38</f>
        <v>70857</v>
      </c>
      <c r="C8" s="536">
        <f>B57</f>
        <v>70753.96811705931</v>
      </c>
      <c r="D8" s="1002"/>
      <c r="E8" s="1002">
        <f>E57</f>
        <v>3151.8020883822287</v>
      </c>
      <c r="F8" s="1003"/>
      <c r="G8" s="537"/>
      <c r="H8" s="1002">
        <f>I57</f>
        <v>0</v>
      </c>
      <c r="I8" s="1002">
        <f>G57+F57</f>
        <v>9455.4062651466866</v>
      </c>
      <c r="J8" s="1002">
        <f>H57+D57+C57</f>
        <v>0</v>
      </c>
      <c r="K8" s="1002"/>
      <c r="L8" s="1002"/>
      <c r="M8" s="1002"/>
      <c r="N8" s="538"/>
      <c r="O8" s="539">
        <f>C8*$C$12+D8*$D$12+E8*$E$12+F8*$F$12+G8*$G$12+H8*$H$12+I8*$I$12+J8*$J$12</f>
        <v>15133.832717244037</v>
      </c>
      <c r="P8" s="1221"/>
      <c r="Q8" s="1222"/>
      <c r="S8" s="965"/>
      <c r="T8" s="1258"/>
      <c r="U8" s="1258"/>
    </row>
    <row r="9" spans="1:21" s="525" customFormat="1" ht="17.45" customHeight="1" thickBot="1">
      <c r="A9" s="540" t="s">
        <v>236</v>
      </c>
      <c r="B9" s="541">
        <f>N45+'Eigen informatie GS &amp; warmtenet'!B12</f>
        <v>9945</v>
      </c>
      <c r="C9" s="542">
        <f>P45+IF(ISERROR(('Eigen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S45+IF(ISERROR('Eigen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W45+IF(ISERROR('Eigen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(T45+U45)+IF(ISERROR('Eigen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V45+Q45+R45+IF(ISERROR('Eigen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28414.285714285717</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90790.11659366604</v>
      </c>
      <c r="C10" s="549">
        <f t="shared" ref="C10:L10" si="0">SUM(C8:C9)</f>
        <v>70753.96811705931</v>
      </c>
      <c r="D10" s="549">
        <f t="shared" si="0"/>
        <v>0</v>
      </c>
      <c r="E10" s="549">
        <f t="shared" si="0"/>
        <v>3151.8020883822287</v>
      </c>
      <c r="F10" s="549">
        <f t="shared" si="0"/>
        <v>0</v>
      </c>
      <c r="G10" s="549">
        <f t="shared" si="0"/>
        <v>0</v>
      </c>
      <c r="H10" s="549">
        <f t="shared" si="0"/>
        <v>0</v>
      </c>
      <c r="I10" s="549">
        <f t="shared" si="0"/>
        <v>9455.4062651466866</v>
      </c>
      <c r="J10" s="549">
        <f t="shared" si="0"/>
        <v>28414.285714285717</v>
      </c>
      <c r="K10" s="549">
        <f t="shared" si="0"/>
        <v>0</v>
      </c>
      <c r="L10" s="549">
        <f t="shared" si="0"/>
        <v>0</v>
      </c>
      <c r="M10" s="1005"/>
      <c r="N10" s="1005"/>
      <c r="O10" s="550">
        <f>SUM(O4:O9)</f>
        <v>15133.832717244037</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O38</f>
        <v>97585.07142857142</v>
      </c>
      <c r="C17" s="561">
        <f>B58</f>
        <v>97443.17474008353</v>
      </c>
      <c r="D17" s="562"/>
      <c r="E17" s="562">
        <f>E58</f>
        <v>4340.6979116177708</v>
      </c>
      <c r="F17" s="1008"/>
      <c r="G17" s="563"/>
      <c r="H17" s="561">
        <f>I58</f>
        <v>0</v>
      </c>
      <c r="I17" s="562">
        <f>G58+F58</f>
        <v>13022.093734853313</v>
      </c>
      <c r="J17" s="562">
        <f>H58+D58+C58</f>
        <v>0</v>
      </c>
      <c r="K17" s="562"/>
      <c r="L17" s="562"/>
      <c r="M17" s="562"/>
      <c r="N17" s="1009"/>
      <c r="O17" s="564">
        <f>C17*$C$22+E17*$E$22+H17*$H$22+I17*$I$22+J17*$J$22+D17*$D$22+F17*$F$22+G17*$G$22+K17*$K$22+L17*$L$22</f>
        <v>20842.48763989882</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97585.07142857142</v>
      </c>
      <c r="C20" s="548">
        <f>SUM(C17:C19)</f>
        <v>97443.17474008353</v>
      </c>
      <c r="D20" s="548">
        <f t="shared" ref="D20:L20" si="1">SUM(D17:D19)</f>
        <v>0</v>
      </c>
      <c r="E20" s="548">
        <f t="shared" si="1"/>
        <v>4340.6979116177708</v>
      </c>
      <c r="F20" s="548">
        <f t="shared" si="1"/>
        <v>0</v>
      </c>
      <c r="G20" s="548">
        <f t="shared" si="1"/>
        <v>0</v>
      </c>
      <c r="H20" s="548">
        <f t="shared" si="1"/>
        <v>0</v>
      </c>
      <c r="I20" s="548">
        <f t="shared" si="1"/>
        <v>13022.093734853313</v>
      </c>
      <c r="J20" s="548">
        <f t="shared" si="1"/>
        <v>0</v>
      </c>
      <c r="K20" s="548">
        <f t="shared" si="1"/>
        <v>0</v>
      </c>
      <c r="L20" s="548">
        <f t="shared" si="1"/>
        <v>0</v>
      </c>
      <c r="M20" s="548"/>
      <c r="N20" s="548"/>
      <c r="O20" s="567">
        <f>SUM(O17:O19)</f>
        <v>20842.48763989882</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12021</v>
      </c>
      <c r="C28" s="762">
        <v>2500</v>
      </c>
      <c r="D28" s="619"/>
      <c r="E28" s="618"/>
      <c r="F28" s="618"/>
      <c r="G28" s="618" t="s">
        <v>896</v>
      </c>
      <c r="H28" s="618" t="s">
        <v>897</v>
      </c>
      <c r="I28" s="618"/>
      <c r="J28" s="761"/>
      <c r="K28" s="761"/>
      <c r="L28" s="618" t="s">
        <v>898</v>
      </c>
      <c r="M28" s="618">
        <v>3116</v>
      </c>
      <c r="N28" s="618">
        <v>14022</v>
      </c>
      <c r="O28" s="618">
        <v>20031.428571428572</v>
      </c>
      <c r="P28" s="618">
        <v>40062.857142857145</v>
      </c>
      <c r="Q28" s="618">
        <v>0</v>
      </c>
      <c r="R28" s="618">
        <v>0</v>
      </c>
      <c r="S28" s="618">
        <v>0</v>
      </c>
      <c r="T28" s="618">
        <v>0</v>
      </c>
      <c r="U28" s="618">
        <v>0</v>
      </c>
      <c r="V28" s="618">
        <v>0</v>
      </c>
      <c r="W28" s="618">
        <v>0</v>
      </c>
      <c r="X28" s="618">
        <v>10</v>
      </c>
      <c r="Y28" s="618" t="s">
        <v>105</v>
      </c>
      <c r="Z28" s="620" t="s">
        <v>105</v>
      </c>
    </row>
    <row r="29" spans="1:26" s="572" customFormat="1" ht="25.5" hidden="1">
      <c r="A29" s="571"/>
      <c r="B29" s="762">
        <v>12021</v>
      </c>
      <c r="C29" s="762">
        <v>2500</v>
      </c>
      <c r="D29" s="619"/>
      <c r="E29" s="618"/>
      <c r="F29" s="618"/>
      <c r="G29" s="618" t="s">
        <v>896</v>
      </c>
      <c r="H29" s="618" t="s">
        <v>897</v>
      </c>
      <c r="I29" s="618"/>
      <c r="J29" s="761"/>
      <c r="K29" s="761"/>
      <c r="L29" s="618" t="s">
        <v>898</v>
      </c>
      <c r="M29" s="618">
        <v>1147</v>
      </c>
      <c r="N29" s="618">
        <v>5161.5</v>
      </c>
      <c r="O29" s="618">
        <v>7373.5714285714284</v>
      </c>
      <c r="P29" s="618">
        <v>14747.142857142859</v>
      </c>
      <c r="Q29" s="618">
        <v>0</v>
      </c>
      <c r="R29" s="618">
        <v>0</v>
      </c>
      <c r="S29" s="618">
        <v>0</v>
      </c>
      <c r="T29" s="618">
        <v>0</v>
      </c>
      <c r="U29" s="618">
        <v>0</v>
      </c>
      <c r="V29" s="618">
        <v>0</v>
      </c>
      <c r="W29" s="618">
        <v>0</v>
      </c>
      <c r="X29" s="618">
        <v>10</v>
      </c>
      <c r="Y29" s="618" t="s">
        <v>105</v>
      </c>
      <c r="Z29" s="620" t="s">
        <v>105</v>
      </c>
    </row>
    <row r="30" spans="1:26" s="572" customFormat="1" ht="38.25" hidden="1">
      <c r="A30" s="571"/>
      <c r="B30" s="762">
        <v>12021</v>
      </c>
      <c r="C30" s="762">
        <v>2500</v>
      </c>
      <c r="D30" s="619"/>
      <c r="E30" s="618"/>
      <c r="F30" s="618"/>
      <c r="G30" s="618" t="s">
        <v>896</v>
      </c>
      <c r="H30" s="618" t="s">
        <v>899</v>
      </c>
      <c r="I30" s="618"/>
      <c r="J30" s="761"/>
      <c r="K30" s="761"/>
      <c r="L30" s="618" t="s">
        <v>898</v>
      </c>
      <c r="M30" s="618">
        <v>2664</v>
      </c>
      <c r="N30" s="618">
        <v>11988</v>
      </c>
      <c r="O30" s="618">
        <v>13486.5</v>
      </c>
      <c r="P30" s="618">
        <v>0</v>
      </c>
      <c r="Q30" s="618">
        <v>0</v>
      </c>
      <c r="R30" s="618">
        <v>0</v>
      </c>
      <c r="S30" s="618">
        <v>7492.5</v>
      </c>
      <c r="T30" s="618">
        <v>0</v>
      </c>
      <c r="U30" s="618">
        <v>22477.5</v>
      </c>
      <c r="V30" s="618">
        <v>0</v>
      </c>
      <c r="W30" s="618">
        <v>0</v>
      </c>
      <c r="X30" s="618">
        <v>10</v>
      </c>
      <c r="Y30" s="618" t="s">
        <v>105</v>
      </c>
      <c r="Z30" s="620" t="s">
        <v>105</v>
      </c>
    </row>
    <row r="31" spans="1:26" s="572" customFormat="1" ht="25.5" hidden="1">
      <c r="A31" s="571"/>
      <c r="B31" s="762">
        <v>12021</v>
      </c>
      <c r="C31" s="762">
        <v>2500</v>
      </c>
      <c r="D31" s="619"/>
      <c r="E31" s="618"/>
      <c r="F31" s="618"/>
      <c r="G31" s="618" t="s">
        <v>896</v>
      </c>
      <c r="H31" s="618" t="s">
        <v>897</v>
      </c>
      <c r="I31" s="618"/>
      <c r="J31" s="761"/>
      <c r="K31" s="761"/>
      <c r="L31" s="618" t="s">
        <v>898</v>
      </c>
      <c r="M31" s="618">
        <v>1008</v>
      </c>
      <c r="N31" s="618">
        <v>4536</v>
      </c>
      <c r="O31" s="618">
        <v>6480</v>
      </c>
      <c r="P31" s="618">
        <v>12960</v>
      </c>
      <c r="Q31" s="618">
        <v>0</v>
      </c>
      <c r="R31" s="618">
        <v>0</v>
      </c>
      <c r="S31" s="618">
        <v>0</v>
      </c>
      <c r="T31" s="618">
        <v>0</v>
      </c>
      <c r="U31" s="618">
        <v>0</v>
      </c>
      <c r="V31" s="618">
        <v>0</v>
      </c>
      <c r="W31" s="618">
        <v>0</v>
      </c>
      <c r="X31" s="618">
        <v>10</v>
      </c>
      <c r="Y31" s="618" t="s">
        <v>105</v>
      </c>
      <c r="Z31" s="620" t="s">
        <v>105</v>
      </c>
    </row>
    <row r="32" spans="1:26" s="572" customFormat="1" ht="25.5" hidden="1">
      <c r="A32" s="571"/>
      <c r="B32" s="762">
        <v>12021</v>
      </c>
      <c r="C32" s="762">
        <v>2500</v>
      </c>
      <c r="D32" s="619"/>
      <c r="E32" s="618"/>
      <c r="F32" s="618"/>
      <c r="G32" s="618" t="s">
        <v>896</v>
      </c>
      <c r="H32" s="618" t="s">
        <v>897</v>
      </c>
      <c r="I32" s="618"/>
      <c r="J32" s="761"/>
      <c r="K32" s="761"/>
      <c r="L32" s="618" t="s">
        <v>898</v>
      </c>
      <c r="M32" s="618">
        <v>1562</v>
      </c>
      <c r="N32" s="618">
        <v>7029</v>
      </c>
      <c r="O32" s="618">
        <v>10041.428571428572</v>
      </c>
      <c r="P32" s="618">
        <v>20082.857142857145</v>
      </c>
      <c r="Q32" s="618">
        <v>0</v>
      </c>
      <c r="R32" s="618">
        <v>0</v>
      </c>
      <c r="S32" s="618">
        <v>0</v>
      </c>
      <c r="T32" s="618">
        <v>0</v>
      </c>
      <c r="U32" s="618">
        <v>0</v>
      </c>
      <c r="V32" s="618">
        <v>0</v>
      </c>
      <c r="W32" s="618">
        <v>0</v>
      </c>
      <c r="X32" s="618">
        <v>10</v>
      </c>
      <c r="Y32" s="618" t="s">
        <v>105</v>
      </c>
      <c r="Z32" s="620" t="s">
        <v>105</v>
      </c>
    </row>
    <row r="33" spans="1:26" s="572" customFormat="1" ht="25.5" hidden="1">
      <c r="A33" s="571"/>
      <c r="B33" s="762">
        <v>12021</v>
      </c>
      <c r="C33" s="762">
        <v>2500</v>
      </c>
      <c r="D33" s="619"/>
      <c r="E33" s="618"/>
      <c r="F33" s="618"/>
      <c r="G33" s="618" t="s">
        <v>896</v>
      </c>
      <c r="H33" s="618" t="s">
        <v>897</v>
      </c>
      <c r="I33" s="618"/>
      <c r="J33" s="761"/>
      <c r="K33" s="761"/>
      <c r="L33" s="618" t="s">
        <v>898</v>
      </c>
      <c r="M33" s="618">
        <v>2425</v>
      </c>
      <c r="N33" s="618">
        <v>10912.5</v>
      </c>
      <c r="O33" s="618">
        <v>15589.285714285714</v>
      </c>
      <c r="P33" s="618">
        <v>31178.571428571431</v>
      </c>
      <c r="Q33" s="618">
        <v>0</v>
      </c>
      <c r="R33" s="618">
        <v>0</v>
      </c>
      <c r="S33" s="618">
        <v>0</v>
      </c>
      <c r="T33" s="618">
        <v>0</v>
      </c>
      <c r="U33" s="618">
        <v>0</v>
      </c>
      <c r="V33" s="618">
        <v>0</v>
      </c>
      <c r="W33" s="618">
        <v>0</v>
      </c>
      <c r="X33" s="618">
        <v>10</v>
      </c>
      <c r="Y33" s="618" t="s">
        <v>105</v>
      </c>
      <c r="Z33" s="620" t="s">
        <v>105</v>
      </c>
    </row>
    <row r="34" spans="1:26" s="572" customFormat="1" ht="25.5" hidden="1">
      <c r="A34" s="571"/>
      <c r="B34" s="762">
        <v>12021</v>
      </c>
      <c r="C34" s="762">
        <v>2500</v>
      </c>
      <c r="D34" s="619"/>
      <c r="E34" s="618"/>
      <c r="F34" s="618"/>
      <c r="G34" s="618" t="s">
        <v>896</v>
      </c>
      <c r="H34" s="618" t="s">
        <v>897</v>
      </c>
      <c r="I34" s="618"/>
      <c r="J34" s="761"/>
      <c r="K34" s="761"/>
      <c r="L34" s="618" t="s">
        <v>898</v>
      </c>
      <c r="M34" s="618">
        <v>1184</v>
      </c>
      <c r="N34" s="618">
        <v>5328</v>
      </c>
      <c r="O34" s="618">
        <v>7611.4285714285716</v>
      </c>
      <c r="P34" s="618">
        <v>15222.857142857143</v>
      </c>
      <c r="Q34" s="618">
        <v>0</v>
      </c>
      <c r="R34" s="618">
        <v>0</v>
      </c>
      <c r="S34" s="618">
        <v>0</v>
      </c>
      <c r="T34" s="618">
        <v>0</v>
      </c>
      <c r="U34" s="618">
        <v>0</v>
      </c>
      <c r="V34" s="618">
        <v>0</v>
      </c>
      <c r="W34" s="618">
        <v>0</v>
      </c>
      <c r="X34" s="618">
        <v>10</v>
      </c>
      <c r="Y34" s="618" t="s">
        <v>105</v>
      </c>
      <c r="Z34" s="620" t="s">
        <v>105</v>
      </c>
    </row>
    <row r="35" spans="1:26" s="572" customFormat="1" ht="51" hidden="1">
      <c r="A35" s="571"/>
      <c r="B35" s="762">
        <v>12021</v>
      </c>
      <c r="C35" s="762">
        <v>2500</v>
      </c>
      <c r="D35" s="619"/>
      <c r="E35" s="618"/>
      <c r="F35" s="618"/>
      <c r="G35" s="618" t="s">
        <v>896</v>
      </c>
      <c r="H35" s="618" t="s">
        <v>897</v>
      </c>
      <c r="I35" s="618"/>
      <c r="J35" s="761"/>
      <c r="K35" s="761"/>
      <c r="L35" s="618" t="s">
        <v>898</v>
      </c>
      <c r="M35" s="618">
        <v>140</v>
      </c>
      <c r="N35" s="618">
        <v>630.00000000000011</v>
      </c>
      <c r="O35" s="618">
        <v>900.00000000000023</v>
      </c>
      <c r="P35" s="618">
        <v>1800.0000000000005</v>
      </c>
      <c r="Q35" s="618">
        <v>0</v>
      </c>
      <c r="R35" s="618">
        <v>0</v>
      </c>
      <c r="S35" s="618">
        <v>0</v>
      </c>
      <c r="T35" s="618">
        <v>0</v>
      </c>
      <c r="U35" s="618">
        <v>0</v>
      </c>
      <c r="V35" s="618">
        <v>0</v>
      </c>
      <c r="W35" s="618">
        <v>0</v>
      </c>
      <c r="X35" s="618">
        <v>1500</v>
      </c>
      <c r="Y35" s="618" t="s">
        <v>50</v>
      </c>
      <c r="Z35" s="620" t="s">
        <v>149</v>
      </c>
    </row>
    <row r="36" spans="1:26" s="572" customFormat="1" ht="25.5" hidden="1">
      <c r="A36" s="571"/>
      <c r="B36" s="762">
        <v>12021</v>
      </c>
      <c r="C36" s="762">
        <v>2500</v>
      </c>
      <c r="D36" s="619"/>
      <c r="E36" s="618"/>
      <c r="F36" s="618"/>
      <c r="G36" s="618" t="s">
        <v>896</v>
      </c>
      <c r="H36" s="618" t="s">
        <v>897</v>
      </c>
      <c r="I36" s="618"/>
      <c r="J36" s="761"/>
      <c r="K36" s="761"/>
      <c r="L36" s="618" t="s">
        <v>898</v>
      </c>
      <c r="M36" s="618">
        <v>2000</v>
      </c>
      <c r="N36" s="618">
        <v>9000</v>
      </c>
      <c r="O36" s="618">
        <v>12857.142857142857</v>
      </c>
      <c r="P36" s="618">
        <v>25714.285714285717</v>
      </c>
      <c r="Q36" s="618">
        <v>0</v>
      </c>
      <c r="R36" s="618">
        <v>0</v>
      </c>
      <c r="S36" s="618">
        <v>0</v>
      </c>
      <c r="T36" s="618">
        <v>0</v>
      </c>
      <c r="U36" s="618">
        <v>0</v>
      </c>
      <c r="V36" s="618">
        <v>0</v>
      </c>
      <c r="W36" s="618">
        <v>0</v>
      </c>
      <c r="X36" s="618">
        <v>10</v>
      </c>
      <c r="Y36" s="618" t="s">
        <v>900</v>
      </c>
      <c r="Z36" s="620" t="s">
        <v>105</v>
      </c>
    </row>
    <row r="37" spans="1:26" s="572" customFormat="1" ht="25.5" hidden="1">
      <c r="A37" s="571"/>
      <c r="B37" s="762">
        <v>12021</v>
      </c>
      <c r="C37" s="762">
        <v>2500</v>
      </c>
      <c r="D37" s="619"/>
      <c r="E37" s="618"/>
      <c r="F37" s="618"/>
      <c r="G37" s="618" t="s">
        <v>901</v>
      </c>
      <c r="H37" s="618" t="s">
        <v>897</v>
      </c>
      <c r="I37" s="618"/>
      <c r="J37" s="761"/>
      <c r="K37" s="761"/>
      <c r="L37" s="618" t="s">
        <v>902</v>
      </c>
      <c r="M37" s="618">
        <v>1500</v>
      </c>
      <c r="N37" s="618">
        <v>2250</v>
      </c>
      <c r="O37" s="618">
        <v>3214.2857142857142</v>
      </c>
      <c r="P37" s="618">
        <v>6428.5714285714294</v>
      </c>
      <c r="Q37" s="618">
        <v>0</v>
      </c>
      <c r="R37" s="618">
        <v>0</v>
      </c>
      <c r="S37" s="618">
        <v>0</v>
      </c>
      <c r="T37" s="618">
        <v>0</v>
      </c>
      <c r="U37" s="618">
        <v>0</v>
      </c>
      <c r="V37" s="618">
        <v>0</v>
      </c>
      <c r="W37" s="618">
        <v>0</v>
      </c>
      <c r="X37" s="618">
        <v>10</v>
      </c>
      <c r="Y37" s="618" t="s">
        <v>105</v>
      </c>
      <c r="Z37" s="620" t="s">
        <v>105</v>
      </c>
    </row>
    <row r="38" spans="1:26" s="556" customFormat="1" hidden="1">
      <c r="A38" s="574" t="s">
        <v>268</v>
      </c>
      <c r="B38" s="575"/>
      <c r="C38" s="575"/>
      <c r="D38" s="575"/>
      <c r="E38" s="575"/>
      <c r="F38" s="575"/>
      <c r="G38" s="575"/>
      <c r="H38" s="575"/>
      <c r="I38" s="575"/>
      <c r="J38" s="575"/>
      <c r="K38" s="575"/>
      <c r="L38" s="576"/>
      <c r="M38" s="576">
        <f>SUM(M28:M37)</f>
        <v>16746</v>
      </c>
      <c r="N38" s="576">
        <f>SUM(N28:N37)</f>
        <v>70857</v>
      </c>
      <c r="O38" s="576">
        <f>SUM(O28:O37)</f>
        <v>97585.07142857142</v>
      </c>
      <c r="P38" s="576">
        <f>SUM(P28:P37)</f>
        <v>168197.14285714284</v>
      </c>
      <c r="Q38" s="576">
        <f>SUM(Q28:Q37)</f>
        <v>0</v>
      </c>
      <c r="R38" s="576">
        <f>SUM(R28:R37)</f>
        <v>0</v>
      </c>
      <c r="S38" s="576">
        <f>SUM(S28:S37)</f>
        <v>7492.5</v>
      </c>
      <c r="T38" s="576">
        <f>SUM(T28:T37)</f>
        <v>0</v>
      </c>
      <c r="U38" s="576">
        <f>SUM(U28:U37)</f>
        <v>22477.5</v>
      </c>
      <c r="V38" s="576">
        <f>SUM(V28:V37)</f>
        <v>0</v>
      </c>
      <c r="W38" s="576">
        <f>SUM(W28:W37)</f>
        <v>0</v>
      </c>
      <c r="X38" s="577"/>
      <c r="Y38" s="577"/>
      <c r="Z38" s="578"/>
    </row>
    <row r="39" spans="1:26" s="556" customFormat="1">
      <c r="A39" s="574" t="s">
        <v>275</v>
      </c>
      <c r="B39" s="575"/>
      <c r="C39" s="575"/>
      <c r="D39" s="575"/>
      <c r="E39" s="575"/>
      <c r="F39" s="575"/>
      <c r="G39" s="575"/>
      <c r="H39" s="575"/>
      <c r="I39" s="575"/>
      <c r="J39" s="575"/>
      <c r="K39" s="575"/>
      <c r="L39" s="576"/>
      <c r="M39" s="576">
        <f>SUMIF($Z$28:$Z$37,"industrie",M28:M37)</f>
        <v>0</v>
      </c>
      <c r="N39" s="576">
        <f>SUMIF($Z$28:$Z$37,"industrie",N28:N37)</f>
        <v>0</v>
      </c>
      <c r="O39" s="576">
        <f>SUMIF($Z$28:$Z$37,"industrie",O28:O37)</f>
        <v>0</v>
      </c>
      <c r="P39" s="576">
        <f>SUMIF($Z$28:$Z$37,"industrie",P28:P37)</f>
        <v>0</v>
      </c>
      <c r="Q39" s="576">
        <f>SUMIF($Z$28:$Z$37,"industrie",Q28:Q37)</f>
        <v>0</v>
      </c>
      <c r="R39" s="576">
        <f>SUMIF($Z$28:$Z$37,"industrie",R28:R37)</f>
        <v>0</v>
      </c>
      <c r="S39" s="576">
        <f>SUMIF($Z$28:$Z$37,"industrie",S28:S37)</f>
        <v>0</v>
      </c>
      <c r="T39" s="576">
        <f>SUMIF($Z$28:$Z$37,"industrie",T28:T37)</f>
        <v>0</v>
      </c>
      <c r="U39" s="576">
        <f>SUMIF($Z$28:$Z$37,"industrie",U28:U37)</f>
        <v>0</v>
      </c>
      <c r="V39" s="576">
        <f>SUMIF($Z$28:$Z$37,"industrie",V28:V37)</f>
        <v>0</v>
      </c>
      <c r="W39" s="576">
        <f>SUMIF($Z$28:$Z$37,"industrie",W28:W37)</f>
        <v>0</v>
      </c>
      <c r="X39" s="577"/>
      <c r="Y39" s="577"/>
      <c r="Z39" s="578"/>
    </row>
    <row r="40" spans="1:26" s="556" customFormat="1">
      <c r="A40" s="574" t="s">
        <v>276</v>
      </c>
      <c r="B40" s="575"/>
      <c r="C40" s="575"/>
      <c r="D40" s="575"/>
      <c r="E40" s="575"/>
      <c r="F40" s="575"/>
      <c r="G40" s="575"/>
      <c r="H40" s="575"/>
      <c r="I40" s="575"/>
      <c r="J40" s="575"/>
      <c r="K40" s="575"/>
      <c r="L40" s="576"/>
      <c r="M40" s="576">
        <f ca="1">SUMIF($Z$28:AC37,"tertiair",M28:M37)</f>
        <v>140</v>
      </c>
      <c r="N40" s="576">
        <f ca="1">SUMIF($Z$28:AD37,"tertiair",N28:N37)</f>
        <v>630.00000000000011</v>
      </c>
      <c r="O40" s="576">
        <f ca="1">SUMIF($Z$28:AE37,"tertiair",O28:O37)</f>
        <v>900.00000000000023</v>
      </c>
      <c r="P40" s="576">
        <f ca="1">SUMIF($Z$28:AF37,"tertiair",P28:P37)</f>
        <v>1800.0000000000005</v>
      </c>
      <c r="Q40" s="576">
        <f ca="1">SUMIF($Z$28:AG37,"tertiair",Q28:Q37)</f>
        <v>0</v>
      </c>
      <c r="R40" s="576">
        <f ca="1">SUMIF($Z$28:AH37,"tertiair",R28:R37)</f>
        <v>0</v>
      </c>
      <c r="S40" s="576">
        <f ca="1">SUMIF($Z$28:AI37,"tertiair",S28:S37)</f>
        <v>0</v>
      </c>
      <c r="T40" s="576">
        <f ca="1">SUMIF($Z$28:AJ37,"tertiair",T28:T37)</f>
        <v>0</v>
      </c>
      <c r="U40" s="576">
        <f ca="1">SUMIF($Z$28:AK37,"tertiair",U28:U37)</f>
        <v>0</v>
      </c>
      <c r="V40" s="576">
        <f ca="1">SUMIF($Z$28:AL37,"tertiair",V28:V37)</f>
        <v>0</v>
      </c>
      <c r="W40" s="576">
        <f ca="1">SUMIF($Z$28:AM37,"tertiair",W28:W37)</f>
        <v>0</v>
      </c>
      <c r="X40" s="577"/>
      <c r="Y40" s="577"/>
      <c r="Z40" s="578"/>
    </row>
    <row r="41" spans="1:26" s="556" customFormat="1" ht="15.75" thickBot="1">
      <c r="A41" s="579" t="s">
        <v>277</v>
      </c>
      <c r="B41" s="580"/>
      <c r="C41" s="580"/>
      <c r="D41" s="580"/>
      <c r="E41" s="580"/>
      <c r="F41" s="580"/>
      <c r="G41" s="580"/>
      <c r="H41" s="580"/>
      <c r="I41" s="580"/>
      <c r="J41" s="580"/>
      <c r="K41" s="580"/>
      <c r="L41" s="581"/>
      <c r="M41" s="581">
        <f>SUMIF($Z$28:$Z$37,"landbouw",M28:M37)</f>
        <v>16606</v>
      </c>
      <c r="N41" s="581">
        <f>SUMIF($Z$28:$Z$37,"landbouw",N28:N37)</f>
        <v>70227</v>
      </c>
      <c r="O41" s="581">
        <f>SUMIF($Z$28:$Z$37,"landbouw",O28:O37)</f>
        <v>96685.07142857142</v>
      </c>
      <c r="P41" s="581">
        <f>SUMIF($Z$28:$Z$37,"landbouw",P28:P37)</f>
        <v>166397.14285714284</v>
      </c>
      <c r="Q41" s="581">
        <f>SUMIF($Z$28:$Z$37,"landbouw",Q28:Q37)</f>
        <v>0</v>
      </c>
      <c r="R41" s="581">
        <f>SUMIF($Z$28:$Z$37,"landbouw",R28:R37)</f>
        <v>0</v>
      </c>
      <c r="S41" s="581">
        <f>SUMIF($Z$28:$Z$37,"landbouw",S28:S37)</f>
        <v>7492.5</v>
      </c>
      <c r="T41" s="581">
        <f>SUMIF($Z$28:$Z$37,"landbouw",T28:T37)</f>
        <v>0</v>
      </c>
      <c r="U41" s="581">
        <f>SUMIF($Z$28:$Z$37,"landbouw",U28:U37)</f>
        <v>22477.5</v>
      </c>
      <c r="V41" s="581">
        <f>SUMIF($Z$28:$Z$37,"landbouw",V28:V37)</f>
        <v>0</v>
      </c>
      <c r="W41" s="581">
        <f>SUMIF($Z$28:$Z$37,"landbouw",W28:W37)</f>
        <v>0</v>
      </c>
      <c r="X41" s="582"/>
      <c r="Y41" s="582"/>
      <c r="Z41" s="583"/>
    </row>
    <row r="42" spans="1:26" s="525" customFormat="1" ht="15.75" thickBot="1">
      <c r="A42" s="584"/>
      <c r="B42" s="585"/>
      <c r="C42" s="585"/>
      <c r="D42" s="585"/>
      <c r="E42" s="585"/>
      <c r="F42" s="585"/>
      <c r="G42" s="585"/>
      <c r="H42" s="585"/>
      <c r="I42" s="585"/>
      <c r="J42" s="585"/>
      <c r="K42" s="585"/>
      <c r="L42" s="568"/>
      <c r="M42" s="568"/>
      <c r="N42" s="568"/>
      <c r="O42" s="569"/>
      <c r="P42" s="569"/>
    </row>
    <row r="43" spans="1:26" s="525" customFormat="1" ht="45">
      <c r="A43" s="586" t="s">
        <v>269</v>
      </c>
      <c r="B43" s="615" t="s">
        <v>89</v>
      </c>
      <c r="C43" s="615" t="s">
        <v>90</v>
      </c>
      <c r="D43" s="615"/>
      <c r="E43" s="615"/>
      <c r="F43" s="615"/>
      <c r="G43" s="615" t="s">
        <v>91</v>
      </c>
      <c r="H43" s="615" t="s">
        <v>92</v>
      </c>
      <c r="I43" s="615"/>
      <c r="J43" s="615"/>
      <c r="K43" s="615"/>
      <c r="L43" s="615" t="s">
        <v>93</v>
      </c>
      <c r="M43" s="616" t="s">
        <v>286</v>
      </c>
      <c r="N43" s="616" t="s">
        <v>94</v>
      </c>
      <c r="O43" s="616" t="s">
        <v>95</v>
      </c>
      <c r="P43" s="616" t="s">
        <v>520</v>
      </c>
      <c r="Q43" s="616" t="s">
        <v>96</v>
      </c>
      <c r="R43" s="616" t="s">
        <v>97</v>
      </c>
      <c r="S43" s="616" t="s">
        <v>98</v>
      </c>
      <c r="T43" s="616" t="s">
        <v>99</v>
      </c>
      <c r="U43" s="616" t="s">
        <v>100</v>
      </c>
      <c r="V43" s="616" t="s">
        <v>101</v>
      </c>
      <c r="W43" s="615" t="s">
        <v>102</v>
      </c>
      <c r="X43" s="615" t="s">
        <v>287</v>
      </c>
      <c r="Y43" s="615" t="s">
        <v>103</v>
      </c>
      <c r="Z43" s="617" t="s">
        <v>288</v>
      </c>
    </row>
    <row r="44" spans="1:26" s="587" customFormat="1" ht="63.75" hidden="1">
      <c r="A44" s="573"/>
      <c r="B44" s="762">
        <v>12021</v>
      </c>
      <c r="C44" s="762">
        <v>2500</v>
      </c>
      <c r="D44" s="621"/>
      <c r="E44" s="621"/>
      <c r="F44" s="621"/>
      <c r="G44" s="621" t="s">
        <v>903</v>
      </c>
      <c r="H44" s="621" t="s">
        <v>904</v>
      </c>
      <c r="I44" s="621"/>
      <c r="J44" s="761"/>
      <c r="K44" s="761"/>
      <c r="L44" s="621" t="s">
        <v>905</v>
      </c>
      <c r="M44" s="621">
        <v>2210</v>
      </c>
      <c r="N44" s="621">
        <v>9945</v>
      </c>
      <c r="O44" s="621">
        <v>0</v>
      </c>
      <c r="P44" s="621">
        <v>0</v>
      </c>
      <c r="Q44" s="621">
        <v>0</v>
      </c>
      <c r="R44" s="621">
        <v>28414.285714285717</v>
      </c>
      <c r="S44" s="621">
        <v>0</v>
      </c>
      <c r="T44" s="621">
        <v>0</v>
      </c>
      <c r="U44" s="621">
        <v>0</v>
      </c>
      <c r="V44" s="621">
        <v>0</v>
      </c>
      <c r="W44" s="621">
        <v>0</v>
      </c>
      <c r="X44" s="621">
        <v>1600</v>
      </c>
      <c r="Y44" s="621" t="s">
        <v>49</v>
      </c>
      <c r="Z44" s="622" t="s">
        <v>149</v>
      </c>
    </row>
    <row r="45" spans="1:26" s="556" customFormat="1" hidden="1">
      <c r="A45" s="574" t="s">
        <v>268</v>
      </c>
      <c r="B45" s="575"/>
      <c r="C45" s="575"/>
      <c r="D45" s="575"/>
      <c r="E45" s="575"/>
      <c r="F45" s="575"/>
      <c r="G45" s="575"/>
      <c r="H45" s="575"/>
      <c r="I45" s="575"/>
      <c r="J45" s="575"/>
      <c r="K45" s="575"/>
      <c r="L45" s="576"/>
      <c r="M45" s="576">
        <f>SUM(M44:M44)</f>
        <v>2210</v>
      </c>
      <c r="N45" s="576">
        <f>SUM(N44:N44)</f>
        <v>9945</v>
      </c>
      <c r="O45" s="576">
        <f>SUM(O44:O44)</f>
        <v>0</v>
      </c>
      <c r="P45" s="576">
        <f>SUM(P44:P44)</f>
        <v>0</v>
      </c>
      <c r="Q45" s="576">
        <f>SUM(Q44:Q44)</f>
        <v>0</v>
      </c>
      <c r="R45" s="576">
        <f>SUM(R44:R44)</f>
        <v>28414.285714285717</v>
      </c>
      <c r="S45" s="576">
        <f>SUM(S44:S44)</f>
        <v>0</v>
      </c>
      <c r="T45" s="576">
        <f>SUM(T44:T44)</f>
        <v>0</v>
      </c>
      <c r="U45" s="576">
        <f>SUM(U44:U44)</f>
        <v>0</v>
      </c>
      <c r="V45" s="576">
        <f>SUM(V44:V44)</f>
        <v>0</v>
      </c>
      <c r="W45" s="576">
        <f>SUM(W44:W44)</f>
        <v>0</v>
      </c>
      <c r="X45" s="577"/>
      <c r="Y45" s="577"/>
      <c r="Z45" s="578"/>
    </row>
    <row r="46" spans="1:26" s="556" customFormat="1">
      <c r="A46" s="574" t="s">
        <v>275</v>
      </c>
      <c r="B46" s="575"/>
      <c r="C46" s="575"/>
      <c r="D46" s="575"/>
      <c r="E46" s="575"/>
      <c r="F46" s="575"/>
      <c r="G46" s="575"/>
      <c r="H46" s="575"/>
      <c r="I46" s="575"/>
      <c r="J46" s="575"/>
      <c r="K46" s="575"/>
      <c r="L46" s="576"/>
      <c r="M46" s="576">
        <f>SUMIF($Z$44:$Z$44,"industrie",M44:M44)</f>
        <v>0</v>
      </c>
      <c r="N46" s="576">
        <f>SUMIF($Z$44:$Z$44,"industrie",N44:N44)</f>
        <v>0</v>
      </c>
      <c r="O46" s="576">
        <f>SUMIF($Z$44:$Z$44,"industrie",O44:O44)</f>
        <v>0</v>
      </c>
      <c r="P46" s="576">
        <f>SUMIF($Z$44:$Z$44,"industrie",P44:P44)</f>
        <v>0</v>
      </c>
      <c r="Q46" s="576">
        <f>SUMIF($Z$44:$Z$44,"industrie",Q44:Q44)</f>
        <v>0</v>
      </c>
      <c r="R46" s="576">
        <f>SUMIF($Z$44:$Z$44,"industrie",R44:R44)</f>
        <v>0</v>
      </c>
      <c r="S46" s="576">
        <f>SUMIF($Z$44:$Z$44,"industrie",S44:S44)</f>
        <v>0</v>
      </c>
      <c r="T46" s="576">
        <f>SUMIF($Z$44:$Z$44,"industrie",T44:T44)</f>
        <v>0</v>
      </c>
      <c r="U46" s="576">
        <f>SUMIF($Z$44:$Z$44,"industrie",U44:U44)</f>
        <v>0</v>
      </c>
      <c r="V46" s="576">
        <f>SUMIF($Z$44:$Z$44,"industrie",V44:V44)</f>
        <v>0</v>
      </c>
      <c r="W46" s="576">
        <f>SUMIF($Z$44:$Z$44,"industrie",W44:W44)</f>
        <v>0</v>
      </c>
      <c r="X46" s="577"/>
      <c r="Y46" s="577"/>
      <c r="Z46" s="578"/>
    </row>
    <row r="47" spans="1:26" s="556" customFormat="1">
      <c r="A47" s="574" t="s">
        <v>276</v>
      </c>
      <c r="B47" s="575"/>
      <c r="C47" s="575"/>
      <c r="D47" s="575"/>
      <c r="E47" s="575"/>
      <c r="F47" s="575"/>
      <c r="G47" s="575"/>
      <c r="H47" s="575"/>
      <c r="I47" s="575"/>
      <c r="J47" s="575"/>
      <c r="K47" s="575"/>
      <c r="L47" s="576"/>
      <c r="M47" s="576">
        <f>SUMIF($Z$44:$Z$45,"tertiair",M44:M45)</f>
        <v>2210</v>
      </c>
      <c r="N47" s="576">
        <f>SUMIF($Z$44:$Z$45,"tertiair",N44:N45)</f>
        <v>9945</v>
      </c>
      <c r="O47" s="576">
        <f>SUMIF($Z$44:$Z$45,"tertiair",O44:O45)</f>
        <v>0</v>
      </c>
      <c r="P47" s="576">
        <f>SUMIF($Z$44:$Z$45,"tertiair",P44:P45)</f>
        <v>0</v>
      </c>
      <c r="Q47" s="576">
        <f>SUMIF($Z$44:$Z$45,"tertiair",Q44:Q45)</f>
        <v>0</v>
      </c>
      <c r="R47" s="576">
        <f>SUMIF($Z$44:$Z$45,"tertiair",R44:R45)</f>
        <v>28414.285714285717</v>
      </c>
      <c r="S47" s="576">
        <f>SUMIF($Z$44:$Z$45,"tertiair",S44:S45)</f>
        <v>0</v>
      </c>
      <c r="T47" s="576">
        <f>SUMIF($Z$44:$Z$45,"tertiair",T44:T45)</f>
        <v>0</v>
      </c>
      <c r="U47" s="576">
        <f>SUMIF($Z$44:$Z$45,"tertiair",U44:U45)</f>
        <v>0</v>
      </c>
      <c r="V47" s="576">
        <f>SUMIF($Z$44:$Z$45,"tertiair",V44:V45)</f>
        <v>0</v>
      </c>
      <c r="W47" s="576">
        <f>SUMIF($Z$44:$Z$45,"tertiair",W44:W45)</f>
        <v>0</v>
      </c>
      <c r="X47" s="577"/>
      <c r="Y47" s="577"/>
      <c r="Z47" s="578"/>
    </row>
    <row r="48" spans="1:26" s="556" customFormat="1" ht="15.75" thickBot="1">
      <c r="A48" s="579" t="s">
        <v>277</v>
      </c>
      <c r="B48" s="580"/>
      <c r="C48" s="580"/>
      <c r="D48" s="580"/>
      <c r="E48" s="580"/>
      <c r="F48" s="580"/>
      <c r="G48" s="580"/>
      <c r="H48" s="580"/>
      <c r="I48" s="580"/>
      <c r="J48" s="580"/>
      <c r="K48" s="580"/>
      <c r="L48" s="581"/>
      <c r="M48" s="581">
        <f>SUMIF($Z$44:$Z$46,"landbouw",M44:M46)</f>
        <v>0</v>
      </c>
      <c r="N48" s="581">
        <f>SUMIF($Z$44:$Z$46,"landbouw",N44:N46)</f>
        <v>0</v>
      </c>
      <c r="O48" s="581">
        <f>SUMIF($Z$44:$Z$46,"landbouw",O44:O46)</f>
        <v>0</v>
      </c>
      <c r="P48" s="581">
        <f>SUMIF($Z$44:$Z$46,"landbouw",P44:P46)</f>
        <v>0</v>
      </c>
      <c r="Q48" s="581">
        <f>SUMIF($Z$44:$Z$46,"landbouw",Q44:Q46)</f>
        <v>0</v>
      </c>
      <c r="R48" s="581">
        <f>SUMIF($Z$44:$Z$46,"landbouw",R44:R46)</f>
        <v>0</v>
      </c>
      <c r="S48" s="581">
        <f>SUMIF($Z$44:$Z$46,"landbouw",S44:S46)</f>
        <v>0</v>
      </c>
      <c r="T48" s="581">
        <f>SUMIF($Z$44:$Z$46,"landbouw",T44:T46)</f>
        <v>0</v>
      </c>
      <c r="U48" s="581">
        <f>SUMIF($Z$44:$Z$46,"landbouw",U44:U46)</f>
        <v>0</v>
      </c>
      <c r="V48" s="581">
        <f>SUMIF($Z$44:$Z$46,"landbouw",V44:V46)</f>
        <v>0</v>
      </c>
      <c r="W48" s="581">
        <f>SUMIF($Z$44:$Z$46,"landbouw",W44:W46)</f>
        <v>0</v>
      </c>
      <c r="X48" s="582"/>
      <c r="Y48" s="582"/>
      <c r="Z48" s="583"/>
    </row>
    <row r="49" spans="1:27" s="588" customFormat="1">
      <c r="A49" s="584"/>
      <c r="B49" s="568"/>
      <c r="C49" s="568"/>
      <c r="D49" s="568"/>
      <c r="E49" s="568"/>
      <c r="F49" s="568"/>
      <c r="G49" s="568"/>
      <c r="H49" s="568"/>
      <c r="I49" s="568"/>
      <c r="J49" s="568"/>
      <c r="K49" s="568"/>
      <c r="L49" s="568"/>
      <c r="M49" s="568"/>
      <c r="N49" s="568"/>
      <c r="O49" s="568"/>
      <c r="P49" s="568"/>
      <c r="Q49" s="568"/>
      <c r="R49" s="568"/>
      <c r="S49" s="568"/>
      <c r="T49" s="568"/>
      <c r="U49" s="568"/>
      <c r="V49" s="568"/>
      <c r="W49" s="568"/>
      <c r="X49" s="568"/>
      <c r="Y49" s="568"/>
    </row>
    <row r="50" spans="1:27" s="588" customFormat="1" ht="15.75" thickBot="1">
      <c r="A50" s="584"/>
      <c r="B50" s="568"/>
      <c r="C50" s="568"/>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row>
    <row r="51" spans="1:27">
      <c r="A51" s="589" t="s">
        <v>270</v>
      </c>
      <c r="B51" s="590"/>
      <c r="C51" s="590"/>
      <c r="D51" s="590"/>
      <c r="E51" s="590"/>
      <c r="F51" s="590"/>
      <c r="G51" s="590"/>
      <c r="H51" s="590"/>
      <c r="I51" s="591"/>
      <c r="J51" s="592"/>
      <c r="K51" s="592"/>
      <c r="L51" s="593"/>
      <c r="M51" s="593"/>
      <c r="N51" s="593"/>
      <c r="O51" s="593"/>
      <c r="P51" s="593"/>
    </row>
    <row r="52" spans="1:27">
      <c r="A52" s="595"/>
      <c r="B52" s="585"/>
      <c r="C52" s="585"/>
      <c r="D52" s="585"/>
      <c r="E52" s="585"/>
      <c r="F52" s="585"/>
      <c r="G52" s="585"/>
      <c r="H52" s="585"/>
      <c r="I52" s="596"/>
      <c r="J52" s="585"/>
      <c r="K52" s="585"/>
      <c r="L52" s="593"/>
      <c r="M52" s="593"/>
      <c r="N52" s="593"/>
      <c r="O52" s="593"/>
      <c r="P52" s="593"/>
    </row>
    <row r="53" spans="1:27">
      <c r="A53" s="597"/>
      <c r="B53" s="598" t="s">
        <v>271</v>
      </c>
      <c r="C53" s="598" t="s">
        <v>272</v>
      </c>
      <c r="D53" s="598"/>
      <c r="E53" s="598"/>
      <c r="F53" s="598"/>
      <c r="G53" s="598"/>
      <c r="H53" s="598"/>
      <c r="I53" s="599"/>
      <c r="J53" s="598"/>
      <c r="K53" s="598"/>
      <c r="L53" s="598"/>
      <c r="M53" s="598"/>
      <c r="N53" s="598"/>
      <c r="O53" s="598"/>
      <c r="P53" s="593"/>
    </row>
    <row r="54" spans="1:27">
      <c r="A54" s="595" t="s">
        <v>268</v>
      </c>
      <c r="B54" s="600">
        <f>IF(ISERROR(O38/(O38+N38)),0,O38/(O38+N38))</f>
        <v>0.5793390606096458</v>
      </c>
      <c r="C54" s="601">
        <f>IF(ISERROR(N38/(O38+N38)),0,N38/(N38+O38))</f>
        <v>0.4206609393903542</v>
      </c>
      <c r="D54" s="568"/>
      <c r="E54" s="568"/>
      <c r="F54" s="568"/>
      <c r="G54" s="568"/>
      <c r="H54" s="568"/>
      <c r="I54" s="602"/>
      <c r="J54" s="568"/>
      <c r="K54" s="568"/>
      <c r="L54" s="603"/>
      <c r="M54" s="603"/>
      <c r="N54" s="603"/>
      <c r="O54" s="603"/>
      <c r="P54" s="593"/>
    </row>
    <row r="55" spans="1:27">
      <c r="A55" s="595"/>
      <c r="B55" s="604"/>
      <c r="C55" s="604"/>
      <c r="D55" s="604"/>
      <c r="E55" s="604"/>
      <c r="F55" s="604"/>
      <c r="G55" s="604"/>
      <c r="H55" s="604"/>
      <c r="I55" s="605"/>
      <c r="J55" s="604"/>
      <c r="K55" s="604"/>
      <c r="L55" s="606"/>
      <c r="M55" s="606"/>
      <c r="N55" s="606"/>
      <c r="O55" s="606"/>
      <c r="P55" s="593"/>
    </row>
    <row r="56" spans="1:27" ht="30">
      <c r="A56" s="607"/>
      <c r="B56" s="608" t="s">
        <v>520</v>
      </c>
      <c r="C56" s="608" t="s">
        <v>96</v>
      </c>
      <c r="D56" s="608" t="s">
        <v>97</v>
      </c>
      <c r="E56" s="608" t="s">
        <v>98</v>
      </c>
      <c r="F56" s="608" t="s">
        <v>99</v>
      </c>
      <c r="G56" s="608" t="s">
        <v>100</v>
      </c>
      <c r="H56" s="608" t="s">
        <v>101</v>
      </c>
      <c r="I56" s="609" t="s">
        <v>102</v>
      </c>
      <c r="J56" s="598"/>
      <c r="K56" s="598"/>
      <c r="L56" s="606"/>
      <c r="M56" s="606"/>
      <c r="N56" s="606"/>
      <c r="O56" s="593"/>
      <c r="P56" s="593"/>
    </row>
    <row r="57" spans="1:27">
      <c r="A57" s="597" t="s">
        <v>273</v>
      </c>
      <c r="B57" s="610">
        <f t="shared" ref="B57:I57" si="2">$C$54*P38</f>
        <v>70753.96811705931</v>
      </c>
      <c r="C57" s="610">
        <f t="shared" si="2"/>
        <v>0</v>
      </c>
      <c r="D57" s="610">
        <f t="shared" si="2"/>
        <v>0</v>
      </c>
      <c r="E57" s="610">
        <f t="shared" si="2"/>
        <v>3151.8020883822287</v>
      </c>
      <c r="F57" s="610">
        <f t="shared" si="2"/>
        <v>0</v>
      </c>
      <c r="G57" s="610">
        <f t="shared" si="2"/>
        <v>9455.4062651466866</v>
      </c>
      <c r="H57" s="610">
        <f t="shared" si="2"/>
        <v>0</v>
      </c>
      <c r="I57" s="611">
        <f t="shared" si="2"/>
        <v>0</v>
      </c>
      <c r="J57" s="568"/>
      <c r="K57" s="568"/>
      <c r="L57" s="606"/>
      <c r="M57" s="606"/>
      <c r="N57" s="606"/>
      <c r="O57" s="593"/>
      <c r="P57" s="593"/>
    </row>
    <row r="58" spans="1:27" ht="15.75" thickBot="1">
      <c r="A58" s="612" t="s">
        <v>274</v>
      </c>
      <c r="B58" s="613">
        <f t="shared" ref="B58:I58" si="3">$B$54*P38</f>
        <v>97443.17474008353</v>
      </c>
      <c r="C58" s="613">
        <f t="shared" si="3"/>
        <v>0</v>
      </c>
      <c r="D58" s="613">
        <f t="shared" si="3"/>
        <v>0</v>
      </c>
      <c r="E58" s="613">
        <f t="shared" si="3"/>
        <v>4340.6979116177708</v>
      </c>
      <c r="F58" s="613">
        <f t="shared" si="3"/>
        <v>0</v>
      </c>
      <c r="G58" s="613">
        <f t="shared" si="3"/>
        <v>13022.093734853313</v>
      </c>
      <c r="H58" s="613">
        <f t="shared" si="3"/>
        <v>0</v>
      </c>
      <c r="I58" s="614">
        <f t="shared" si="3"/>
        <v>0</v>
      </c>
      <c r="J58" s="568"/>
      <c r="K58" s="568"/>
      <c r="L58" s="606"/>
      <c r="M58" s="606"/>
      <c r="N58" s="606"/>
      <c r="O58" s="593"/>
      <c r="P58" s="593"/>
    </row>
    <row r="59" spans="1:27">
      <c r="J59" s="554"/>
      <c r="K59" s="554"/>
      <c r="L59" s="554"/>
      <c r="M59" s="554"/>
      <c r="N59" s="554"/>
    </row>
    <row r="60" spans="1:27">
      <c r="J60" s="554"/>
      <c r="K60" s="554"/>
      <c r="L60" s="554"/>
      <c r="M60" s="554"/>
      <c r="N60"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2021-11-11T12:45:24Z</dcterms:modified>
</cp:coreProperties>
</file>