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BD835E98-1A3C-4B12-97F3-1D517A891D5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I56" i="14" s="1"/>
  <c r="H54" i="14"/>
  <c r="H56" i="14" s="1"/>
  <c r="Q24" i="14"/>
  <c r="P24" i="14"/>
  <c r="P26" i="14" s="1"/>
  <c r="N24" i="14"/>
  <c r="N26" i="14" s="1"/>
  <c r="L24" i="14"/>
  <c r="L26" i="14" s="1"/>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R44" i="14"/>
  <c r="Q26" i="14"/>
  <c r="J26" i="14"/>
  <c r="E25" i="14"/>
  <c r="D14" i="48" s="1"/>
  <c r="C25" i="14"/>
  <c r="B14" i="48" s="1"/>
  <c r="Q14" i="48" s="1"/>
  <c r="D5" i="17"/>
  <c r="O31" i="48" l="1"/>
  <c r="C47" i="18"/>
  <c r="G50" i="18" s="1"/>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0" i="18" l="1"/>
  <c r="E50" i="18"/>
  <c r="E8" i="18" s="1"/>
  <c r="H50" i="18"/>
  <c r="I50" i="18"/>
  <c r="H8" i="18" s="1"/>
  <c r="C50" i="18"/>
  <c r="O9" i="18"/>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6" i="22" l="1"/>
  <c r="A3" i="23"/>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<sst xmlns="http://schemas.openxmlformats.org/spreadsheetml/2006/main" count="2479" uniqueCount="899">
  <si>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</si>
  <si>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</si>
  <si>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</si>
  <si>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</si>
  <si>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</si>
  <si>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</si>
  <si>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</si>
  <si>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</si>
  <si>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</si>
  <si>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</si>
  <si>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</si>
  <si>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</si>
  <si>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</si>
  <si>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</si>
  <si>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</si>
  <si>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</si>
  <si>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</si>
  <si>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</si>
  <si>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</si>
  <si>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</si>
  <si>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</si>
  <si>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</si>
  <si>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</si>
  <si>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</si>
  <si>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</si>
  <si>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</si>
  <si>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</si>
  <si>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</si>
  <si>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</si>
  <si>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</si>
  <si>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</si>
  <si>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</si>
  <si>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</si>
  <si>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</si>
  <si>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</si>
  <si>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</si>
  <si>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</si>
  <si>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</si>
  <si>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</si>
  <si>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</si>
  <si>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</si>
  <si>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</si>
  <si>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</si>
  <si>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</si>
  <si>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</si>
  <si>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</si>
  <si>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</si>
  <si>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</si>
  <si>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</si>
  <si>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</si>
  <si>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</si>
  <si>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</si>
  <si>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</si>
  <si>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</si>
  <si>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</si>
  <si>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</si>
  <si>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</si>
  <si>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</si>
  <si>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</si>
  <si>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</si>
  <si>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</si>
  <si>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</si>
  <si>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</si>
  <si>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</si>
  <si>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</si>
  <si>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</si>
  <si>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</si>
  <si>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</si>
  <si>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</si>
  <si>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</si>
  <si>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</si>
  <si>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</si>
  <si>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</si>
  <si>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</si>
  <si>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</si>
  <si>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</si>
  <si>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</si>
  <si>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</si>
  <si>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</si>
  <si>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</si>
  <si>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</si>
  <si>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</si>
  <si>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</si>
  <si>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</si>
  <si>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</si>
  <si>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</si>
  <si>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</si>
  <si>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</si>
  <si>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</si>
  <si>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</si>
  <si>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</si>
  <si>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</si>
  <si>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</si>
  <si>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</si>
  <si>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</si>
  <si>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</si>
  <si>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</si>
  <si>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</si>
  <si>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</si>
  <si>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</si>
  <si>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</si>
  <si>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</si>
  <si>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</si>
  <si>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</si>
  <si>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</si>
  <si>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</si>
  <si>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</si>
  <si>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</si>
  <si>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</si>
  <si>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</si>
  <si>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</si>
  <si>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</si>
  <si>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</si>
  <si>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</si>
  <si>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</si>
  <si>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</si>
  <si>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</si>
  <si>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</si>
  <si>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</si>
  <si>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</si>
  <si>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</si>
  <si>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</si>
  <si>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</si>
  <si>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</si>
  <si>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</si>
  <si>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</si>
  <si>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</si>
  <si>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</si>
  <si>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</si>
  <si>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</si>
  <si>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</si>
  <si>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</si>
  <si>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</si>
  <si>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</si>
  <si>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</si>
  <si>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</si>
  <si>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</si>
  <si>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</si>
  <si>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</si>
  <si>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</si>
  <si>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</si>
  <si>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</si>
  <si>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</si>
  <si>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</si>
  <si>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</si>
  <si>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</si>
  <si>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</si>
  <si>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</si>
  <si>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</si>
  <si>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</si>
  <si>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</si>
  <si>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</si>
  <si>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</si>
  <si>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</si>
  <si>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</si>
  <si>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</si>
  <si>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</si>
  <si>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</si>
  <si>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</si>
  <si>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</si>
  <si>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</si>
  <si>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</si>
  <si>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</si>
  <si>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</si>
  <si>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</si>
  <si>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</si>
  <si>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</si>
  <si>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</si>
  <si>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</si>
  <si>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</si>
  <si>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</si>
  <si>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</si>
  <si>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</si>
  <si>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</si>
  <si>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</si>
  <si>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</si>
  <si>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</si>
  <si>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</si>
  <si>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</si>
  <si>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</si>
  <si>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</si>
  <si>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</si>
  <si>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</si>
  <si>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</si>
  <si>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</si>
  <si>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</si>
  <si>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</si>
  <si>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</si>
  <si>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</si>
  <si>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</si>
  <si>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</si>
  <si>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</si>
  <si>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</si>
  <si>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</si>
  <si>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</si>
  <si>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</si>
  <si>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</si>
  <si>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</si>
  <si>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</si>
  <si>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</si>
  <si>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</si>
  <si>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</si>
  <si>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</si>
  <si>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</si>
  <si>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</si>
  <si>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</si>
  <si>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</si>
  <si>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</si>
  <si>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</si>
  <si>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</si>
  <si>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</si>
  <si>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</si>
  <si>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</si>
  <si>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</si>
  <si>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</si>
  <si>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</si>
  <si>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</si>
  <si>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</si>
  <si>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</si>
  <si>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</si>
  <si>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</si>
  <si>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</si>
  <si>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</si>
  <si>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</si>
  <si>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</si>
  <si>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</si>
  <si>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</si>
  <si>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</si>
  <si>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</si>
  <si>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</si>
  <si>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</si>
  <si>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</si>
  <si>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</si>
  <si>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</si>
  <si>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</si>
  <si>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</si>
  <si>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</si>
  <si>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</si>
  <si>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</si>
  <si>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</si>
  <si>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</si>
  <si>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</si>
  <si>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</si>
  <si>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</si>
  <si>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</si>
  <si>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</si>
  <si>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</si>
  <si>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</si>
  <si>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</si>
  <si>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</si>
  <si>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</si>
  <si>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</si>
  <si>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</si>
  <si>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</si>
  <si>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</si>
  <si>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</si>
  <si>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</si>
  <si>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</si>
  <si>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</si>
  <si>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</si>
  <si>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</si>
  <si>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</si>
  <si>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</si>
  <si>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</si>
  <si>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</si>
  <si>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</si>
  <si>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</si>
  <si>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</si>
  <si>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</si>
  <si>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</si>
  <si>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</si>
  <si>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</si>
  <si>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</si>
  <si>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</si>
  <si>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</si>
  <si>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</si>
  <si>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</si>
  <si>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</si>
  <si>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</si>
  <si>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</si>
  <si>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</si>
  <si>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</si>
  <si>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</si>
  <si>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</si>
  <si>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</si>
  <si>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</si>
  <si>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</si>
  <si>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</si>
  <si>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</si>
  <si>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</si>
  <si>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</si>
  <si>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</si>
  <si>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</si>
  <si>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</si>
  <si>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</si>
  <si>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</si>
  <si>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</si>
  <si>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</si>
  <si>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</si>
  <si>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</si>
  <si>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</si>
  <si>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</si>
  <si>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</si>
  <si>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</si>
  <si>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</si>
  <si>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</si>
  <si>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</si>
  <si>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</si>
  <si>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</si>
  <si>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</si>
  <si>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</si>
  <si>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</si>
  <si>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</si>
  <si>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</si>
  <si>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</si>
  <si>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</si>
  <si>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</si>
  <si>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</si>
  <si>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</si>
  <si>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</si>
  <si>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</si>
  <si>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</si>
  <si>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</si>
  <si>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</si>
  <si>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</si>
  <si>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</si>
  <si>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</si>
  <si>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</si>
  <si>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</si>
  <si>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</si>
  <si>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</si>
  <si>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</si>
  <si>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</si>
  <si>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</si>
  <si>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</si>
  <si>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</si>
  <si>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</si>
  <si>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</si>
  <si>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</si>
  <si>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</si>
  <si>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</si>
  <si>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</si>
  <si>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</si>
  <si>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</si>
  <si>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</si>
  <si>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</si>
  <si>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</si>
  <si>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</si>
  <si>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</si>
  <si>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</si>
  <si>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</si>
  <si>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</si>
  <si>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</si>
  <si>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</si>
  <si>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</si>
  <si>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</si>
  <si>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</si>
  <si>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</si>
  <si>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</si>
  <si>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</si>
  <si>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</si>
  <si>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</si>
  <si>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</si>
  <si>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</si>
  <si>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</si>
  <si>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</si>
  <si>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</si>
  <si>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</si>
  <si>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</si>
  <si>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</si>
  <si>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</si>
  <si>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</si>
  <si>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</si>
  <si>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</si>
  <si>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</si>
  <si>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</si>
  <si>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</si>
  <si>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</si>
  <si>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</si>
  <si>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</si>
  <si>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</si>
  <si>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</si>
  <si>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</si>
  <si>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</si>
  <si>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</si>
  <si>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</si>
  <si>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</si>
  <si>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</si>
  <si>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</si>
  <si>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</si>
  <si>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</si>
  <si>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</si>
  <si>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</si>
  <si>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</si>
  <si>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</si>
  <si>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</si>
  <si>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</si>
  <si>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</si>
  <si>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</si>
  <si>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</si>
  <si>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</si>
  <si>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</si>
  <si>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</si>
  <si>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</si>
  <si>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</si>
  <si>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</si>
  <si>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</si>
  <si>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</si>
  <si>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</si>
  <si>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</si>
  <si>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</si>
  <si>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</si>
  <si>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</si>
  <si>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</si>
  <si>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</si>
  <si>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</si>
  <si>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</si>
  <si>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</si>
  <si>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</si>
  <si>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</si>
  <si>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</si>
  <si>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</si>
  <si>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</si>
  <si>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</si>
  <si>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</si>
  <si>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</si>
  <si>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</si>
  <si>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</si>
  <si>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</si>
  <si>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</si>
  <si>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</si>
  <si>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</si>
  <si>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</si>
  <si>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</si>
  <si>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</si>
  <si>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</si>
  <si>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</si>
  <si>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</si>
  <si>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</si>
  <si>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</si>
  <si>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</si>
  <si>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</si>
  <si>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</si>
  <si>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</si>
  <si>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</si>
  <si>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</si>
  <si>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</si>
  <si>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</si>
  <si>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</si>
  <si>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</si>
  <si>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</si>
  <si>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</si>
  <si>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</si>
  <si>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</si>
  <si>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</si>
  <si>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</si>
  <si>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</si>
  <si>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</si>
  <si>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</si>
  <si>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</si>
  <si>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</si>
  <si>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</si>
  <si>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</si>
  <si>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</si>
  <si>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</si>
  <si>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</si>
  <si>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</si>
  <si>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</si>
  <si>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</si>
  <si>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</si>
  <si>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</si>
  <si>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</si>
  <si>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</si>
  <si>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</si>
  <si>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</si>
  <si>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</si>
  <si>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</si>
  <si>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</si>
  <si>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</si>
  <si>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</si>
  <si>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</si>
  <si>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</si>
  <si>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</si>
  <si>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</si>
  <si>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</si>
  <si>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</si>
  <si>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</si>
  <si>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</si>
  <si>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</si>
  <si>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</si>
  <si>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</si>
  <si>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</si>
  <si>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</si>
  <si>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</si>
  <si>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</si>
  <si>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</si>
  <si>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</si>
  <si>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</si>
  <si>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</si>
  <si>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</si>
  <si>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</si>
  <si>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</si>
  <si>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</si>
  <si>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</si>
  <si>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</si>
  <si>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</si>
  <si>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</si>
  <si>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</si>
  <si>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</si>
  <si>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</si>
  <si>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</si>
  <si>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</si>
  <si>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</si>
  <si>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</si>
  <si>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</si>
  <si>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</si>
  <si>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</si>
  <si>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</si>
  <si>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</si>
  <si>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</si>
  <si>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</si>
  <si>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</si>
  <si>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</si>
  <si>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</si>
  <si>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</si>
  <si>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</si>
  <si>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</si>
  <si>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</si>
  <si>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</si>
  <si>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</si>
  <si>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</si>
  <si>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</si>
  <si>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</si>
  <si>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</si>
  <si>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</si>
  <si>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</si>
  <si>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</si>
  <si>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</si>
  <si>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</si>
  <si>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</si>
  <si>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</si>
  <si>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</si>
  <si>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</si>
  <si>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</si>
  <si>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</si>
  <si>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</si>
  <si>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</si>
  <si>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</si>
  <si>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</si>
  <si>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</si>
  <si>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</si>
  <si>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</si>
  <si>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</si>
  <si>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</si>
  <si>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</si>
  <si>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</si>
  <si>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</si>
  <si>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</si>
  <si>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</si>
  <si>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</si>
  <si>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</si>
  <si>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</si>
  <si>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</si>
  <si>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</si>
  <si>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</si>
  <si>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</si>
  <si>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</si>
  <si>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</si>
  <si>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</si>
  <si>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</si>
  <si>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</si>
  <si>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</si>
  <si>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</si>
  <si>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</si>
  <si>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</si>
  <si>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</si>
  <si>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</si>
  <si>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</si>
  <si>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</si>
  <si>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</si>
  <si>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</si>
  <si>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</si>
  <si>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</si>
  <si>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</si>
  <si>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</si>
  <si>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</si>
  <si>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</si>
  <si>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</si>
  <si>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</si>
  <si>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</si>
  <si>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</si>
  <si>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</si>
  <si>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</si>
  <si>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</si>
  <si>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</si>
  <si>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</si>
  <si>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</si>
  <si>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</si>
  <si>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</si>
  <si>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</si>
  <si>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</si>
  <si>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</si>
  <si>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</si>
  <si>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</si>
  <si>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</si>
  <si>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</si>
  <si>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</si>
  <si>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</si>
  <si>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</si>
  <si>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</si>
  <si>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</si>
  <si>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</si>
  <si>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</si>
  <si>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</si>
  <si>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</si>
  <si>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</si>
  <si>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</si>
  <si>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</si>
  <si>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</si>
  <si>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</si>
  <si>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</si>
  <si>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</si>
  <si>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</si>
  <si>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</si>
  <si>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</si>
  <si>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</si>
  <si>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</si>
  <si>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</si>
  <si>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</si>
  <si>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</si>
  <si>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</si>
  <si>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</si>
  <si>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</si>
  <si>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</si>
  <si>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</si>
  <si>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</si>
  <si>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</si>
  <si>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</si>
  <si>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</si>
  <si>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</si>
  <si>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</si>
  <si>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</si>
  <si>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</si>
  <si>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</si>
  <si>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</si>
  <si>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</si>
  <si>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</si>
  <si>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</si>
  <si>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</si>
  <si>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</si>
  <si>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</si>
  <si>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</si>
  <si>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</si>
  <si>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</si>
  <si>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</si>
  <si>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</si>
  <si>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</si>
  <si>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</si>
  <si>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</si>
  <si>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</si>
  <si>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</si>
  <si>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</si>
  <si>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</si>
  <si>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</si>
  <si>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</si>
  <si>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</si>
  <si>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</si>
  <si>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</si>
  <si>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</si>
  <si>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</si>
  <si>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</si>
  <si>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</si>
  <si>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</si>
  <si>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</si>
  <si>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</si>
  <si>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</si>
  <si>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</si>
  <si>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</si>
  <si>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</si>
  <si>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</si>
  <si>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</si>
  <si>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</si>
  <si>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</si>
  <si>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</si>
  <si>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</si>
  <si>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</si>
  <si>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</si>
  <si>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</si>
  <si>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</si>
  <si>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</si>
  <si>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</si>
  <si>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</si>
  <si>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</si>
  <si>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</si>
  <si>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</si>
  <si>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</si>
  <si>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</si>
  <si>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</si>
  <si>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</si>
  <si>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</si>
  <si>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</si>
  <si>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</si>
  <si>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</si>
  <si>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</si>
  <si>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</si>
  <si>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</si>
  <si>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</si>
  <si>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</si>
  <si>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</si>
  <si>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</si>
  <si>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</si>
  <si>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</si>
  <si>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</si>
  <si>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</si>
  <si>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</si>
  <si>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</si>
  <si>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</si>
  <si>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</si>
  <si>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</si>
  <si>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</si>
  <si>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</si>
  <si>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</si>
  <si>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</si>
  <si>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</si>
  <si>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</si>
  <si>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</si>
  <si>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</si>
  <si>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</si>
  <si>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</si>
  <si>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</si>
  <si>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</si>
  <si>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</si>
  <si>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</si>
  <si>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</si>
  <si>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</si>
  <si>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</si>
  <si>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</si>
  <si>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</si>
  <si>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</si>
  <si>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</si>
  <si>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</si>
  <si>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</si>
  <si>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</si>
  <si>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</si>
  <si>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</si>
  <si>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</si>
  <si>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</si>
  <si>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</si>
  <si>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</si>
  <si>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</si>
  <si>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</si>
  <si>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</si>
  <si>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</si>
  <si>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</si>
  <si>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</si>
  <si>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</si>
  <si>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</si>
  <si>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</si>
  <si>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</si>
  <si>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</si>
  <si>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</si>
  <si>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</si>
  <si>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</si>
  <si>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</si>
  <si>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</si>
  <si>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</si>
  <si>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</si>
  <si>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</si>
  <si>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</si>
  <si>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</si>
  <si>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</si>
  <si>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</si>
  <si>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</si>
  <si>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</si>
  <si>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</si>
  <si>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</si>
  <si>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</si>
  <si>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</si>
  <si>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</si>
  <si>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</si>
  <si>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</si>
  <si>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</si>
  <si>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</si>
  <si>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</si>
  <si>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</si>
  <si>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</si>
  <si>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</si>
  <si>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</si>
  <si>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</si>
  <si>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</si>
  <si>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</si>
  <si>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</si>
  <si>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</si>
  <si>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</si>
  <si>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</si>
  <si>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</si>
  <si>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</si>
  <si>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</si>
  <si>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</si>
  <si>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</si>
  <si>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</si>
  <si>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</si>
  <si>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</si>
  <si>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</si>
  <si>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</si>
  <si>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</si>
  <si>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</si>
  <si>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</si>
  <si>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</si>
  <si>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</si>
  <si>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</si>
  <si>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</si>
  <si>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</si>
  <si>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</si>
  <si>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</si>
  <si>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</si>
  <si>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</si>
  <si>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</si>
  <si>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</si>
  <si>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</si>
  <si>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</si>
  <si>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</si>
  <si>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</si>
  <si>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</si>
  <si>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</si>
  <si>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</si>
  <si>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</si>
  <si>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</si>
  <si>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</si>
  <si>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</si>
  <si>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</si>
  <si>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</si>
  <si>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</si>
  <si>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</si>
  <si>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</si>
  <si>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</si>
  <si>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</si>
  <si>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</si>
  <si>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</si>
  <si>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</si>
  <si>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</si>
  <si>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</si>
  <si>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</si>
  <si>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</si>
  <si>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</si>
  <si>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</si>
  <si>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</si>
  <si>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</si>
  <si>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</si>
  <si>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</si>
  <si>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</si>
  <si>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</si>
  <si>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</si>
  <si>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</si>
  <si>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</si>
  <si>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</si>
  <si>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</si>
  <si>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</si>
  <si>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</si>
  <si>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</si>
  <si>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</si>
  <si>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</si>
  <si>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</si>
  <si>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</si>
  <si>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</si>
  <si>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</si>
  <si>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</si>
  <si>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</si>
  <si>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</si>
  <si>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</si>
  <si>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</si>
  <si>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</si>
  <si>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</si>
  <si>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</si>
  <si>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</si>
  <si>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</si>
  <si>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</si>
  <si>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</si>
  <si>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</si>
  <si>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</si>
  <si>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</si>
  <si>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</si>
  <si>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</si>
  <si>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</si>
  <si>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</si>
  <si>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</si>
  <si>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</si>
  <si>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</si>
  <si>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</si>
  <si>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</si>
  <si>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</si>
  <si>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</si>
  <si>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12002</t>
  </si>
  <si>
    <t>BERLAAR</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</si>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</sst>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19D9C3BC-364C-4AB7-901C-0CFBB31BF86F}"/>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100175.72742672088</c:v>
                </c:pt>
                <c:pt idx="1">
                  <c:v>25813.108811126622</c:v>
                </c:pt>
                <c:pt idx="2">
                  <c:v>633.34199999999998</c:v>
                </c:pt>
                <c:pt idx="3">
                  <c:v>37915.669913428508</c:v>
                </c:pt>
                <c:pt idx="4">
                  <c:v>5406.2340465157658</c:v>
                </c:pt>
                <c:pt idx="5">
                  <c:v>41427.45875180755</c:v>
                </c:pt>
                <c:pt idx="6">
                  <c:v>491.82234169520746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100175.72742672088</c:v>
                </c:pt>
                <c:pt idx="1">
                  <c:v>25813.108811126622</c:v>
                </c:pt>
                <c:pt idx="2">
                  <c:v>633.34199999999998</c:v>
                </c:pt>
                <c:pt idx="3">
                  <c:v>37915.669913428508</c:v>
                </c:pt>
                <c:pt idx="4">
                  <c:v>5406.2340465157658</c:v>
                </c:pt>
                <c:pt idx="5">
                  <c:v>41427.45875180755</c:v>
                </c:pt>
                <c:pt idx="6">
                  <c:v>491.82234169520746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20449.205311605048</c:v>
                </c:pt>
                <c:pt idx="2">
                  <c:v>5149.0017957369946</c:v>
                </c:pt>
                <c:pt idx="3">
                  <c:v>136.57352747847023</c:v>
                </c:pt>
                <c:pt idx="4">
                  <c:v>9124.4546707542941</c:v>
                </c:pt>
                <c:pt idx="5">
                  <c:v>1164.0014799376756</c:v>
                </c:pt>
                <c:pt idx="6">
                  <c:v>10366.97419074985</c:v>
                </c:pt>
                <c:pt idx="7">
                  <c:v>123.98573848903281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20449.205311605048</c:v>
                </c:pt>
                <c:pt idx="2">
                  <c:v>5149.0017957369946</c:v>
                </c:pt>
                <c:pt idx="3">
                  <c:v>136.57352747847023</c:v>
                </c:pt>
                <c:pt idx="4">
                  <c:v>9124.4546707542941</c:v>
                </c:pt>
                <c:pt idx="5">
                  <c:v>1164.0014799376756</c:v>
                </c:pt>
                <c:pt idx="6">
                  <c:v>10366.97419074985</c:v>
                </c:pt>
                <c:pt idx="7">
                  <c:v>123.98573848903281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12002</v>
      </c>
      <c r="B6" s="382"/>
      <c r="C6" s="383"/>
    </row>
    <row r="7" spans="1:7" s="380" customFormat="1" ht="15.75" customHeight="1">
      <c r="A7" s="384" t="str">
        <f>txtMunicipality</f>
        <v>BERLAAR</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10906.925673237951</v>
      </c>
      <c r="D10" s="971">
        <f ca="1">tertiair!C16</f>
        <v>0</v>
      </c>
      <c r="E10" s="971">
        <f ca="1">tertiair!D16</f>
        <v>11829.59557806665</v>
      </c>
      <c r="F10" s="971">
        <f>tertiair!E16</f>
        <v>162.09781565741415</v>
      </c>
      <c r="G10" s="971">
        <f ca="1">tertiair!F16</f>
        <v>1899.7096437697121</v>
      </c>
      <c r="H10" s="971">
        <f>tertiair!G16</f>
        <v>0</v>
      </c>
      <c r="I10" s="971">
        <f>tertiair!H16</f>
        <v>0</v>
      </c>
      <c r="J10" s="971">
        <f>tertiair!I16</f>
        <v>0</v>
      </c>
      <c r="K10" s="971">
        <f>tertiair!J16</f>
        <v>4.1707856217868301E-2</v>
      </c>
      <c r="L10" s="971">
        <f>tertiair!K16</f>
        <v>0</v>
      </c>
      <c r="M10" s="971">
        <f ca="1">tertiair!L16</f>
        <v>0</v>
      </c>
      <c r="N10" s="971">
        <f>tertiair!M16</f>
        <v>0</v>
      </c>
      <c r="O10" s="971">
        <f ca="1">tertiair!N16</f>
        <v>1648.0803925386801</v>
      </c>
      <c r="P10" s="971">
        <f>tertiair!O16</f>
        <v>0</v>
      </c>
      <c r="Q10" s="972">
        <f>tertiair!P16</f>
        <v>0</v>
      </c>
      <c r="R10" s="666">
        <f ca="1">SUM(C10:Q10)</f>
        <v>26446.450811126619</v>
      </c>
      <c r="S10" s="67"/>
    </row>
    <row r="11" spans="1:19" s="439" customFormat="1">
      <c r="A11" s="775" t="s">
        <v>213</v>
      </c>
      <c r="B11" s="780"/>
      <c r="C11" s="971">
        <f>huishoudens!B8</f>
        <v>18214.924630213703</v>
      </c>
      <c r="D11" s="971">
        <f>huishoudens!C8</f>
        <v>0</v>
      </c>
      <c r="E11" s="971">
        <f>huishoudens!D8</f>
        <v>51620.301099542179</v>
      </c>
      <c r="F11" s="971">
        <f>huishoudens!E8</f>
        <v>866.27907349788927</v>
      </c>
      <c r="G11" s="971">
        <f>huishoudens!F8</f>
        <v>21947.628610005908</v>
      </c>
      <c r="H11" s="971">
        <f>huishoudens!G8</f>
        <v>0</v>
      </c>
      <c r="I11" s="971">
        <f>huishoudens!H8</f>
        <v>0</v>
      </c>
      <c r="J11" s="971">
        <f>huishoudens!I8</f>
        <v>0</v>
      </c>
      <c r="K11" s="971">
        <f>huishoudens!J8</f>
        <v>105.60952654050095</v>
      </c>
      <c r="L11" s="971">
        <f>huishoudens!K8</f>
        <v>0</v>
      </c>
      <c r="M11" s="971">
        <f>huishoudens!L8</f>
        <v>0</v>
      </c>
      <c r="N11" s="971">
        <f>huishoudens!M8</f>
        <v>0</v>
      </c>
      <c r="O11" s="971">
        <f>huishoudens!N8</f>
        <v>6616.6911535873687</v>
      </c>
      <c r="P11" s="971">
        <f>huishoudens!O8</f>
        <v>175.09333333333336</v>
      </c>
      <c r="Q11" s="972">
        <f>huishoudens!P8</f>
        <v>629.20000000000005</v>
      </c>
      <c r="R11" s="666">
        <f>SUM(C11:Q11)</f>
        <v>100175.72742672088</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1892.4360336600139</v>
      </c>
      <c r="D13" s="971">
        <f>industrie!C18</f>
        <v>0</v>
      </c>
      <c r="E13" s="971">
        <f>industrie!D18</f>
        <v>2023.414221664767</v>
      </c>
      <c r="F13" s="971">
        <f>industrie!E18</f>
        <v>349.32773573158238</v>
      </c>
      <c r="G13" s="971">
        <f>industrie!F18</f>
        <v>1001.1915198677974</v>
      </c>
      <c r="H13" s="971">
        <f>industrie!G18</f>
        <v>0</v>
      </c>
      <c r="I13" s="971">
        <f>industrie!H18</f>
        <v>0</v>
      </c>
      <c r="J13" s="971">
        <f>industrie!I18</f>
        <v>0</v>
      </c>
      <c r="K13" s="971">
        <f>industrie!J18</f>
        <v>1.6169185322368684</v>
      </c>
      <c r="L13" s="971">
        <f>industrie!K18</f>
        <v>0</v>
      </c>
      <c r="M13" s="971">
        <f>industrie!L18</f>
        <v>0</v>
      </c>
      <c r="N13" s="971">
        <f>industrie!M18</f>
        <v>0</v>
      </c>
      <c r="O13" s="971">
        <f>industrie!N18</f>
        <v>138.24761705936828</v>
      </c>
      <c r="P13" s="971">
        <f>industrie!O18</f>
        <v>0</v>
      </c>
      <c r="Q13" s="972">
        <f>industrie!P18</f>
        <v>0</v>
      </c>
      <c r="R13" s="666">
        <f>SUM(C13:Q13)</f>
        <v>5406.2340465157658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31014.286337111669</v>
      </c>
      <c r="D16" s="698">
        <f t="shared" ref="D16:R16" ca="1" si="0">SUM(D9:D15)</f>
        <v>0</v>
      </c>
      <c r="E16" s="698">
        <f t="shared" ca="1" si="0"/>
        <v>65473.310899273594</v>
      </c>
      <c r="F16" s="698">
        <f t="shared" si="0"/>
        <v>1377.7046248868858</v>
      </c>
      <c r="G16" s="698">
        <f t="shared" ca="1" si="0"/>
        <v>24848.529773643415</v>
      </c>
      <c r="H16" s="698">
        <f t="shared" si="0"/>
        <v>0</v>
      </c>
      <c r="I16" s="698">
        <f t="shared" si="0"/>
        <v>0</v>
      </c>
      <c r="J16" s="698">
        <f t="shared" si="0"/>
        <v>0</v>
      </c>
      <c r="K16" s="698">
        <f t="shared" si="0"/>
        <v>107.26815292895569</v>
      </c>
      <c r="L16" s="698">
        <f t="shared" si="0"/>
        <v>0</v>
      </c>
      <c r="M16" s="698">
        <f t="shared" ca="1" si="0"/>
        <v>0</v>
      </c>
      <c r="N16" s="698">
        <f t="shared" si="0"/>
        <v>0</v>
      </c>
      <c r="O16" s="698">
        <f t="shared" ca="1" si="0"/>
        <v>8403.0191631854177</v>
      </c>
      <c r="P16" s="698">
        <f t="shared" si="0"/>
        <v>175.09333333333336</v>
      </c>
      <c r="Q16" s="698">
        <f t="shared" si="0"/>
        <v>629.20000000000005</v>
      </c>
      <c r="R16" s="698">
        <f t="shared" ca="1" si="0"/>
        <v>132028.41228436326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4.9010793963834853</v>
      </c>
      <c r="D19" s="971">
        <f>transport!C54</f>
        <v>0</v>
      </c>
      <c r="E19" s="971">
        <f>transport!D54</f>
        <v>0</v>
      </c>
      <c r="F19" s="971">
        <f>transport!E54</f>
        <v>0</v>
      </c>
      <c r="G19" s="971">
        <f>transport!F54</f>
        <v>0</v>
      </c>
      <c r="H19" s="971">
        <f>transport!G54</f>
        <v>460.40776168506409</v>
      </c>
      <c r="I19" s="971">
        <f>transport!H54</f>
        <v>0</v>
      </c>
      <c r="J19" s="971">
        <f>transport!I54</f>
        <v>0</v>
      </c>
      <c r="K19" s="971">
        <f>transport!J54</f>
        <v>0</v>
      </c>
      <c r="L19" s="971">
        <f>transport!K54</f>
        <v>0</v>
      </c>
      <c r="M19" s="971">
        <f>transport!L54</f>
        <v>0</v>
      </c>
      <c r="N19" s="971">
        <f>transport!M54</f>
        <v>26.513500613759902</v>
      </c>
      <c r="O19" s="971">
        <f>transport!N54</f>
        <v>0</v>
      </c>
      <c r="P19" s="971">
        <f>transport!O54</f>
        <v>0</v>
      </c>
      <c r="Q19" s="972">
        <f>transport!P54</f>
        <v>0</v>
      </c>
      <c r="R19" s="666">
        <f>SUM(C19:Q19)</f>
        <v>491.82234169520746</v>
      </c>
      <c r="S19" s="67"/>
    </row>
    <row r="20" spans="1:19" s="439" customFormat="1">
      <c r="A20" s="775" t="s">
        <v>295</v>
      </c>
      <c r="B20" s="780"/>
      <c r="C20" s="971">
        <f>transport!B14</f>
        <v>26.211094842943872</v>
      </c>
      <c r="D20" s="971">
        <f>transport!C14</f>
        <v>0</v>
      </c>
      <c r="E20" s="971">
        <f>transport!D14</f>
        <v>45.535077728339388</v>
      </c>
      <c r="F20" s="971">
        <f>transport!E14</f>
        <v>79.468963135944122</v>
      </c>
      <c r="G20" s="971">
        <f>transport!F14</f>
        <v>0</v>
      </c>
      <c r="H20" s="971">
        <f>transport!G14</f>
        <v>31870.460306693247</v>
      </c>
      <c r="I20" s="971">
        <f>transport!H14</f>
        <v>7327.9984022765711</v>
      </c>
      <c r="J20" s="971">
        <f>transport!I14</f>
        <v>0</v>
      </c>
      <c r="K20" s="971">
        <f>transport!J14</f>
        <v>0</v>
      </c>
      <c r="L20" s="971">
        <f>transport!K14</f>
        <v>0</v>
      </c>
      <c r="M20" s="971">
        <f>transport!L14</f>
        <v>0</v>
      </c>
      <c r="N20" s="971">
        <f>transport!M14</f>
        <v>2077.7849071305036</v>
      </c>
      <c r="O20" s="971">
        <f>transport!N14</f>
        <v>0</v>
      </c>
      <c r="P20" s="971">
        <f>transport!O14</f>
        <v>0</v>
      </c>
      <c r="Q20" s="972">
        <f>transport!P14</f>
        <v>0</v>
      </c>
      <c r="R20" s="666">
        <f>SUM(C20:Q20)</f>
        <v>41427.45875180755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31.112174239327359</v>
      </c>
      <c r="D22" s="778">
        <f t="shared" ref="D22:R22" si="1">SUM(D18:D21)</f>
        <v>0</v>
      </c>
      <c r="E22" s="778">
        <f t="shared" si="1"/>
        <v>45.535077728339388</v>
      </c>
      <c r="F22" s="778">
        <f t="shared" si="1"/>
        <v>79.468963135944122</v>
      </c>
      <c r="G22" s="778">
        <f t="shared" si="1"/>
        <v>0</v>
      </c>
      <c r="H22" s="778">
        <f t="shared" si="1"/>
        <v>32330.86806837831</v>
      </c>
      <c r="I22" s="778">
        <f t="shared" si="1"/>
        <v>7327.9984022765711</v>
      </c>
      <c r="J22" s="778">
        <f t="shared" si="1"/>
        <v>0</v>
      </c>
      <c r="K22" s="778">
        <f t="shared" si="1"/>
        <v>0</v>
      </c>
      <c r="L22" s="778">
        <f t="shared" si="1"/>
        <v>0</v>
      </c>
      <c r="M22" s="778">
        <f t="shared" si="1"/>
        <v>0</v>
      </c>
      <c r="N22" s="778">
        <f t="shared" si="1"/>
        <v>2104.2984077442634</v>
      </c>
      <c r="O22" s="778">
        <f t="shared" si="1"/>
        <v>0</v>
      </c>
      <c r="P22" s="778">
        <f t="shared" si="1"/>
        <v>0</v>
      </c>
      <c r="Q22" s="778">
        <f t="shared" si="1"/>
        <v>0</v>
      </c>
      <c r="R22" s="778">
        <f t="shared" si="1"/>
        <v>41919.281093502759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975.07235313161402</v>
      </c>
      <c r="D24" s="971">
        <f>+landbouw!C8</f>
        <v>32708.571428571431</v>
      </c>
      <c r="E24" s="971">
        <f>+landbouw!D8</f>
        <v>0</v>
      </c>
      <c r="F24" s="971">
        <f>+landbouw!E8</f>
        <v>28.660354673254602</v>
      </c>
      <c r="G24" s="971">
        <f>+landbouw!F8</f>
        <v>4062.0987330019234</v>
      </c>
      <c r="H24" s="971">
        <f>+landbouw!G8</f>
        <v>0</v>
      </c>
      <c r="I24" s="971">
        <f>+landbouw!H8</f>
        <v>0</v>
      </c>
      <c r="J24" s="971">
        <f>+landbouw!I8</f>
        <v>0</v>
      </c>
      <c r="K24" s="971">
        <f>+landbouw!J8</f>
        <v>141.26704405029048</v>
      </c>
      <c r="L24" s="971">
        <f>+landbouw!K8</f>
        <v>0</v>
      </c>
      <c r="M24" s="971">
        <f>+landbouw!L8</f>
        <v>0</v>
      </c>
      <c r="N24" s="971">
        <f>+landbouw!M8</f>
        <v>0</v>
      </c>
      <c r="O24" s="971">
        <f>+landbouw!N8</f>
        <v>0</v>
      </c>
      <c r="P24" s="971">
        <f>+landbouw!O8</f>
        <v>0</v>
      </c>
      <c r="Q24" s="972">
        <f>+landbouw!P8</f>
        <v>0</v>
      </c>
      <c r="R24" s="666">
        <f>SUM(C24:Q24)</f>
        <v>37915.669913428508</v>
      </c>
      <c r="S24" s="67"/>
    </row>
    <row r="25" spans="1:19" s="439" customFormat="1" ht="15" thickBot="1">
      <c r="A25" s="797" t="s">
        <v>802</v>
      </c>
      <c r="B25" s="974"/>
      <c r="C25" s="975">
        <f>IF(Onbekend_ele_kWh="---",0,Onbekend_ele_kWh)/1000+IF(REST_rest_ele_kWh="---",0,REST_rest_ele_kWh)/1000</f>
        <v>951.39070523218209</v>
      </c>
      <c r="D25" s="975"/>
      <c r="E25" s="975">
        <f>IF(onbekend_gas_kWh="---",0,onbekend_gas_kWh)/1000+IF(REST_rest_gas_kWh="---",0,REST_rest_gas_kWh)/1000</f>
        <v>1985.99768941364</v>
      </c>
      <c r="F25" s="975"/>
      <c r="G25" s="975"/>
      <c r="H25" s="975"/>
      <c r="I25" s="975"/>
      <c r="J25" s="975"/>
      <c r="K25" s="975"/>
      <c r="L25" s="975"/>
      <c r="M25" s="975"/>
      <c r="N25" s="975"/>
      <c r="O25" s="975"/>
      <c r="P25" s="975"/>
      <c r="Q25" s="976"/>
      <c r="R25" s="666">
        <f>SUM(C25:Q25)</f>
        <v>2937.3883946458222</v>
      </c>
      <c r="S25" s="67"/>
    </row>
    <row r="26" spans="1:19" s="439" customFormat="1" ht="15.75" thickBot="1">
      <c r="A26" s="671" t="s">
        <v>803</v>
      </c>
      <c r="B26" s="783"/>
      <c r="C26" s="778">
        <f>SUM(C24:C25)</f>
        <v>1926.4630583637961</v>
      </c>
      <c r="D26" s="778">
        <f t="shared" ref="D26:R26" si="2">SUM(D24:D25)</f>
        <v>32708.571428571431</v>
      </c>
      <c r="E26" s="778">
        <f t="shared" si="2"/>
        <v>1985.99768941364</v>
      </c>
      <c r="F26" s="778">
        <f t="shared" si="2"/>
        <v>28.660354673254602</v>
      </c>
      <c r="G26" s="778">
        <f t="shared" si="2"/>
        <v>4062.0987330019234</v>
      </c>
      <c r="H26" s="778">
        <f t="shared" si="2"/>
        <v>0</v>
      </c>
      <c r="I26" s="778">
        <f t="shared" si="2"/>
        <v>0</v>
      </c>
      <c r="J26" s="778">
        <f t="shared" si="2"/>
        <v>0</v>
      </c>
      <c r="K26" s="778">
        <f t="shared" si="2"/>
        <v>141.26704405029048</v>
      </c>
      <c r="L26" s="778">
        <f t="shared" si="2"/>
        <v>0</v>
      </c>
      <c r="M26" s="778">
        <f t="shared" si="2"/>
        <v>0</v>
      </c>
      <c r="N26" s="778">
        <f t="shared" si="2"/>
        <v>0</v>
      </c>
      <c r="O26" s="778">
        <f t="shared" si="2"/>
        <v>0</v>
      </c>
      <c r="P26" s="778">
        <f t="shared" si="2"/>
        <v>0</v>
      </c>
      <c r="Q26" s="778">
        <f t="shared" si="2"/>
        <v>0</v>
      </c>
      <c r="R26" s="778">
        <f t="shared" si="2"/>
        <v>40853.058308074331</v>
      </c>
      <c r="S26" s="67"/>
    </row>
    <row r="27" spans="1:19" s="439" customFormat="1" ht="17.25" thickTop="1" thickBot="1">
      <c r="A27" s="672" t="s">
        <v>109</v>
      </c>
      <c r="B27" s="771"/>
      <c r="C27" s="673">
        <f ca="1">C22+C16+C26</f>
        <v>32971.861569714791</v>
      </c>
      <c r="D27" s="673">
        <f t="shared" ref="D27:R27" ca="1" si="3">D22+D16+D26</f>
        <v>32708.571428571431</v>
      </c>
      <c r="E27" s="673">
        <f t="shared" ca="1" si="3"/>
        <v>67504.843666415574</v>
      </c>
      <c r="F27" s="673">
        <f t="shared" si="3"/>
        <v>1485.8339426960845</v>
      </c>
      <c r="G27" s="673">
        <f t="shared" ca="1" si="3"/>
        <v>28910.628506645338</v>
      </c>
      <c r="H27" s="673">
        <f t="shared" si="3"/>
        <v>32330.86806837831</v>
      </c>
      <c r="I27" s="673">
        <f t="shared" si="3"/>
        <v>7327.9984022765711</v>
      </c>
      <c r="J27" s="673">
        <f t="shared" si="3"/>
        <v>0</v>
      </c>
      <c r="K27" s="673">
        <f t="shared" si="3"/>
        <v>248.53519697924617</v>
      </c>
      <c r="L27" s="673">
        <f t="shared" si="3"/>
        <v>0</v>
      </c>
      <c r="M27" s="673">
        <f t="shared" ca="1" si="3"/>
        <v>0</v>
      </c>
      <c r="N27" s="673">
        <f t="shared" si="3"/>
        <v>2104.2984077442634</v>
      </c>
      <c r="O27" s="673">
        <f t="shared" ca="1" si="3"/>
        <v>8403.0191631854177</v>
      </c>
      <c r="P27" s="673">
        <f t="shared" si="3"/>
        <v>175.09333333333336</v>
      </c>
      <c r="Q27" s="673">
        <f t="shared" si="3"/>
        <v>629.20000000000005</v>
      </c>
      <c r="R27" s="673">
        <f t="shared" ca="1" si="3"/>
        <v>214800.75168594037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2351.9635728241547</v>
      </c>
      <c r="D40" s="971">
        <f ca="1">tertiair!C20</f>
        <v>0</v>
      </c>
      <c r="E40" s="971">
        <f ca="1">tertiair!D20</f>
        <v>2389.5783067694633</v>
      </c>
      <c r="F40" s="971">
        <f>tertiair!E20</f>
        <v>36.79620415423301</v>
      </c>
      <c r="G40" s="971">
        <f ca="1">tertiair!F20</f>
        <v>507.22247488651317</v>
      </c>
      <c r="H40" s="971">
        <f>tertiair!G20</f>
        <v>0</v>
      </c>
      <c r="I40" s="971">
        <f>tertiair!H20</f>
        <v>0</v>
      </c>
      <c r="J40" s="971">
        <f>tertiair!I20</f>
        <v>0</v>
      </c>
      <c r="K40" s="971">
        <f>tertiair!J20</f>
        <v>1.4764581101125378E-2</v>
      </c>
      <c r="L40" s="971">
        <f>tertiair!K20</f>
        <v>0</v>
      </c>
      <c r="M40" s="971">
        <f ca="1">tertiair!L20</f>
        <v>0</v>
      </c>
      <c r="N40" s="971">
        <f>tertiair!M20</f>
        <v>0</v>
      </c>
      <c r="O40" s="971">
        <f ca="1">tertiair!N20</f>
        <v>0</v>
      </c>
      <c r="P40" s="971">
        <f>tertiair!O20</f>
        <v>0</v>
      </c>
      <c r="Q40" s="740">
        <f>tertiair!P20</f>
        <v>0</v>
      </c>
      <c r="R40" s="816">
        <f t="shared" ca="1" si="4"/>
        <v>5285.5753232154657</v>
      </c>
    </row>
    <row r="41" spans="1:18">
      <c r="A41" s="788" t="s">
        <v>213</v>
      </c>
      <c r="B41" s="795"/>
      <c r="C41" s="971">
        <f ca="1">huishoudens!B12</f>
        <v>3927.8565285465916</v>
      </c>
      <c r="D41" s="971">
        <f ca="1">huishoudens!C12</f>
        <v>0</v>
      </c>
      <c r="E41" s="971">
        <f>huishoudens!D12</f>
        <v>10427.300822107522</v>
      </c>
      <c r="F41" s="971">
        <f>huishoudens!E12</f>
        <v>196.64534968402086</v>
      </c>
      <c r="G41" s="971">
        <f>huishoudens!F12</f>
        <v>5860.0168388715774</v>
      </c>
      <c r="H41" s="971">
        <f>huishoudens!G12</f>
        <v>0</v>
      </c>
      <c r="I41" s="971">
        <f>huishoudens!H12</f>
        <v>0</v>
      </c>
      <c r="J41" s="971">
        <f>huishoudens!I12</f>
        <v>0</v>
      </c>
      <c r="K41" s="971">
        <f>huishoudens!J12</f>
        <v>37.385772395337334</v>
      </c>
      <c r="L41" s="971">
        <f>huishoudens!K12</f>
        <v>0</v>
      </c>
      <c r="M41" s="971">
        <f>huishoudens!L12</f>
        <v>0</v>
      </c>
      <c r="N41" s="971">
        <f>huishoudens!M12</f>
        <v>0</v>
      </c>
      <c r="O41" s="971">
        <f>huishoudens!N12</f>
        <v>0</v>
      </c>
      <c r="P41" s="971">
        <f>huishoudens!O12</f>
        <v>0</v>
      </c>
      <c r="Q41" s="740">
        <f>huishoudens!P12</f>
        <v>0</v>
      </c>
      <c r="R41" s="816">
        <f t="shared" ca="1" si="4"/>
        <v>20449.205311605048</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408.08388618520979</v>
      </c>
      <c r="D43" s="971">
        <f ca="1">industrie!C22</f>
        <v>0</v>
      </c>
      <c r="E43" s="971">
        <f>industrie!D22</f>
        <v>408.72967277628294</v>
      </c>
      <c r="F43" s="971">
        <f>industrie!E22</f>
        <v>79.297396011069196</v>
      </c>
      <c r="G43" s="971">
        <f>industrie!F22</f>
        <v>267.31813580470191</v>
      </c>
      <c r="H43" s="971">
        <f>industrie!G22</f>
        <v>0</v>
      </c>
      <c r="I43" s="971">
        <f>industrie!H22</f>
        <v>0</v>
      </c>
      <c r="J43" s="971">
        <f>industrie!I22</f>
        <v>0</v>
      </c>
      <c r="K43" s="971">
        <f>industrie!J22</f>
        <v>0.57238916041185139</v>
      </c>
      <c r="L43" s="971">
        <f>industrie!K22</f>
        <v>0</v>
      </c>
      <c r="M43" s="971">
        <f>industrie!L22</f>
        <v>0</v>
      </c>
      <c r="N43" s="971">
        <f>industrie!M22</f>
        <v>0</v>
      </c>
      <c r="O43" s="971">
        <f>industrie!N22</f>
        <v>0</v>
      </c>
      <c r="P43" s="971">
        <f>industrie!O22</f>
        <v>0</v>
      </c>
      <c r="Q43" s="740">
        <f>industrie!P22</f>
        <v>0</v>
      </c>
      <c r="R43" s="815">
        <f t="shared" ca="1" si="4"/>
        <v>1164.0014799376756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6687.9039875559556</v>
      </c>
      <c r="D46" s="698">
        <f t="shared" ref="D46:Q46" ca="1" si="5">SUM(D39:D45)</f>
        <v>0</v>
      </c>
      <c r="E46" s="698">
        <f t="shared" ca="1" si="5"/>
        <v>13225.608801653267</v>
      </c>
      <c r="F46" s="698">
        <f t="shared" si="5"/>
        <v>312.73894984932303</v>
      </c>
      <c r="G46" s="698">
        <f t="shared" ca="1" si="5"/>
        <v>6634.5574495627925</v>
      </c>
      <c r="H46" s="698">
        <f t="shared" si="5"/>
        <v>0</v>
      </c>
      <c r="I46" s="698">
        <f t="shared" si="5"/>
        <v>0</v>
      </c>
      <c r="J46" s="698">
        <f t="shared" si="5"/>
        <v>0</v>
      </c>
      <c r="K46" s="698">
        <f t="shared" si="5"/>
        <v>37.972926136850312</v>
      </c>
      <c r="L46" s="698">
        <f t="shared" si="5"/>
        <v>0</v>
      </c>
      <c r="M46" s="698">
        <f t="shared" ca="1" si="5"/>
        <v>0</v>
      </c>
      <c r="N46" s="698">
        <f t="shared" si="5"/>
        <v>0</v>
      </c>
      <c r="O46" s="698">
        <f t="shared" ca="1" si="5"/>
        <v>0</v>
      </c>
      <c r="P46" s="698">
        <f t="shared" si="5"/>
        <v>0</v>
      </c>
      <c r="Q46" s="698">
        <f t="shared" si="5"/>
        <v>0</v>
      </c>
      <c r="R46" s="698">
        <f ca="1">SUM(R39:R45)</f>
        <v>26898.782114758189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1.0568661191207029</v>
      </c>
      <c r="D49" s="971">
        <f ca="1">transport!C58</f>
        <v>0</v>
      </c>
      <c r="E49" s="971">
        <f>transport!D58</f>
        <v>0</v>
      </c>
      <c r="F49" s="971">
        <f>transport!E58</f>
        <v>0</v>
      </c>
      <c r="G49" s="971">
        <f>transport!F58</f>
        <v>0</v>
      </c>
      <c r="H49" s="971">
        <f>transport!G58</f>
        <v>122.92887236991211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123.98573848903281</v>
      </c>
    </row>
    <row r="50" spans="1:18">
      <c r="A50" s="791" t="s">
        <v>295</v>
      </c>
      <c r="B50" s="801"/>
      <c r="C50" s="669">
        <f ca="1">transport!B18</f>
        <v>5.6521463629027986</v>
      </c>
      <c r="D50" s="669">
        <f>transport!C18</f>
        <v>0</v>
      </c>
      <c r="E50" s="669">
        <f>transport!D18</f>
        <v>9.1980857011245565</v>
      </c>
      <c r="F50" s="669">
        <f>transport!E18</f>
        <v>18.039454631859318</v>
      </c>
      <c r="G50" s="669">
        <f>transport!F18</f>
        <v>0</v>
      </c>
      <c r="H50" s="669">
        <f>transport!G18</f>
        <v>8509.4129018870972</v>
      </c>
      <c r="I50" s="669">
        <f>transport!H18</f>
        <v>1824.6716021668663</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10366.97419074985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6.7090124820235015</v>
      </c>
      <c r="D52" s="698">
        <f t="shared" ref="D52:Q52" ca="1" si="6">SUM(D48:D51)</f>
        <v>0</v>
      </c>
      <c r="E52" s="698">
        <f t="shared" si="6"/>
        <v>9.1980857011245565</v>
      </c>
      <c r="F52" s="698">
        <f t="shared" si="6"/>
        <v>18.039454631859318</v>
      </c>
      <c r="G52" s="698">
        <f t="shared" si="6"/>
        <v>0</v>
      </c>
      <c r="H52" s="698">
        <f t="shared" si="6"/>
        <v>8632.3417742570091</v>
      </c>
      <c r="I52" s="698">
        <f t="shared" si="6"/>
        <v>1824.6716021668663</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10490.959929238883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210.26407661882067</v>
      </c>
      <c r="D54" s="669">
        <f ca="1">+landbouw!C12</f>
        <v>7773.0957983193293</v>
      </c>
      <c r="E54" s="669">
        <f>+landbouw!D12</f>
        <v>0</v>
      </c>
      <c r="F54" s="669">
        <f>+landbouw!E12</f>
        <v>6.5059005108287948</v>
      </c>
      <c r="G54" s="669">
        <f>+landbouw!F12</f>
        <v>1084.5803617115137</v>
      </c>
      <c r="H54" s="669">
        <f>+landbouw!G12</f>
        <v>0</v>
      </c>
      <c r="I54" s="669">
        <f>+landbouw!H12</f>
        <v>0</v>
      </c>
      <c r="J54" s="669">
        <f>+landbouw!I12</f>
        <v>0</v>
      </c>
      <c r="K54" s="669">
        <f>+landbouw!J12</f>
        <v>50.008533593802824</v>
      </c>
      <c r="L54" s="669">
        <f>+landbouw!K12</f>
        <v>0</v>
      </c>
      <c r="M54" s="669">
        <f>+landbouw!L12</f>
        <v>0</v>
      </c>
      <c r="N54" s="669">
        <f>+landbouw!M12</f>
        <v>0</v>
      </c>
      <c r="O54" s="669">
        <f>+landbouw!N12</f>
        <v>0</v>
      </c>
      <c r="P54" s="669">
        <f>+landbouw!O12</f>
        <v>0</v>
      </c>
      <c r="Q54" s="670">
        <f>+landbouw!P12</f>
        <v>0</v>
      </c>
      <c r="R54" s="697">
        <f ca="1">SUM(C54:Q54)</f>
        <v>9124.4546707542941</v>
      </c>
    </row>
    <row r="55" spans="1:18" ht="15" thickBot="1">
      <c r="A55" s="791" t="s">
        <v>802</v>
      </c>
      <c r="B55" s="801"/>
      <c r="C55" s="669">
        <f ca="1">C25*'EF ele_warmte'!B12</f>
        <v>205.15737883132431</v>
      </c>
      <c r="D55" s="669"/>
      <c r="E55" s="669">
        <f>E25*EF_CO2_aardgas</f>
        <v>401.17153326155534</v>
      </c>
      <c r="F55" s="669"/>
      <c r="G55" s="669"/>
      <c r="H55" s="669"/>
      <c r="I55" s="669"/>
      <c r="J55" s="669"/>
      <c r="K55" s="669"/>
      <c r="L55" s="669"/>
      <c r="M55" s="669"/>
      <c r="N55" s="669"/>
      <c r="O55" s="669"/>
      <c r="P55" s="669"/>
      <c r="Q55" s="670"/>
      <c r="R55" s="697">
        <f ca="1">SUM(C55:Q55)</f>
        <v>606.32891209287959</v>
      </c>
    </row>
    <row r="56" spans="1:18" ht="15.75" thickBot="1">
      <c r="A56" s="789" t="s">
        <v>803</v>
      </c>
      <c r="B56" s="802"/>
      <c r="C56" s="698">
        <f ca="1">SUM(C54:C55)</f>
        <v>415.421455450145</v>
      </c>
      <c r="D56" s="698">
        <f t="shared" ref="D56:Q56" ca="1" si="7">SUM(D54:D55)</f>
        <v>7773.0957983193293</v>
      </c>
      <c r="E56" s="698">
        <f t="shared" si="7"/>
        <v>401.17153326155534</v>
      </c>
      <c r="F56" s="698">
        <f t="shared" si="7"/>
        <v>6.5059005108287948</v>
      </c>
      <c r="G56" s="698">
        <f t="shared" si="7"/>
        <v>1084.5803617115137</v>
      </c>
      <c r="H56" s="698">
        <f t="shared" si="7"/>
        <v>0</v>
      </c>
      <c r="I56" s="698">
        <f t="shared" si="7"/>
        <v>0</v>
      </c>
      <c r="J56" s="698">
        <f t="shared" si="7"/>
        <v>0</v>
      </c>
      <c r="K56" s="698">
        <f t="shared" si="7"/>
        <v>50.008533593802824</v>
      </c>
      <c r="L56" s="698">
        <f t="shared" si="7"/>
        <v>0</v>
      </c>
      <c r="M56" s="698">
        <f t="shared" si="7"/>
        <v>0</v>
      </c>
      <c r="N56" s="698">
        <f t="shared" si="7"/>
        <v>0</v>
      </c>
      <c r="O56" s="698">
        <f t="shared" si="7"/>
        <v>0</v>
      </c>
      <c r="P56" s="698">
        <f t="shared" si="7"/>
        <v>0</v>
      </c>
      <c r="Q56" s="699">
        <f t="shared" si="7"/>
        <v>0</v>
      </c>
      <c r="R56" s="700">
        <f ca="1">SUM(R54:R55)</f>
        <v>9730.7835828471743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7110.034455488124</v>
      </c>
      <c r="D61" s="706">
        <f t="shared" ref="D61:Q61" ca="1" si="8">D46+D52+D56</f>
        <v>7773.0957983193293</v>
      </c>
      <c r="E61" s="706">
        <f t="shared" ca="1" si="8"/>
        <v>13635.978420615946</v>
      </c>
      <c r="F61" s="706">
        <f t="shared" si="8"/>
        <v>337.28430499201113</v>
      </c>
      <c r="G61" s="706">
        <f t="shared" ca="1" si="8"/>
        <v>7719.1378112743059</v>
      </c>
      <c r="H61" s="706">
        <f t="shared" si="8"/>
        <v>8632.3417742570091</v>
      </c>
      <c r="I61" s="706">
        <f t="shared" si="8"/>
        <v>1824.6716021668663</v>
      </c>
      <c r="J61" s="706">
        <f t="shared" si="8"/>
        <v>0</v>
      </c>
      <c r="K61" s="706">
        <f t="shared" si="8"/>
        <v>87.981459730653143</v>
      </c>
      <c r="L61" s="706">
        <f t="shared" si="8"/>
        <v>0</v>
      </c>
      <c r="M61" s="706">
        <f t="shared" ca="1" si="8"/>
        <v>0</v>
      </c>
      <c r="N61" s="706">
        <f t="shared" si="8"/>
        <v>0</v>
      </c>
      <c r="O61" s="706">
        <f t="shared" ca="1" si="8"/>
        <v>0</v>
      </c>
      <c r="P61" s="706">
        <f t="shared" si="8"/>
        <v>0</v>
      </c>
      <c r="Q61" s="706">
        <f t="shared" si="8"/>
        <v>0</v>
      </c>
      <c r="R61" s="706">
        <f ca="1">R46+R52+R56</f>
        <v>47120.525626844246</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0.21563946095232944</v>
      </c>
      <c r="D63" s="747">
        <f t="shared" ca="1" si="9"/>
        <v>0.23764705882352943</v>
      </c>
      <c r="E63" s="982">
        <f t="shared" ca="1" si="9"/>
        <v>0.20199999999999999</v>
      </c>
      <c r="F63" s="747">
        <f t="shared" si="9"/>
        <v>0.22699999999999998</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2524.4253857121053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22896</v>
      </c>
      <c r="D76" s="992">
        <f>'lokale energieproductie'!C8</f>
        <v>26936.470588235297</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5441.1670588235302</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2524.4253857121053</v>
      </c>
      <c r="C78" s="721">
        <f>SUM(C72:C77)</f>
        <v>22896</v>
      </c>
      <c r="D78" s="722">
        <f t="shared" ref="D78:H78" si="10">SUM(D76:D77)</f>
        <v>26936.470588235297</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5441.1670588235302</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32708.571428571431</v>
      </c>
      <c r="D87" s="743">
        <f>'lokale energieproductie'!C17</f>
        <v>38480.672268907569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7773.0957983193293</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32708.571428571431</v>
      </c>
      <c r="D90" s="721">
        <f t="shared" ref="D90:H90" si="12">SUM(D87:D89)</f>
        <v>38480.672268907569</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7773.0957983193293</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18214.924630213703</v>
      </c>
      <c r="C4" s="443">
        <f>huishoudens!C8</f>
        <v>0</v>
      </c>
      <c r="D4" s="443">
        <f>huishoudens!D8</f>
        <v>51620.301099542179</v>
      </c>
      <c r="E4" s="443">
        <f>huishoudens!E8</f>
        <v>866.27907349788927</v>
      </c>
      <c r="F4" s="443">
        <f>huishoudens!F8</f>
        <v>21947.628610005908</v>
      </c>
      <c r="G4" s="443">
        <f>huishoudens!G8</f>
        <v>0</v>
      </c>
      <c r="H4" s="443">
        <f>huishoudens!H8</f>
        <v>0</v>
      </c>
      <c r="I4" s="443">
        <f>huishoudens!I8</f>
        <v>0</v>
      </c>
      <c r="J4" s="443">
        <f>huishoudens!J8</f>
        <v>105.60952654050095</v>
      </c>
      <c r="K4" s="443">
        <f>huishoudens!K8</f>
        <v>0</v>
      </c>
      <c r="L4" s="443">
        <f>huishoudens!L8</f>
        <v>0</v>
      </c>
      <c r="M4" s="443">
        <f>huishoudens!M8</f>
        <v>0</v>
      </c>
      <c r="N4" s="443">
        <f>huishoudens!N8</f>
        <v>6616.6911535873687</v>
      </c>
      <c r="O4" s="443">
        <f>huishoudens!O8</f>
        <v>175.09333333333336</v>
      </c>
      <c r="P4" s="444">
        <f>huishoudens!P8</f>
        <v>629.20000000000005</v>
      </c>
      <c r="Q4" s="445">
        <f>SUM(B4:P4)</f>
        <v>100175.72742672088</v>
      </c>
    </row>
    <row r="5" spans="1:17">
      <c r="A5" s="442" t="s">
        <v>149</v>
      </c>
      <c r="B5" s="443">
        <f ca="1">tertiair!B16</f>
        <v>10273.58367323795</v>
      </c>
      <c r="C5" s="443">
        <f ca="1">tertiair!C16</f>
        <v>0</v>
      </c>
      <c r="D5" s="443">
        <f ca="1">tertiair!D16</f>
        <v>11829.59557806665</v>
      </c>
      <c r="E5" s="443">
        <f>tertiair!E16</f>
        <v>162.09781565741415</v>
      </c>
      <c r="F5" s="443">
        <f ca="1">tertiair!F16</f>
        <v>1899.7096437697121</v>
      </c>
      <c r="G5" s="443">
        <f>tertiair!G16</f>
        <v>0</v>
      </c>
      <c r="H5" s="443">
        <f>tertiair!H16</f>
        <v>0</v>
      </c>
      <c r="I5" s="443">
        <f>tertiair!I16</f>
        <v>0</v>
      </c>
      <c r="J5" s="443">
        <f>tertiair!J16</f>
        <v>4.1707856217868301E-2</v>
      </c>
      <c r="K5" s="443">
        <f>tertiair!K16</f>
        <v>0</v>
      </c>
      <c r="L5" s="443">
        <f ca="1">tertiair!L16</f>
        <v>0</v>
      </c>
      <c r="M5" s="443">
        <f>tertiair!M16</f>
        <v>0</v>
      </c>
      <c r="N5" s="443">
        <f ca="1">tertiair!N16</f>
        <v>1648.0803925386801</v>
      </c>
      <c r="O5" s="443">
        <f>tertiair!O16</f>
        <v>0</v>
      </c>
      <c r="P5" s="444">
        <f>tertiair!P16</f>
        <v>0</v>
      </c>
      <c r="Q5" s="442">
        <f t="shared" ref="Q5:Q14" ca="1" si="0">SUM(B5:P5)</f>
        <v>25813.108811126622</v>
      </c>
    </row>
    <row r="6" spans="1:17">
      <c r="A6" s="442" t="s">
        <v>187</v>
      </c>
      <c r="B6" s="443">
        <f>'openbare verlichting'!B8</f>
        <v>633.34199999999998</v>
      </c>
      <c r="C6" s="443"/>
      <c r="D6" s="443"/>
      <c r="E6" s="443"/>
      <c r="F6" s="443"/>
      <c r="G6" s="443"/>
      <c r="H6" s="443"/>
      <c r="I6" s="443"/>
      <c r="J6" s="443"/>
      <c r="K6" s="443"/>
      <c r="L6" s="443"/>
      <c r="M6" s="443"/>
      <c r="N6" s="443"/>
      <c r="O6" s="443"/>
      <c r="P6" s="444"/>
      <c r="Q6" s="442">
        <f t="shared" si="0"/>
        <v>633.34199999999998</v>
      </c>
    </row>
    <row r="7" spans="1:17">
      <c r="A7" s="442" t="s">
        <v>105</v>
      </c>
      <c r="B7" s="443">
        <f>landbouw!B8</f>
        <v>975.07235313161402</v>
      </c>
      <c r="C7" s="443">
        <f>landbouw!C8</f>
        <v>32708.571428571431</v>
      </c>
      <c r="D7" s="443">
        <f>landbouw!D8</f>
        <v>0</v>
      </c>
      <c r="E7" s="443">
        <f>landbouw!E8</f>
        <v>28.660354673254602</v>
      </c>
      <c r="F7" s="443">
        <f>landbouw!F8</f>
        <v>4062.0987330019234</v>
      </c>
      <c r="G7" s="443">
        <f>landbouw!G8</f>
        <v>0</v>
      </c>
      <c r="H7" s="443">
        <f>landbouw!H8</f>
        <v>0</v>
      </c>
      <c r="I7" s="443">
        <f>landbouw!I8</f>
        <v>0</v>
      </c>
      <c r="J7" s="443">
        <f>landbouw!J8</f>
        <v>141.26704405029048</v>
      </c>
      <c r="K7" s="443">
        <f>landbouw!K8</f>
        <v>0</v>
      </c>
      <c r="L7" s="443">
        <f>landbouw!L8</f>
        <v>0</v>
      </c>
      <c r="M7" s="443">
        <f>landbouw!M8</f>
        <v>0</v>
      </c>
      <c r="N7" s="443">
        <f>landbouw!N8</f>
        <v>0</v>
      </c>
      <c r="O7" s="443">
        <f>landbouw!O8</f>
        <v>0</v>
      </c>
      <c r="P7" s="444">
        <f>landbouw!P8</f>
        <v>0</v>
      </c>
      <c r="Q7" s="442">
        <f t="shared" si="0"/>
        <v>37915.669913428508</v>
      </c>
    </row>
    <row r="8" spans="1:17">
      <c r="A8" s="442" t="s">
        <v>621</v>
      </c>
      <c r="B8" s="443">
        <f>industrie!B18</f>
        <v>1892.4360336600139</v>
      </c>
      <c r="C8" s="443">
        <f>industrie!C18</f>
        <v>0</v>
      </c>
      <c r="D8" s="443">
        <f>industrie!D18</f>
        <v>2023.414221664767</v>
      </c>
      <c r="E8" s="443">
        <f>industrie!E18</f>
        <v>349.32773573158238</v>
      </c>
      <c r="F8" s="443">
        <f>industrie!F18</f>
        <v>1001.1915198677974</v>
      </c>
      <c r="G8" s="443">
        <f>industrie!G18</f>
        <v>0</v>
      </c>
      <c r="H8" s="443">
        <f>industrie!H18</f>
        <v>0</v>
      </c>
      <c r="I8" s="443">
        <f>industrie!I18</f>
        <v>0</v>
      </c>
      <c r="J8" s="443">
        <f>industrie!J18</f>
        <v>1.6169185322368684</v>
      </c>
      <c r="K8" s="443">
        <f>industrie!K18</f>
        <v>0</v>
      </c>
      <c r="L8" s="443">
        <f>industrie!L18</f>
        <v>0</v>
      </c>
      <c r="M8" s="443">
        <f>industrie!M18</f>
        <v>0</v>
      </c>
      <c r="N8" s="443">
        <f>industrie!N18</f>
        <v>138.24761705936828</v>
      </c>
      <c r="O8" s="443">
        <f>industrie!O18</f>
        <v>0</v>
      </c>
      <c r="P8" s="444">
        <f>industrie!P18</f>
        <v>0</v>
      </c>
      <c r="Q8" s="442">
        <f t="shared" si="0"/>
        <v>5406.2340465157658</v>
      </c>
    </row>
    <row r="9" spans="1:17" s="448" customFormat="1">
      <c r="A9" s="446" t="s">
        <v>547</v>
      </c>
      <c r="B9" s="447">
        <f>transport!B14</f>
        <v>26.211094842943872</v>
      </c>
      <c r="C9" s="447">
        <f>transport!C14</f>
        <v>0</v>
      </c>
      <c r="D9" s="447">
        <f>transport!D14</f>
        <v>45.535077728339388</v>
      </c>
      <c r="E9" s="447">
        <f>transport!E14</f>
        <v>79.468963135944122</v>
      </c>
      <c r="F9" s="447">
        <f>transport!F14</f>
        <v>0</v>
      </c>
      <c r="G9" s="447">
        <f>transport!G14</f>
        <v>31870.460306693247</v>
      </c>
      <c r="H9" s="447">
        <f>transport!H14</f>
        <v>7327.9984022765711</v>
      </c>
      <c r="I9" s="447">
        <f>transport!I14</f>
        <v>0</v>
      </c>
      <c r="J9" s="447">
        <f>transport!J14</f>
        <v>0</v>
      </c>
      <c r="K9" s="447">
        <f>transport!K14</f>
        <v>0</v>
      </c>
      <c r="L9" s="447">
        <f>transport!L14</f>
        <v>0</v>
      </c>
      <c r="M9" s="447">
        <f>transport!M14</f>
        <v>2077.7849071305036</v>
      </c>
      <c r="N9" s="447">
        <f>transport!N14</f>
        <v>0</v>
      </c>
      <c r="O9" s="447">
        <f>transport!O14</f>
        <v>0</v>
      </c>
      <c r="P9" s="447">
        <f>transport!P14</f>
        <v>0</v>
      </c>
      <c r="Q9" s="446">
        <f>SUM(B9:P9)</f>
        <v>41427.45875180755</v>
      </c>
    </row>
    <row r="10" spans="1:17">
      <c r="A10" s="442" t="s">
        <v>537</v>
      </c>
      <c r="B10" s="443">
        <f>transport!B54</f>
        <v>4.9010793963834853</v>
      </c>
      <c r="C10" s="443">
        <f>transport!C54</f>
        <v>0</v>
      </c>
      <c r="D10" s="443">
        <f>transport!D54</f>
        <v>0</v>
      </c>
      <c r="E10" s="443">
        <f>transport!E54</f>
        <v>0</v>
      </c>
      <c r="F10" s="443">
        <f>transport!F54</f>
        <v>0</v>
      </c>
      <c r="G10" s="443">
        <f>transport!G54</f>
        <v>460.40776168506409</v>
      </c>
      <c r="H10" s="443">
        <f>transport!H54</f>
        <v>0</v>
      </c>
      <c r="I10" s="443">
        <f>transport!I54</f>
        <v>0</v>
      </c>
      <c r="J10" s="443">
        <f>transport!J54</f>
        <v>0</v>
      </c>
      <c r="K10" s="443">
        <f>transport!K54</f>
        <v>0</v>
      </c>
      <c r="L10" s="443">
        <f>transport!L54</f>
        <v>0</v>
      </c>
      <c r="M10" s="443">
        <f>transport!M54</f>
        <v>26.513500613759902</v>
      </c>
      <c r="N10" s="443">
        <f>transport!N54</f>
        <v>0</v>
      </c>
      <c r="O10" s="443">
        <f>transport!O54</f>
        <v>0</v>
      </c>
      <c r="P10" s="444">
        <f>transport!P54</f>
        <v>0</v>
      </c>
      <c r="Q10" s="442">
        <f t="shared" si="0"/>
        <v>491.82234169520746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951.39070523218209</v>
      </c>
      <c r="C14" s="450"/>
      <c r="D14" s="450">
        <f>'SEAP template'!E25</f>
        <v>1985.99768941364</v>
      </c>
      <c r="E14" s="450"/>
      <c r="F14" s="450"/>
      <c r="G14" s="450"/>
      <c r="H14" s="450"/>
      <c r="I14" s="450"/>
      <c r="J14" s="450"/>
      <c r="K14" s="450"/>
      <c r="L14" s="450"/>
      <c r="M14" s="450"/>
      <c r="N14" s="450"/>
      <c r="O14" s="450"/>
      <c r="P14" s="451"/>
      <c r="Q14" s="442">
        <f t="shared" si="0"/>
        <v>2937.3883946458222</v>
      </c>
    </row>
    <row r="15" spans="1:17" s="452" customFormat="1">
      <c r="A15" s="997" t="s">
        <v>541</v>
      </c>
      <c r="B15" s="945">
        <f ca="1">SUM(B4:B14)</f>
        <v>32971.861569714791</v>
      </c>
      <c r="C15" s="945">
        <f t="shared" ref="C15:Q15" ca="1" si="1">SUM(C4:C14)</f>
        <v>32708.571428571431</v>
      </c>
      <c r="D15" s="945">
        <f t="shared" ca="1" si="1"/>
        <v>67504.843666415574</v>
      </c>
      <c r="E15" s="945">
        <f t="shared" si="1"/>
        <v>1485.8339426960845</v>
      </c>
      <c r="F15" s="945">
        <f t="shared" ca="1" si="1"/>
        <v>28910.628506645338</v>
      </c>
      <c r="G15" s="945">
        <f t="shared" si="1"/>
        <v>32330.86806837831</v>
      </c>
      <c r="H15" s="945">
        <f t="shared" si="1"/>
        <v>7327.9984022765711</v>
      </c>
      <c r="I15" s="945">
        <f t="shared" si="1"/>
        <v>0</v>
      </c>
      <c r="J15" s="945">
        <f t="shared" si="1"/>
        <v>248.53519697924617</v>
      </c>
      <c r="K15" s="945">
        <f t="shared" si="1"/>
        <v>0</v>
      </c>
      <c r="L15" s="945">
        <f t="shared" ca="1" si="1"/>
        <v>0</v>
      </c>
      <c r="M15" s="945">
        <f t="shared" si="1"/>
        <v>2104.2984077442634</v>
      </c>
      <c r="N15" s="945">
        <f t="shared" ca="1" si="1"/>
        <v>8403.0191631854177</v>
      </c>
      <c r="O15" s="945">
        <f t="shared" si="1"/>
        <v>175.09333333333336</v>
      </c>
      <c r="P15" s="945">
        <f t="shared" si="1"/>
        <v>629.20000000000005</v>
      </c>
      <c r="Q15" s="945">
        <f t="shared" ca="1" si="1"/>
        <v>214800.75168594037</v>
      </c>
    </row>
    <row r="17" spans="1:17">
      <c r="A17" s="453" t="s">
        <v>542</v>
      </c>
      <c r="B17" s="752">
        <f ca="1">huishoudens!B10</f>
        <v>0.21563946095232944</v>
      </c>
      <c r="C17" s="752">
        <f ca="1">huishoudens!C10</f>
        <v>0.23764705882352943</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3927.8565285465916</v>
      </c>
      <c r="C22" s="443">
        <f t="shared" ref="C22:C32" ca="1" si="3">C4*$C$17</f>
        <v>0</v>
      </c>
      <c r="D22" s="443">
        <f t="shared" ref="D22:D32" si="4">D4*$D$17</f>
        <v>10427.300822107522</v>
      </c>
      <c r="E22" s="443">
        <f t="shared" ref="E22:E32" si="5">E4*$E$17</f>
        <v>196.64534968402086</v>
      </c>
      <c r="F22" s="443">
        <f t="shared" ref="F22:F32" si="6">F4*$F$17</f>
        <v>5860.0168388715774</v>
      </c>
      <c r="G22" s="443">
        <f t="shared" ref="G22:G32" si="7">G4*$G$17</f>
        <v>0</v>
      </c>
      <c r="H22" s="443">
        <f t="shared" ref="H22:H32" si="8">H4*$H$17</f>
        <v>0</v>
      </c>
      <c r="I22" s="443">
        <f t="shared" ref="I22:I32" si="9">I4*$I$17</f>
        <v>0</v>
      </c>
      <c r="J22" s="443">
        <f t="shared" ref="J22:J32" si="10">J4*$J$17</f>
        <v>37.385772395337334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20449.205311605048</v>
      </c>
    </row>
    <row r="23" spans="1:17">
      <c r="A23" s="442" t="s">
        <v>149</v>
      </c>
      <c r="B23" s="443">
        <f t="shared" ca="1" si="2"/>
        <v>2215.3900453456845</v>
      </c>
      <c r="C23" s="443">
        <f t="shared" ca="1" si="3"/>
        <v>0</v>
      </c>
      <c r="D23" s="443">
        <f t="shared" ca="1" si="4"/>
        <v>2389.5783067694633</v>
      </c>
      <c r="E23" s="443">
        <f t="shared" si="5"/>
        <v>36.79620415423301</v>
      </c>
      <c r="F23" s="443">
        <f t="shared" ca="1" si="6"/>
        <v>507.22247488651317</v>
      </c>
      <c r="G23" s="443">
        <f t="shared" si="7"/>
        <v>0</v>
      </c>
      <c r="H23" s="443">
        <f t="shared" si="8"/>
        <v>0</v>
      </c>
      <c r="I23" s="443">
        <f t="shared" si="9"/>
        <v>0</v>
      </c>
      <c r="J23" s="443">
        <f t="shared" si="10"/>
        <v>1.4764581101125378E-2</v>
      </c>
      <c r="K23" s="443">
        <f t="shared" si="11"/>
        <v>0</v>
      </c>
      <c r="L23" s="443">
        <f t="shared" ca="1" si="12"/>
        <v>0</v>
      </c>
      <c r="M23" s="443">
        <f t="shared" si="13"/>
        <v>0</v>
      </c>
      <c r="N23" s="443">
        <f t="shared" ca="1" si="14"/>
        <v>0</v>
      </c>
      <c r="O23" s="443">
        <f t="shared" si="15"/>
        <v>0</v>
      </c>
      <c r="P23" s="444">
        <f t="shared" si="16"/>
        <v>0</v>
      </c>
      <c r="Q23" s="442">
        <f t="shared" ref="Q23:Q32" ca="1" si="17">SUM(B23:P23)</f>
        <v>5149.0017957369946</v>
      </c>
    </row>
    <row r="24" spans="1:17">
      <c r="A24" s="442" t="s">
        <v>187</v>
      </c>
      <c r="B24" s="443">
        <f t="shared" ca="1" si="2"/>
        <v>136.57352747847023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136.57352747847023</v>
      </c>
    </row>
    <row r="25" spans="1:17">
      <c r="A25" s="442" t="s">
        <v>105</v>
      </c>
      <c r="B25" s="443">
        <f t="shared" ca="1" si="2"/>
        <v>210.26407661882067</v>
      </c>
      <c r="C25" s="443">
        <f t="shared" ca="1" si="3"/>
        <v>7773.0957983193293</v>
      </c>
      <c r="D25" s="443">
        <f t="shared" si="4"/>
        <v>0</v>
      </c>
      <c r="E25" s="443">
        <f t="shared" si="5"/>
        <v>6.5059005108287948</v>
      </c>
      <c r="F25" s="443">
        <f t="shared" si="6"/>
        <v>1084.5803617115137</v>
      </c>
      <c r="G25" s="443">
        <f t="shared" si="7"/>
        <v>0</v>
      </c>
      <c r="H25" s="443">
        <f t="shared" si="8"/>
        <v>0</v>
      </c>
      <c r="I25" s="443">
        <f t="shared" si="9"/>
        <v>0</v>
      </c>
      <c r="J25" s="443">
        <f t="shared" si="10"/>
        <v>50.008533593802824</v>
      </c>
      <c r="K25" s="443">
        <f t="shared" si="11"/>
        <v>0</v>
      </c>
      <c r="L25" s="443">
        <f t="shared" si="12"/>
        <v>0</v>
      </c>
      <c r="M25" s="443">
        <f t="shared" si="13"/>
        <v>0</v>
      </c>
      <c r="N25" s="443">
        <f t="shared" si="14"/>
        <v>0</v>
      </c>
      <c r="O25" s="443">
        <f t="shared" si="15"/>
        <v>0</v>
      </c>
      <c r="P25" s="444">
        <f t="shared" si="16"/>
        <v>0</v>
      </c>
      <c r="Q25" s="442">
        <f t="shared" ca="1" si="17"/>
        <v>9124.4546707542941</v>
      </c>
    </row>
    <row r="26" spans="1:17">
      <c r="A26" s="442" t="s">
        <v>621</v>
      </c>
      <c r="B26" s="443">
        <f t="shared" ca="1" si="2"/>
        <v>408.08388618520979</v>
      </c>
      <c r="C26" s="443">
        <f t="shared" ca="1" si="3"/>
        <v>0</v>
      </c>
      <c r="D26" s="443">
        <f t="shared" si="4"/>
        <v>408.72967277628294</v>
      </c>
      <c r="E26" s="443">
        <f t="shared" si="5"/>
        <v>79.297396011069196</v>
      </c>
      <c r="F26" s="443">
        <f t="shared" si="6"/>
        <v>267.31813580470191</v>
      </c>
      <c r="G26" s="443">
        <f t="shared" si="7"/>
        <v>0</v>
      </c>
      <c r="H26" s="443">
        <f t="shared" si="8"/>
        <v>0</v>
      </c>
      <c r="I26" s="443">
        <f t="shared" si="9"/>
        <v>0</v>
      </c>
      <c r="J26" s="443">
        <f t="shared" si="10"/>
        <v>0.57238916041185139</v>
      </c>
      <c r="K26" s="443">
        <f t="shared" si="11"/>
        <v>0</v>
      </c>
      <c r="L26" s="443">
        <f t="shared" si="12"/>
        <v>0</v>
      </c>
      <c r="M26" s="443">
        <f t="shared" si="13"/>
        <v>0</v>
      </c>
      <c r="N26" s="443">
        <f t="shared" si="14"/>
        <v>0</v>
      </c>
      <c r="O26" s="443">
        <f t="shared" si="15"/>
        <v>0</v>
      </c>
      <c r="P26" s="444">
        <f t="shared" si="16"/>
        <v>0</v>
      </c>
      <c r="Q26" s="442">
        <f t="shared" ca="1" si="17"/>
        <v>1164.0014799376756</v>
      </c>
    </row>
    <row r="27" spans="1:17" s="448" customFormat="1">
      <c r="A27" s="446" t="s">
        <v>547</v>
      </c>
      <c r="B27" s="746">
        <f t="shared" ca="1" si="2"/>
        <v>5.6521463629027986</v>
      </c>
      <c r="C27" s="447">
        <f t="shared" ca="1" si="3"/>
        <v>0</v>
      </c>
      <c r="D27" s="447">
        <f t="shared" si="4"/>
        <v>9.1980857011245565</v>
      </c>
      <c r="E27" s="447">
        <f t="shared" si="5"/>
        <v>18.039454631859318</v>
      </c>
      <c r="F27" s="447">
        <f t="shared" si="6"/>
        <v>0</v>
      </c>
      <c r="G27" s="447">
        <f t="shared" si="7"/>
        <v>8509.4129018870972</v>
      </c>
      <c r="H27" s="447">
        <f t="shared" si="8"/>
        <v>1824.6716021668663</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10366.97419074985</v>
      </c>
    </row>
    <row r="28" spans="1:17">
      <c r="A28" s="442" t="s">
        <v>537</v>
      </c>
      <c r="B28" s="443">
        <f t="shared" ca="1" si="2"/>
        <v>1.0568661191207029</v>
      </c>
      <c r="C28" s="443">
        <f t="shared" ca="1" si="3"/>
        <v>0</v>
      </c>
      <c r="D28" s="443">
        <f t="shared" si="4"/>
        <v>0</v>
      </c>
      <c r="E28" s="443">
        <f t="shared" si="5"/>
        <v>0</v>
      </c>
      <c r="F28" s="443">
        <f t="shared" si="6"/>
        <v>0</v>
      </c>
      <c r="G28" s="443">
        <f t="shared" si="7"/>
        <v>122.92887236991211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123.98573848903281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205.15737883132431</v>
      </c>
      <c r="C32" s="443">
        <f t="shared" ca="1" si="3"/>
        <v>0</v>
      </c>
      <c r="D32" s="443">
        <f t="shared" si="4"/>
        <v>401.17153326155534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606.32891209287959</v>
      </c>
    </row>
    <row r="33" spans="1:17" s="452" customFormat="1">
      <c r="A33" s="997" t="s">
        <v>541</v>
      </c>
      <c r="B33" s="945">
        <f ca="1">SUM(B22:B32)</f>
        <v>7110.0344554881249</v>
      </c>
      <c r="C33" s="945">
        <f t="shared" ref="C33:Q33" ca="1" si="18">SUM(C22:C32)</f>
        <v>7773.0957983193293</v>
      </c>
      <c r="D33" s="945">
        <f t="shared" ca="1" si="18"/>
        <v>13635.978420615946</v>
      </c>
      <c r="E33" s="945">
        <f t="shared" si="18"/>
        <v>337.28430499201119</v>
      </c>
      <c r="F33" s="945">
        <f t="shared" ca="1" si="18"/>
        <v>7719.1378112743059</v>
      </c>
      <c r="G33" s="945">
        <f t="shared" si="18"/>
        <v>8632.3417742570091</v>
      </c>
      <c r="H33" s="945">
        <f t="shared" si="18"/>
        <v>1824.6716021668663</v>
      </c>
      <c r="I33" s="945">
        <f t="shared" si="18"/>
        <v>0</v>
      </c>
      <c r="J33" s="945">
        <f t="shared" si="18"/>
        <v>87.981459730653128</v>
      </c>
      <c r="K33" s="945">
        <f t="shared" si="18"/>
        <v>0</v>
      </c>
      <c r="L33" s="945">
        <f t="shared" ca="1" si="18"/>
        <v>0</v>
      </c>
      <c r="M33" s="945">
        <f t="shared" si="18"/>
        <v>0</v>
      </c>
      <c r="N33" s="945">
        <f t="shared" ca="1" si="18"/>
        <v>0</v>
      </c>
      <c r="O33" s="945">
        <f t="shared" si="18"/>
        <v>0</v>
      </c>
      <c r="P33" s="945">
        <f t="shared" si="18"/>
        <v>0</v>
      </c>
      <c r="Q33" s="945">
        <f t="shared" ca="1" si="18"/>
        <v>47120.525626844246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2524.4253857121053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22896</v>
      </c>
      <c r="D8" s="1014">
        <f>'SEAP template'!D76</f>
        <v>26936.470588235297</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5441.1670588235302</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2524.4253857121053</v>
      </c>
      <c r="C10" s="1018">
        <f>SUM(C4:C9)</f>
        <v>22896</v>
      </c>
      <c r="D10" s="1018">
        <f t="shared" ref="D10:H10" si="0">SUM(D8:D9)</f>
        <v>26936.470588235297</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5441.1670588235302</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0.21563946095232944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32708.571428571431</v>
      </c>
      <c r="D17" s="1015">
        <f>'SEAP template'!D87</f>
        <v>38480.672268907569</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7773.0957983193293</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32708.571428571431</v>
      </c>
      <c r="D20" s="1018">
        <f t="shared" ref="D20:H20" si="2">SUM(D17:D19)</f>
        <v>38480.672268907569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7773.0957983193293</v>
      </c>
    </row>
    <row r="22" spans="1:16">
      <c r="A22" s="453" t="s">
        <v>827</v>
      </c>
      <c r="B22" s="752" t="s">
        <v>821</v>
      </c>
      <c r="C22" s="752">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0.21563946095232944</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0.21563946095232944</v>
      </c>
      <c r="C17" s="490">
        <f ca="1">'EF ele_warmte'!B22</f>
        <v>0.23764705882352943</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0.21563946095232944</v>
      </c>
      <c r="C29" s="491">
        <f ca="1">'EF ele_warmte'!B22</f>
        <v>0.23764705882352943</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4625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1315.84</v>
      </c>
      <c r="C14" s="324"/>
      <c r="D14" s="324"/>
      <c r="E14" s="324"/>
      <c r="F14" s="324"/>
    </row>
    <row r="15" spans="1:6">
      <c r="A15" s="1289" t="s">
        <v>177</v>
      </c>
      <c r="B15" s="1290">
        <v>13</v>
      </c>
      <c r="C15" s="324"/>
      <c r="D15" s="324"/>
      <c r="E15" s="324"/>
      <c r="F15" s="324"/>
    </row>
    <row r="16" spans="1:6">
      <c r="A16" s="1289" t="s">
        <v>6</v>
      </c>
      <c r="B16" s="1290">
        <v>626</v>
      </c>
      <c r="C16" s="324"/>
      <c r="D16" s="324"/>
      <c r="E16" s="324"/>
      <c r="F16" s="324"/>
    </row>
    <row r="17" spans="1:6">
      <c r="A17" s="1289" t="s">
        <v>7</v>
      </c>
      <c r="B17" s="1290">
        <v>71</v>
      </c>
      <c r="C17" s="324"/>
      <c r="D17" s="324"/>
      <c r="E17" s="324"/>
      <c r="F17" s="324"/>
    </row>
    <row r="18" spans="1:6">
      <c r="A18" s="1289" t="s">
        <v>8</v>
      </c>
      <c r="B18" s="1290">
        <v>441</v>
      </c>
      <c r="C18" s="324"/>
      <c r="D18" s="324"/>
      <c r="E18" s="324"/>
      <c r="F18" s="324"/>
    </row>
    <row r="19" spans="1:6">
      <c r="A19" s="1289" t="s">
        <v>9</v>
      </c>
      <c r="B19" s="1290">
        <v>382</v>
      </c>
      <c r="C19" s="324"/>
      <c r="D19" s="324"/>
      <c r="E19" s="324"/>
      <c r="F19" s="324"/>
    </row>
    <row r="20" spans="1:6">
      <c r="A20" s="1289" t="s">
        <v>10</v>
      </c>
      <c r="B20" s="1290">
        <v>231</v>
      </c>
      <c r="C20" s="324"/>
      <c r="D20" s="324"/>
      <c r="E20" s="324"/>
      <c r="F20" s="324"/>
    </row>
    <row r="21" spans="1:6">
      <c r="A21" s="1289" t="s">
        <v>11</v>
      </c>
      <c r="B21" s="1290">
        <v>579</v>
      </c>
      <c r="C21" s="324"/>
      <c r="D21" s="324"/>
      <c r="E21" s="324"/>
      <c r="F21" s="324"/>
    </row>
    <row r="22" spans="1:6">
      <c r="A22" s="1289" t="s">
        <v>12</v>
      </c>
      <c r="B22" s="1290">
        <v>2247</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380</v>
      </c>
      <c r="C26" s="324"/>
      <c r="D26" s="324"/>
      <c r="E26" s="324"/>
      <c r="F26" s="324"/>
    </row>
    <row r="27" spans="1:6">
      <c r="A27" s="1289" t="s">
        <v>17</v>
      </c>
      <c r="B27" s="1290">
        <v>5</v>
      </c>
      <c r="C27" s="324"/>
      <c r="D27" s="324"/>
      <c r="E27" s="324"/>
      <c r="F27" s="324"/>
    </row>
    <row r="28" spans="1:6">
      <c r="A28" s="1289" t="s">
        <v>18</v>
      </c>
      <c r="B28" s="1291">
        <v>0</v>
      </c>
      <c r="C28" s="324"/>
      <c r="D28" s="324"/>
      <c r="E28" s="324"/>
      <c r="F28" s="324"/>
    </row>
    <row r="29" spans="1:6">
      <c r="A29" s="1289" t="s">
        <v>716</v>
      </c>
      <c r="B29" s="1291">
        <v>148</v>
      </c>
      <c r="C29" s="324"/>
      <c r="D29" s="324"/>
      <c r="E29" s="324"/>
      <c r="F29" s="324"/>
    </row>
    <row r="30" spans="1:6">
      <c r="A30" s="1284" t="s">
        <v>717</v>
      </c>
      <c r="B30" s="1292">
        <v>47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1</v>
      </c>
      <c r="F38" s="1290">
        <v>2349.9360312164999</v>
      </c>
    </row>
    <row r="39" spans="1:6">
      <c r="A39" s="1289" t="s">
        <v>29</v>
      </c>
      <c r="B39" s="1289" t="s">
        <v>30</v>
      </c>
      <c r="C39" s="1290">
        <v>3266</v>
      </c>
      <c r="D39" s="1290">
        <v>57228715.187962502</v>
      </c>
      <c r="E39" s="1290">
        <v>4578</v>
      </c>
      <c r="F39" s="1290">
        <v>16154837.5669183</v>
      </c>
    </row>
    <row r="40" spans="1:6">
      <c r="A40" s="1289" t="s">
        <v>29</v>
      </c>
      <c r="B40" s="1289" t="s">
        <v>28</v>
      </c>
      <c r="C40" s="1290">
        <v>0</v>
      </c>
      <c r="D40" s="1290">
        <v>0</v>
      </c>
      <c r="E40" s="1290">
        <v>0</v>
      </c>
      <c r="F40" s="1290">
        <v>0</v>
      </c>
    </row>
    <row r="41" spans="1:6">
      <c r="A41" s="1289" t="s">
        <v>31</v>
      </c>
      <c r="B41" s="1289" t="s">
        <v>32</v>
      </c>
      <c r="C41" s="1290">
        <v>45</v>
      </c>
      <c r="D41" s="1290">
        <v>899417.439014373</v>
      </c>
      <c r="E41" s="1290">
        <v>103</v>
      </c>
      <c r="F41" s="1290">
        <v>1105819.05059409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6</v>
      </c>
      <c r="F44" s="1290">
        <v>60477.812456852997</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17</v>
      </c>
      <c r="D48" s="1290">
        <v>831650.23322380194</v>
      </c>
      <c r="E48" s="1290">
        <v>29</v>
      </c>
      <c r="F48" s="1290">
        <v>451655.62032179401</v>
      </c>
    </row>
    <row r="49" spans="1:6">
      <c r="A49" s="1289" t="s">
        <v>31</v>
      </c>
      <c r="B49" s="1289" t="s">
        <v>39</v>
      </c>
      <c r="C49" s="1290">
        <v>0</v>
      </c>
      <c r="D49" s="1290">
        <v>0</v>
      </c>
      <c r="E49" s="1290">
        <v>0</v>
      </c>
      <c r="F49" s="1290">
        <v>0</v>
      </c>
    </row>
    <row r="50" spans="1:6">
      <c r="A50" s="1289" t="s">
        <v>31</v>
      </c>
      <c r="B50" s="1289" t="s">
        <v>40</v>
      </c>
      <c r="C50" s="1290">
        <v>3</v>
      </c>
      <c r="D50" s="1290">
        <v>512185.34512852901</v>
      </c>
      <c r="E50" s="1290">
        <v>9</v>
      </c>
      <c r="F50" s="1290">
        <v>274483.55028727697</v>
      </c>
    </row>
    <row r="51" spans="1:6">
      <c r="A51" s="1289" t="s">
        <v>41</v>
      </c>
      <c r="B51" s="1289" t="s">
        <v>42</v>
      </c>
      <c r="C51" s="1290">
        <v>5</v>
      </c>
      <c r="D51" s="1290">
        <v>68337273.684161499</v>
      </c>
      <c r="E51" s="1290">
        <v>43</v>
      </c>
      <c r="F51" s="1290">
        <v>959957.88247088005</v>
      </c>
    </row>
    <row r="52" spans="1:6">
      <c r="A52" s="1289" t="s">
        <v>41</v>
      </c>
      <c r="B52" s="1289" t="s">
        <v>28</v>
      </c>
      <c r="C52" s="1290">
        <v>4</v>
      </c>
      <c r="D52" s="1290">
        <v>80021.715774690194</v>
      </c>
      <c r="E52" s="1290">
        <v>4</v>
      </c>
      <c r="F52" s="1290">
        <v>15114.470660733999</v>
      </c>
    </row>
    <row r="53" spans="1:6">
      <c r="A53" s="1289" t="s">
        <v>43</v>
      </c>
      <c r="B53" s="1289" t="s">
        <v>44</v>
      </c>
      <c r="C53" s="1290">
        <v>70</v>
      </c>
      <c r="D53" s="1290">
        <v>1985997.6894136399</v>
      </c>
      <c r="E53" s="1290">
        <v>219</v>
      </c>
      <c r="F53" s="1290">
        <v>951390.70523218205</v>
      </c>
    </row>
    <row r="54" spans="1:6">
      <c r="A54" s="1289" t="s">
        <v>45</v>
      </c>
      <c r="B54" s="1289" t="s">
        <v>46</v>
      </c>
      <c r="C54" s="1290">
        <v>0</v>
      </c>
      <c r="D54" s="1290">
        <v>0</v>
      </c>
      <c r="E54" s="1290">
        <v>1</v>
      </c>
      <c r="F54" s="1290">
        <v>633342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27</v>
      </c>
      <c r="D57" s="1290">
        <v>611629.16395871702</v>
      </c>
      <c r="E57" s="1290">
        <v>57</v>
      </c>
      <c r="F57" s="1290">
        <v>1617994.88088712</v>
      </c>
    </row>
    <row r="58" spans="1:6">
      <c r="A58" s="1289" t="s">
        <v>48</v>
      </c>
      <c r="B58" s="1289" t="s">
        <v>50</v>
      </c>
      <c r="C58" s="1290">
        <v>11</v>
      </c>
      <c r="D58" s="1290">
        <v>2164810.17473015</v>
      </c>
      <c r="E58" s="1290">
        <v>14</v>
      </c>
      <c r="F58" s="1290">
        <v>290398.88185524498</v>
      </c>
    </row>
    <row r="59" spans="1:6">
      <c r="A59" s="1289" t="s">
        <v>48</v>
      </c>
      <c r="B59" s="1289" t="s">
        <v>51</v>
      </c>
      <c r="C59" s="1290">
        <v>50</v>
      </c>
      <c r="D59" s="1290">
        <v>1743843.1902955801</v>
      </c>
      <c r="E59" s="1290">
        <v>96</v>
      </c>
      <c r="F59" s="1290">
        <v>3161502.8628102602</v>
      </c>
    </row>
    <row r="60" spans="1:6">
      <c r="A60" s="1289" t="s">
        <v>48</v>
      </c>
      <c r="B60" s="1289" t="s">
        <v>52</v>
      </c>
      <c r="C60" s="1290">
        <v>32</v>
      </c>
      <c r="D60" s="1290">
        <v>1201809.57672492</v>
      </c>
      <c r="E60" s="1290">
        <v>46</v>
      </c>
      <c r="F60" s="1290">
        <v>816443.32568285498</v>
      </c>
    </row>
    <row r="61" spans="1:6">
      <c r="A61" s="1289" t="s">
        <v>48</v>
      </c>
      <c r="B61" s="1289" t="s">
        <v>53</v>
      </c>
      <c r="C61" s="1290">
        <v>104</v>
      </c>
      <c r="D61" s="1290">
        <v>3574941.55846661</v>
      </c>
      <c r="E61" s="1290">
        <v>161</v>
      </c>
      <c r="F61" s="1290">
        <v>1666838.5743406699</v>
      </c>
    </row>
    <row r="62" spans="1:6">
      <c r="A62" s="1289" t="s">
        <v>48</v>
      </c>
      <c r="B62" s="1289" t="s">
        <v>54</v>
      </c>
      <c r="C62" s="1290">
        <v>5</v>
      </c>
      <c r="D62" s="1290">
        <v>283143.409094384</v>
      </c>
      <c r="E62" s="1290">
        <v>0</v>
      </c>
      <c r="F62" s="1290">
        <v>0</v>
      </c>
    </row>
    <row r="63" spans="1:6">
      <c r="A63" s="1289" t="s">
        <v>48</v>
      </c>
      <c r="B63" s="1289" t="s">
        <v>28</v>
      </c>
      <c r="C63" s="1290">
        <v>72</v>
      </c>
      <c r="D63" s="1290">
        <v>3534673.9001959902</v>
      </c>
      <c r="E63" s="1290">
        <v>96</v>
      </c>
      <c r="F63" s="1290">
        <v>2720405.1476618</v>
      </c>
    </row>
    <row r="64" spans="1:6">
      <c r="A64" s="1289" t="s">
        <v>55</v>
      </c>
      <c r="B64" s="1289" t="s">
        <v>56</v>
      </c>
      <c r="C64" s="1290">
        <v>0</v>
      </c>
      <c r="D64" s="1290">
        <v>0</v>
      </c>
      <c r="E64" s="1290">
        <v>0</v>
      </c>
      <c r="F64" s="1290">
        <v>0</v>
      </c>
    </row>
    <row r="65" spans="1:6">
      <c r="A65" s="1289" t="s">
        <v>55</v>
      </c>
      <c r="B65" s="1289" t="s">
        <v>28</v>
      </c>
      <c r="C65" s="1290">
        <v>2</v>
      </c>
      <c r="D65" s="1290">
        <v>32060.925627320201</v>
      </c>
      <c r="E65" s="1290">
        <v>3</v>
      </c>
      <c r="F65" s="1290">
        <v>61541.759009672001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6</v>
      </c>
      <c r="F68" s="1292">
        <v>42990.742328095599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44949227</v>
      </c>
      <c r="E73" s="441"/>
      <c r="F73" s="324"/>
    </row>
    <row r="74" spans="1:6">
      <c r="A74" s="1289" t="s">
        <v>63</v>
      </c>
      <c r="B74" s="1289" t="s">
        <v>642</v>
      </c>
      <c r="C74" s="1302" t="s">
        <v>644</v>
      </c>
      <c r="D74" s="1290">
        <v>3254231.5</v>
      </c>
      <c r="E74" s="441"/>
      <c r="F74" s="324"/>
    </row>
    <row r="75" spans="1:6">
      <c r="A75" s="1289" t="s">
        <v>64</v>
      </c>
      <c r="B75" s="1289" t="s">
        <v>641</v>
      </c>
      <c r="C75" s="1302" t="s">
        <v>645</v>
      </c>
      <c r="D75" s="1290">
        <v>6275202</v>
      </c>
      <c r="E75" s="441"/>
      <c r="F75" s="324"/>
    </row>
    <row r="76" spans="1:6">
      <c r="A76" s="1289" t="s">
        <v>64</v>
      </c>
      <c r="B76" s="1289" t="s">
        <v>642</v>
      </c>
      <c r="C76" s="1302" t="s">
        <v>646</v>
      </c>
      <c r="D76" s="1290">
        <v>31390.5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133769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2060.0870632954047</v>
      </c>
      <c r="C91" s="324"/>
      <c r="D91" s="324"/>
      <c r="E91" s="324"/>
      <c r="F91" s="324"/>
    </row>
    <row r="92" spans="1:6">
      <c r="A92" s="1284" t="s">
        <v>68</v>
      </c>
      <c r="B92" s="1285">
        <v>464.33832241670041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2012</v>
      </c>
      <c r="C97" s="324"/>
      <c r="D97" s="324"/>
      <c r="E97" s="324"/>
      <c r="F97" s="324"/>
    </row>
    <row r="98" spans="1:6">
      <c r="A98" s="1289" t="s">
        <v>71</v>
      </c>
      <c r="B98" s="1290">
        <v>4</v>
      </c>
      <c r="C98" s="324"/>
      <c r="D98" s="324"/>
      <c r="E98" s="324"/>
      <c r="F98" s="324"/>
    </row>
    <row r="99" spans="1:6">
      <c r="A99" s="1289" t="s">
        <v>72</v>
      </c>
      <c r="B99" s="1290">
        <v>39</v>
      </c>
      <c r="C99" s="324"/>
      <c r="D99" s="324"/>
      <c r="E99" s="324"/>
      <c r="F99" s="324"/>
    </row>
    <row r="100" spans="1:6">
      <c r="A100" s="1289" t="s">
        <v>73</v>
      </c>
      <c r="B100" s="1290">
        <v>182</v>
      </c>
      <c r="C100" s="324"/>
      <c r="D100" s="324"/>
      <c r="E100" s="324"/>
      <c r="F100" s="324"/>
    </row>
    <row r="101" spans="1:6">
      <c r="A101" s="1289" t="s">
        <v>74</v>
      </c>
      <c r="B101" s="1290">
        <v>46</v>
      </c>
      <c r="C101" s="324"/>
      <c r="D101" s="324"/>
      <c r="E101" s="324"/>
      <c r="F101" s="324"/>
    </row>
    <row r="102" spans="1:6">
      <c r="A102" s="1289" t="s">
        <v>75</v>
      </c>
      <c r="B102" s="1290">
        <v>34</v>
      </c>
      <c r="C102" s="324"/>
      <c r="D102" s="324"/>
      <c r="E102" s="324"/>
      <c r="F102" s="324"/>
    </row>
    <row r="103" spans="1:6">
      <c r="A103" s="1289" t="s">
        <v>76</v>
      </c>
      <c r="B103" s="1290">
        <v>111</v>
      </c>
      <c r="C103" s="324"/>
      <c r="D103" s="324"/>
      <c r="E103" s="324"/>
      <c r="F103" s="324"/>
    </row>
    <row r="104" spans="1:6">
      <c r="A104" s="1289" t="s">
        <v>77</v>
      </c>
      <c r="B104" s="1290">
        <v>1499</v>
      </c>
      <c r="C104" s="324"/>
      <c r="D104" s="324"/>
      <c r="E104" s="324"/>
      <c r="F104" s="324"/>
    </row>
    <row r="105" spans="1:6">
      <c r="A105" s="1284" t="s">
        <v>78</v>
      </c>
      <c r="B105" s="1292">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18</v>
      </c>
      <c r="C123" s="1290">
        <v>31</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80</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32971.861569714791</v>
      </c>
      <c r="C3" s="43" t="s">
        <v>163</v>
      </c>
      <c r="D3" s="43"/>
      <c r="E3" s="154"/>
      <c r="F3" s="43"/>
      <c r="G3" s="43"/>
      <c r="H3" s="43"/>
      <c r="I3" s="43"/>
      <c r="J3" s="43"/>
      <c r="K3" s="96"/>
    </row>
    <row r="4" spans="1:11">
      <c r="A4" s="350" t="s">
        <v>164</v>
      </c>
      <c r="B4" s="49">
        <f>IF(ISERROR('SEAP template'!B78+'SEAP template'!C78),0,'SEAP template'!B78+'SEAP template'!C78)</f>
        <v>25420.425385712104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5441.1670588235302</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0.21563946095232944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7773.0957983193293</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32708.571428571431</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0.23764705882352943</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633.34199999999998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633.34199999999998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0.21563946095232944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136.57352747847023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16154.837566918301</v>
      </c>
      <c r="C5" s="17">
        <f>IF(ISERROR('Eigen informatie GS &amp; warmtenet'!B57),0,'Eigen informatie GS &amp; warmtenet'!B57)</f>
        <v>0</v>
      </c>
      <c r="D5" s="30">
        <f>(SUM(HH_hh_gas_kWh,HH_rest_gas_kWh)/1000)*0.902</f>
        <v>51620.301099542179</v>
      </c>
      <c r="E5" s="17">
        <f>B32*B41</f>
        <v>866.27907349788927</v>
      </c>
      <c r="F5" s="17">
        <f>B36*B45</f>
        <v>21947.628610005908</v>
      </c>
      <c r="G5" s="18"/>
      <c r="H5" s="17"/>
      <c r="I5" s="17"/>
      <c r="J5" s="17">
        <f>B35*B44+C35*C44</f>
        <v>105.60952654050095</v>
      </c>
      <c r="K5" s="17"/>
      <c r="L5" s="17"/>
      <c r="M5" s="17"/>
      <c r="N5" s="17">
        <f>B34*B43+C34*C43</f>
        <v>6616.6911535873687</v>
      </c>
      <c r="O5" s="17">
        <f>B52*B53*B54</f>
        <v>175.09333333333336</v>
      </c>
      <c r="P5" s="17">
        <f>B60*B61*B62/1000-B60*B61*B62/1000/B63</f>
        <v>629.20000000000005</v>
      </c>
    </row>
    <row r="6" spans="1:16">
      <c r="A6" s="16" t="s">
        <v>607</v>
      </c>
      <c r="B6" s="754">
        <f>kWh_PV_kleiner_dan_10kW</f>
        <v>2060.0870632954047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18214.924630213703</v>
      </c>
      <c r="C8" s="21">
        <f>C5</f>
        <v>0</v>
      </c>
      <c r="D8" s="21">
        <f>D5</f>
        <v>51620.301099542179</v>
      </c>
      <c r="E8" s="21">
        <f>E5</f>
        <v>866.27907349788927</v>
      </c>
      <c r="F8" s="21">
        <f>F5</f>
        <v>21947.628610005908</v>
      </c>
      <c r="G8" s="21"/>
      <c r="H8" s="21"/>
      <c r="I8" s="21"/>
      <c r="J8" s="21">
        <f>J5</f>
        <v>105.60952654050095</v>
      </c>
      <c r="K8" s="21"/>
      <c r="L8" s="21">
        <f>L5</f>
        <v>0</v>
      </c>
      <c r="M8" s="21">
        <f>M5</f>
        <v>0</v>
      </c>
      <c r="N8" s="21">
        <f>N5</f>
        <v>6616.6911535873687</v>
      </c>
      <c r="O8" s="21">
        <f>O5</f>
        <v>175.09333333333336</v>
      </c>
      <c r="P8" s="21">
        <f>P5</f>
        <v>629.20000000000005</v>
      </c>
    </row>
    <row r="9" spans="1:16">
      <c r="B9" s="19"/>
      <c r="C9" s="19"/>
      <c r="D9" s="254"/>
      <c r="E9" s="19"/>
      <c r="F9" s="19"/>
      <c r="G9" s="19"/>
      <c r="H9" s="19"/>
      <c r="I9" s="19"/>
      <c r="J9" s="19"/>
      <c r="K9" s="19"/>
      <c r="L9" s="19"/>
      <c r="M9" s="19"/>
      <c r="N9" s="19"/>
      <c r="O9" s="19"/>
      <c r="P9" s="19"/>
    </row>
    <row r="10" spans="1:16">
      <c r="A10" s="24" t="s">
        <v>207</v>
      </c>
      <c r="B10" s="25">
        <f ca="1">'EF ele_warmte'!B12</f>
        <v>0.21563946095232944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3927.8565285465916</v>
      </c>
      <c r="C12" s="23">
        <f ca="1">C10*C8</f>
        <v>0</v>
      </c>
      <c r="D12" s="23">
        <f>D8*D10</f>
        <v>10427.300822107522</v>
      </c>
      <c r="E12" s="23">
        <f>E10*E8</f>
        <v>196.64534968402086</v>
      </c>
      <c r="F12" s="23">
        <f>F10*F8</f>
        <v>5860.0168388715774</v>
      </c>
      <c r="G12" s="23"/>
      <c r="H12" s="23"/>
      <c r="I12" s="23"/>
      <c r="J12" s="23">
        <f>J10*J8</f>
        <v>37.385772395337334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4625</v>
      </c>
      <c r="C26" s="36"/>
      <c r="D26" s="225"/>
    </row>
    <row r="27" spans="1:5" s="15" customFormat="1">
      <c r="A27" s="227" t="s">
        <v>762</v>
      </c>
      <c r="B27" s="37">
        <f>SUM(HH_hh_gas_aantal,HH_rest_gas_aantal)</f>
        <v>3266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3102.7</v>
      </c>
      <c r="C31" s="34" t="s">
        <v>104</v>
      </c>
      <c r="D31" s="171"/>
    </row>
    <row r="32" spans="1:5">
      <c r="A32" s="168" t="s">
        <v>72</v>
      </c>
      <c r="B32" s="33">
        <f>IF((B21*($B$26-($B$27-0.05*$B$27)-$B$60))&lt;0,0,B21*($B$26-($B$27-0.05*$B$27)-$B$60))</f>
        <v>16.383036160079048</v>
      </c>
      <c r="C32" s="34" t="s">
        <v>104</v>
      </c>
      <c r="D32" s="171"/>
    </row>
    <row r="33" spans="1:6">
      <c r="A33" s="168" t="s">
        <v>73</v>
      </c>
      <c r="B33" s="33">
        <f>IF((B22*($B$26-($B$27-0.05*$B$27)-$B$60))&lt;0,0,B22*($B$26-($B$27-0.05*$B$27)-$B$60))</f>
        <v>340.61707973857966</v>
      </c>
      <c r="C33" s="34" t="s">
        <v>104</v>
      </c>
      <c r="D33" s="171"/>
    </row>
    <row r="34" spans="1:6">
      <c r="A34" s="168" t="s">
        <v>74</v>
      </c>
      <c r="B34" s="33">
        <f>IF((B24*($B$26-($B$27-0.05*$B$27)-$B$60))&lt;0,0,B24*($B$26-($B$27-0.05*$B$27)-$B$60))</f>
        <v>67.736628445337715</v>
      </c>
      <c r="C34" s="33">
        <f>B26*C24</f>
        <v>946.71692860797782</v>
      </c>
      <c r="D34" s="230"/>
    </row>
    <row r="35" spans="1:6">
      <c r="A35" s="168" t="s">
        <v>76</v>
      </c>
      <c r="B35" s="33">
        <f>IF((B19*($B$26-($B$27-0.05*$B$27)-$B$60))&lt;0,0,B19*($B$26-($B$27-0.05*$B$27)-$B$60))</f>
        <v>12.400191779291429</v>
      </c>
      <c r="C35" s="33">
        <f>B35/2</f>
        <v>6.2000958896457146</v>
      </c>
      <c r="D35" s="230"/>
    </row>
    <row r="36" spans="1:6">
      <c r="A36" s="168" t="s">
        <v>77</v>
      </c>
      <c r="B36" s="33">
        <f>IF((B18*($B$26-($B$27-0.05*$B$27)-$B$60))&lt;0,0,B18*($B$26-($B$27-0.05*$B$27)-$B$60))</f>
        <v>1052.1630638767124</v>
      </c>
      <c r="C36" s="34" t="s">
        <v>104</v>
      </c>
      <c r="D36" s="171"/>
    </row>
    <row r="37" spans="1:6">
      <c r="A37" s="168" t="s">
        <v>78</v>
      </c>
      <c r="B37" s="33">
        <f>B60</f>
        <v>33</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112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10273.58367323795</v>
      </c>
      <c r="C5" s="17">
        <f>IF(ISERROR('Eigen informatie GS &amp; warmtenet'!B58),0,'Eigen informatie GS &amp; warmtenet'!B58)</f>
        <v>0</v>
      </c>
      <c r="D5" s="30">
        <f>SUM(D6:D12)</f>
        <v>11829.59557806665</v>
      </c>
      <c r="E5" s="17">
        <f>SUM(E6:E12)</f>
        <v>162.09781565741415</v>
      </c>
      <c r="F5" s="17">
        <f>SUM(F6:F12)</f>
        <v>1899.7096437697121</v>
      </c>
      <c r="G5" s="18"/>
      <c r="H5" s="17"/>
      <c r="I5" s="17"/>
      <c r="J5" s="17">
        <f>SUM(J6:J12)</f>
        <v>4.1707856217868301E-2</v>
      </c>
      <c r="K5" s="17"/>
      <c r="L5" s="17"/>
      <c r="M5" s="17"/>
      <c r="N5" s="17">
        <f>SUM(N6:N12)</f>
        <v>1648.0803925386801</v>
      </c>
      <c r="O5" s="17">
        <f>B38*B39*B40</f>
        <v>0</v>
      </c>
      <c r="P5" s="17">
        <f>B46*B47*B48/1000-B46*B47*B48/1000/B49</f>
        <v>0</v>
      </c>
      <c r="R5" s="32"/>
    </row>
    <row r="6" spans="1:18">
      <c r="A6" s="32" t="s">
        <v>53</v>
      </c>
      <c r="B6" s="37">
        <f>B26</f>
        <v>1666.83857434067</v>
      </c>
      <c r="C6" s="33"/>
      <c r="D6" s="37">
        <f>IF(ISERROR(TER_kantoor_gas_kWh/1000),0,TER_kantoor_gas_kWh/1000)*0.902</f>
        <v>3224.597285736882</v>
      </c>
      <c r="E6" s="33">
        <f>$C$26*'E Balans VL '!I12/100/3.6*1000000</f>
        <v>1.0447189802142666E-2</v>
      </c>
      <c r="F6" s="33">
        <f>$C$26*('E Balans VL '!L12+'E Balans VL '!N12)/100/3.6*1000000</f>
        <v>250.47926181151561</v>
      </c>
      <c r="G6" s="34"/>
      <c r="H6" s="33"/>
      <c r="I6" s="33"/>
      <c r="J6" s="33">
        <f>$C$26*('E Balans VL '!D12+'E Balans VL '!E12)/100/3.6*1000000</f>
        <v>0</v>
      </c>
      <c r="K6" s="33"/>
      <c r="L6" s="33"/>
      <c r="M6" s="33"/>
      <c r="N6" s="33">
        <f>$C$26*'E Balans VL '!Y12/100/3.6*1000000</f>
        <v>1.5940839604164769</v>
      </c>
      <c r="O6" s="33"/>
      <c r="P6" s="33"/>
      <c r="R6" s="32"/>
    </row>
    <row r="7" spans="1:18">
      <c r="A7" s="32" t="s">
        <v>52</v>
      </c>
      <c r="B7" s="37">
        <f t="shared" ref="B7:B12" si="0">B27</f>
        <v>816.44332568285495</v>
      </c>
      <c r="C7" s="33"/>
      <c r="D7" s="37">
        <f>IF(ISERROR(TER_horeca_gas_kWh/1000),0,TER_horeca_gas_kWh/1000)*0.902</f>
        <v>1084.0322382058778</v>
      </c>
      <c r="E7" s="33">
        <f>$C$27*'E Balans VL '!I9/100/3.6*1000000</f>
        <v>11.691332430281326</v>
      </c>
      <c r="F7" s="33">
        <f>$C$27*('E Balans VL '!L9+'E Balans VL '!N9)/100/3.6*1000000</f>
        <v>103.38865236972944</v>
      </c>
      <c r="G7" s="34"/>
      <c r="H7" s="33"/>
      <c r="I7" s="33"/>
      <c r="J7" s="33">
        <f>$C$27*('E Balans VL '!D9+'E Balans VL '!E9)/100/3.6*1000000</f>
        <v>0</v>
      </c>
      <c r="K7" s="33"/>
      <c r="L7" s="33"/>
      <c r="M7" s="33"/>
      <c r="N7" s="33">
        <f>$C$27*'E Balans VL '!Y9/100/3.6*1000000</f>
        <v>0.23470945510369193</v>
      </c>
      <c r="O7" s="33"/>
      <c r="P7" s="33"/>
      <c r="R7" s="32"/>
    </row>
    <row r="8" spans="1:18">
      <c r="A8" s="6" t="s">
        <v>51</v>
      </c>
      <c r="B8" s="37">
        <f t="shared" si="0"/>
        <v>3161.50286281026</v>
      </c>
      <c r="C8" s="33"/>
      <c r="D8" s="37">
        <f>IF(ISERROR(TER_handel_gas_kWh/1000),0,TER_handel_gas_kWh/1000)*0.902</f>
        <v>1572.9465576466134</v>
      </c>
      <c r="E8" s="33">
        <f>$C$28*'E Balans VL '!I13/100/3.6*1000000</f>
        <v>114.66731897506139</v>
      </c>
      <c r="F8" s="33">
        <f>$C$28*('E Balans VL '!L13+'E Balans VL '!N13)/100/3.6*1000000</f>
        <v>608.93746362901754</v>
      </c>
      <c r="G8" s="34"/>
      <c r="H8" s="33"/>
      <c r="I8" s="33"/>
      <c r="J8" s="33">
        <f>$C$28*('E Balans VL '!D13+'E Balans VL '!E13)/100/3.6*1000000</f>
        <v>0</v>
      </c>
      <c r="K8" s="33"/>
      <c r="L8" s="33"/>
      <c r="M8" s="33"/>
      <c r="N8" s="33">
        <f>$C$28*'E Balans VL '!Y13/100/3.6*1000000</f>
        <v>4.3794088943585656</v>
      </c>
      <c r="O8" s="33"/>
      <c r="P8" s="33"/>
      <c r="R8" s="32"/>
    </row>
    <row r="9" spans="1:18">
      <c r="A9" s="32" t="s">
        <v>50</v>
      </c>
      <c r="B9" s="37">
        <f t="shared" si="0"/>
        <v>290.39888185524501</v>
      </c>
      <c r="C9" s="33"/>
      <c r="D9" s="37">
        <f>IF(ISERROR(TER_gezond_gas_kWh/1000),0,TER_gezond_gas_kWh/1000)*0.902</f>
        <v>1952.6587776065951</v>
      </c>
      <c r="E9" s="33">
        <f>$C$29*'E Balans VL '!I10/100/3.6*1000000</f>
        <v>1.8181837175112271E-2</v>
      </c>
      <c r="F9" s="33">
        <f>$C$29*('E Balans VL '!L10+'E Balans VL '!N10)/100/3.6*1000000</f>
        <v>43.139638079987009</v>
      </c>
      <c r="G9" s="34"/>
      <c r="H9" s="33"/>
      <c r="I9" s="33"/>
      <c r="J9" s="33">
        <f>$C$29*('E Balans VL '!D10+'E Balans VL '!E10)/100/3.6*1000000</f>
        <v>0</v>
      </c>
      <c r="K9" s="33"/>
      <c r="L9" s="33"/>
      <c r="M9" s="33"/>
      <c r="N9" s="33">
        <f>$C$29*'E Balans VL '!Y10/100/3.6*1000000</f>
        <v>4.4919179256337811</v>
      </c>
      <c r="O9" s="33"/>
      <c r="P9" s="33"/>
      <c r="R9" s="32"/>
    </row>
    <row r="10" spans="1:18">
      <c r="A10" s="32" t="s">
        <v>49</v>
      </c>
      <c r="B10" s="37">
        <f t="shared" si="0"/>
        <v>1617.99488088712</v>
      </c>
      <c r="C10" s="33"/>
      <c r="D10" s="37">
        <f>IF(ISERROR(TER_ander_gas_kWh/1000),0,TER_ander_gas_kWh/1000)*0.902</f>
        <v>551.6895058907628</v>
      </c>
      <c r="E10" s="33">
        <f>$C$30*'E Balans VL '!I14/100/3.6*1000000</f>
        <v>1.9285920806498227</v>
      </c>
      <c r="F10" s="33">
        <f>$C$30*('E Balans VL '!L14+'E Balans VL '!N14)/100/3.6*1000000</f>
        <v>423.33939124283495</v>
      </c>
      <c r="G10" s="34"/>
      <c r="H10" s="33"/>
      <c r="I10" s="33"/>
      <c r="J10" s="33">
        <f>$C$30*('E Balans VL '!D14+'E Balans VL '!E14)/100/3.6*1000000</f>
        <v>3.5120326499251411E-2</v>
      </c>
      <c r="K10" s="33"/>
      <c r="L10" s="33"/>
      <c r="M10" s="33"/>
      <c r="N10" s="33">
        <f>$C$30*'E Balans VL '!Y14/100/3.6*1000000</f>
        <v>1373.9616610719008</v>
      </c>
      <c r="O10" s="33"/>
      <c r="P10" s="33"/>
      <c r="R10" s="32"/>
    </row>
    <row r="11" spans="1:18">
      <c r="A11" s="32" t="s">
        <v>54</v>
      </c>
      <c r="B11" s="37">
        <f t="shared" si="0"/>
        <v>0</v>
      </c>
      <c r="C11" s="33"/>
      <c r="D11" s="37">
        <f>IF(ISERROR(TER_onderwijs_gas_kWh/1000),0,TER_onderwijs_gas_kWh/1000)*0.902</f>
        <v>255.3953550031344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2720.4051476618001</v>
      </c>
      <c r="C12" s="33"/>
      <c r="D12" s="37">
        <f>IF(ISERROR(TER_rest_gas_kWh/1000),0,TER_rest_gas_kWh/1000)*0.902</f>
        <v>3188.2758579767833</v>
      </c>
      <c r="E12" s="33">
        <f>$C$32*'E Balans VL '!I8/100/3.6*1000000</f>
        <v>33.781943144444334</v>
      </c>
      <c r="F12" s="33">
        <f>$C$32*('E Balans VL '!L8+'E Balans VL '!N8)/100/3.6*1000000</f>
        <v>470.4252366366274</v>
      </c>
      <c r="G12" s="34"/>
      <c r="H12" s="33"/>
      <c r="I12" s="33"/>
      <c r="J12" s="33">
        <f>$C$32*('E Balans VL '!D8+'E Balans VL '!E8)/100/3.6*1000000</f>
        <v>6.587529718616889E-3</v>
      </c>
      <c r="K12" s="33"/>
      <c r="L12" s="33"/>
      <c r="M12" s="33"/>
      <c r="N12" s="33">
        <f>$C$32*'E Balans VL '!Y8/100/3.6*1000000</f>
        <v>263.41861123126677</v>
      </c>
      <c r="O12" s="33"/>
      <c r="P12" s="33"/>
      <c r="R12" s="32"/>
    </row>
    <row r="13" spans="1:18">
      <c r="A13" s="16" t="s">
        <v>474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10273.58367323795</v>
      </c>
      <c r="C16" s="21">
        <f t="shared" ca="1" si="1"/>
        <v>0</v>
      </c>
      <c r="D16" s="21">
        <f t="shared" ca="1" si="1"/>
        <v>11829.59557806665</v>
      </c>
      <c r="E16" s="21">
        <f t="shared" si="1"/>
        <v>162.09781565741415</v>
      </c>
      <c r="F16" s="21">
        <f t="shared" ca="1" si="1"/>
        <v>1899.7096437697121</v>
      </c>
      <c r="G16" s="21">
        <f t="shared" si="1"/>
        <v>0</v>
      </c>
      <c r="H16" s="21">
        <f t="shared" si="1"/>
        <v>0</v>
      </c>
      <c r="I16" s="21">
        <f t="shared" si="1"/>
        <v>0</v>
      </c>
      <c r="J16" s="21">
        <f t="shared" si="1"/>
        <v>4.1707856217868301E-2</v>
      </c>
      <c r="K16" s="21">
        <f t="shared" si="1"/>
        <v>0</v>
      </c>
      <c r="L16" s="21">
        <f t="shared" ca="1" si="1"/>
        <v>0</v>
      </c>
      <c r="M16" s="21">
        <f t="shared" si="1"/>
        <v>0</v>
      </c>
      <c r="N16" s="21">
        <f t="shared" ca="1" si="1"/>
        <v>1648.0803925386801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0.21563946095232944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2215.3900453456845</v>
      </c>
      <c r="C20" s="23">
        <f t="shared" ref="C20:P20" ca="1" si="2">C16*C18</f>
        <v>0</v>
      </c>
      <c r="D20" s="23">
        <f t="shared" ca="1" si="2"/>
        <v>2389.5783067694633</v>
      </c>
      <c r="E20" s="23">
        <f t="shared" si="2"/>
        <v>36.79620415423301</v>
      </c>
      <c r="F20" s="23">
        <f t="shared" ca="1" si="2"/>
        <v>507.22247488651317</v>
      </c>
      <c r="G20" s="23">
        <f t="shared" si="2"/>
        <v>0</v>
      </c>
      <c r="H20" s="23">
        <f t="shared" si="2"/>
        <v>0</v>
      </c>
      <c r="I20" s="23">
        <f t="shared" si="2"/>
        <v>0</v>
      </c>
      <c r="J20" s="23">
        <f t="shared" si="2"/>
        <v>1.4764581101125378E-2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1666.83857434067</v>
      </c>
      <c r="C26" s="39">
        <f>IF(ISERROR(B26*3.6/1000000/'E Balans VL '!Z12*100),0,B26*3.6/1000000/'E Balans VL '!Z12*100)</f>
        <v>3.5234326975974596E-2</v>
      </c>
      <c r="D26" s="233" t="s">
        <v>726</v>
      </c>
      <c r="F26" s="6"/>
    </row>
    <row r="27" spans="1:18">
      <c r="A27" s="228" t="s">
        <v>52</v>
      </c>
      <c r="B27" s="33">
        <f>IF(ISERROR(TER_horeca_ele_kWh/1000),0,TER_horeca_ele_kWh/1000)</f>
        <v>816.44332568285495</v>
      </c>
      <c r="C27" s="39">
        <f>IF(ISERROR(B27*3.6/1000000/'E Balans VL '!Z9*100),0,B27*3.6/1000000/'E Balans VL '!Z9*100)</f>
        <v>6.43599230596167E-2</v>
      </c>
      <c r="D27" s="233" t="s">
        <v>726</v>
      </c>
      <c r="F27" s="6"/>
    </row>
    <row r="28" spans="1:18">
      <c r="A28" s="168" t="s">
        <v>51</v>
      </c>
      <c r="B28" s="33">
        <f>IF(ISERROR(TER_handel_ele_kWh/1000),0,TER_handel_ele_kWh/1000)</f>
        <v>3161.50286281026</v>
      </c>
      <c r="C28" s="39">
        <f>IF(ISERROR(B28*3.6/1000000/'E Balans VL '!Z13*100),0,B28*3.6/1000000/'E Balans VL '!Z13*100)</f>
        <v>9.1759586981713312E-2</v>
      </c>
      <c r="D28" s="233" t="s">
        <v>726</v>
      </c>
      <c r="F28" s="6"/>
    </row>
    <row r="29" spans="1:18">
      <c r="A29" s="228" t="s">
        <v>50</v>
      </c>
      <c r="B29" s="33">
        <f>IF(ISERROR(TER_gezond_ele_kWh/1000),0,TER_gezond_ele_kWh/1000)</f>
        <v>290.39888185524501</v>
      </c>
      <c r="C29" s="39">
        <f>IF(ISERROR(B29*3.6/1000000/'E Balans VL '!Z10*100),0,B29*3.6/1000000/'E Balans VL '!Z10*100)</f>
        <v>3.0583770734866685E-2</v>
      </c>
      <c r="D29" s="233" t="s">
        <v>726</v>
      </c>
      <c r="F29" s="6"/>
    </row>
    <row r="30" spans="1:18">
      <c r="A30" s="228" t="s">
        <v>49</v>
      </c>
      <c r="B30" s="33">
        <f>IF(ISERROR(TER_ander_ele_kWh/1000),0,TER_ander_ele_kWh/1000)</f>
        <v>1617.99488088712</v>
      </c>
      <c r="C30" s="39">
        <f>IF(ISERROR(B30*3.6/1000000/'E Balans VL '!Z14*100),0,B30*3.6/1000000/'E Balans VL '!Z14*100)</f>
        <v>0.11934365384097398</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2720.4051476618001</v>
      </c>
      <c r="C32" s="39">
        <f>IF(ISERROR(B32*3.6/1000000/'E Balans VL '!Z8*100),0,B32*3.6/1000000/'E Balans VL '!Z8*100)</f>
        <v>2.2385323394487802E-2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1892.4360336600139</v>
      </c>
      <c r="C5" s="17">
        <f>IF(ISERROR('Eigen informatie GS &amp; warmtenet'!B59),0,'Eigen informatie GS &amp; warmtenet'!B59)</f>
        <v>0</v>
      </c>
      <c r="D5" s="30">
        <f>SUM(D6:D15)</f>
        <v>2023.414221664767</v>
      </c>
      <c r="E5" s="17">
        <f>SUM(E6:E15)</f>
        <v>349.32773573158238</v>
      </c>
      <c r="F5" s="17">
        <f>SUM(F6:F15)</f>
        <v>1001.1915198677974</v>
      </c>
      <c r="G5" s="18"/>
      <c r="H5" s="17"/>
      <c r="I5" s="17"/>
      <c r="J5" s="17">
        <f>SUM(J6:J15)</f>
        <v>1.6169185322368684</v>
      </c>
      <c r="K5" s="17"/>
      <c r="L5" s="17"/>
      <c r="M5" s="17"/>
      <c r="N5" s="17">
        <f>SUM(N6:N15)</f>
        <v>138.24761705936828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60.477812456852995</v>
      </c>
      <c r="C8" s="33"/>
      <c r="D8" s="37">
        <f>IF( ISERROR(IND_metaal_Gas_kWH/1000),0,IND_metaal_Gas_kWH/1000)*0.902</f>
        <v>0</v>
      </c>
      <c r="E8" s="33">
        <f>C30*'E Balans VL '!I18/100/3.6*1000000</f>
        <v>0.55603507551401143</v>
      </c>
      <c r="F8" s="33">
        <f>C30*'E Balans VL '!L18/100/3.6*1000000+C30*'E Balans VL '!N18/100/3.6*1000000</f>
        <v>5.6708052982593893</v>
      </c>
      <c r="G8" s="34"/>
      <c r="H8" s="33"/>
      <c r="I8" s="33"/>
      <c r="J8" s="40">
        <f>C30*'E Balans VL '!D18/100/3.6*1000000+C30*'E Balans VL '!E18/100/3.6*1000000</f>
        <v>0</v>
      </c>
      <c r="K8" s="33"/>
      <c r="L8" s="33"/>
      <c r="M8" s="33"/>
      <c r="N8" s="33">
        <f>C30*'E Balans VL '!Y18/100/3.6*1000000</f>
        <v>0.86281593849083071</v>
      </c>
      <c r="O8" s="33"/>
      <c r="P8" s="33"/>
      <c r="R8" s="32"/>
    </row>
    <row r="9" spans="1:18">
      <c r="A9" s="6" t="s">
        <v>32</v>
      </c>
      <c r="B9" s="37">
        <f t="shared" si="0"/>
        <v>1105.81905059409</v>
      </c>
      <c r="C9" s="33"/>
      <c r="D9" s="37">
        <f>IF( ISERROR(IND_andere_gas_kWh/1000),0,IND_andere_gas_kWh/1000)*0.902</f>
        <v>811.27452999096454</v>
      </c>
      <c r="E9" s="33">
        <f>C31*'E Balans VL '!I19/100/3.6*1000000</f>
        <v>323.25243624638313</v>
      </c>
      <c r="F9" s="33">
        <f>C31*'E Balans VL '!L19/100/3.6*1000000+C31*'E Balans VL '!N19/100/3.6*1000000</f>
        <v>888.60930996337117</v>
      </c>
      <c r="G9" s="34"/>
      <c r="H9" s="33"/>
      <c r="I9" s="33"/>
      <c r="J9" s="40">
        <f>C31*'E Balans VL '!D19/100/3.6*1000000+C31*'E Balans VL '!E19/100/3.6*1000000</f>
        <v>0</v>
      </c>
      <c r="K9" s="33"/>
      <c r="L9" s="33"/>
      <c r="M9" s="33"/>
      <c r="N9" s="33">
        <f>C31*'E Balans VL '!Y19/100/3.6*1000000</f>
        <v>86.738944439589886</v>
      </c>
      <c r="O9" s="33"/>
      <c r="P9" s="33"/>
      <c r="R9" s="32"/>
    </row>
    <row r="10" spans="1:18">
      <c r="A10" s="6" t="s">
        <v>40</v>
      </c>
      <c r="B10" s="37">
        <f t="shared" si="0"/>
        <v>274.48355028727696</v>
      </c>
      <c r="C10" s="33"/>
      <c r="D10" s="37">
        <f>IF( ISERROR(IND_voed_gas_kWh/1000),0,IND_voed_gas_kWh/1000)*0.902</f>
        <v>461.99118130593314</v>
      </c>
      <c r="E10" s="33">
        <f>C32*'E Balans VL '!I20/100/3.6*1000000</f>
        <v>0.5806742065505881</v>
      </c>
      <c r="F10" s="33">
        <f>C32*'E Balans VL '!L20/100/3.6*1000000+C32*'E Balans VL '!N20/100/3.6*1000000</f>
        <v>17.451944503989761</v>
      </c>
      <c r="G10" s="34"/>
      <c r="H10" s="33"/>
      <c r="I10" s="33"/>
      <c r="J10" s="40">
        <f>C32*'E Balans VL '!D20/100/3.6*1000000+C32*'E Balans VL '!E20/100/3.6*1000000</f>
        <v>0</v>
      </c>
      <c r="K10" s="33"/>
      <c r="L10" s="33"/>
      <c r="M10" s="33"/>
      <c r="N10" s="33">
        <f>C32*'E Balans VL '!Y20/100/3.6*1000000</f>
        <v>18.94207363968156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451.655620321794</v>
      </c>
      <c r="C15" s="33"/>
      <c r="D15" s="37">
        <f>IF( ISERROR(IND_rest_gas_kWh/1000),0,IND_rest_gas_kWh/1000)*0.902</f>
        <v>750.14851036786933</v>
      </c>
      <c r="E15" s="33">
        <f>C37*'E Balans VL '!I15/100/3.6*1000000</f>
        <v>24.938590203134659</v>
      </c>
      <c r="F15" s="33">
        <f>C37*'E Balans VL '!L15/100/3.6*1000000+C37*'E Balans VL '!N15/100/3.6*1000000</f>
        <v>89.459460102176962</v>
      </c>
      <c r="G15" s="34"/>
      <c r="H15" s="33"/>
      <c r="I15" s="33"/>
      <c r="J15" s="40">
        <f>C37*'E Balans VL '!D15/100/3.6*1000000+C37*'E Balans VL '!E15/100/3.6*1000000</f>
        <v>1.6169185322368684</v>
      </c>
      <c r="K15" s="33"/>
      <c r="L15" s="33"/>
      <c r="M15" s="33"/>
      <c r="N15" s="33">
        <f>C37*'E Balans VL '!Y15/100/3.6*1000000</f>
        <v>31.703783041606012</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1892.4360336600139</v>
      </c>
      <c r="C18" s="21">
        <f>C5+C16</f>
        <v>0</v>
      </c>
      <c r="D18" s="21">
        <f>MAX((D5+D16),0)</f>
        <v>2023.414221664767</v>
      </c>
      <c r="E18" s="21">
        <f>MAX((E5+E16),0)</f>
        <v>349.32773573158238</v>
      </c>
      <c r="F18" s="21">
        <f>MAX((F5+F16),0)</f>
        <v>1001.1915198677974</v>
      </c>
      <c r="G18" s="21"/>
      <c r="H18" s="21"/>
      <c r="I18" s="21"/>
      <c r="J18" s="21">
        <f>MAX((J5+J16),0)</f>
        <v>1.6169185322368684</v>
      </c>
      <c r="K18" s="21"/>
      <c r="L18" s="21">
        <f>MAX((L5+L16),0)</f>
        <v>0</v>
      </c>
      <c r="M18" s="21"/>
      <c r="N18" s="21">
        <f>MAX((N5+N16),0)</f>
        <v>138.24761705936828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0.21563946095232944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408.08388618520979</v>
      </c>
      <c r="C22" s="23">
        <f ca="1">C18*C20</f>
        <v>0</v>
      </c>
      <c r="D22" s="23">
        <f>D18*D20</f>
        <v>408.72967277628294</v>
      </c>
      <c r="E22" s="23">
        <f>E18*E20</f>
        <v>79.297396011069196</v>
      </c>
      <c r="F22" s="23">
        <f>F18*F20</f>
        <v>267.31813580470191</v>
      </c>
      <c r="G22" s="23"/>
      <c r="H22" s="23"/>
      <c r="I22" s="23"/>
      <c r="J22" s="23">
        <f>J18*J20</f>
        <v>0.57238916041185139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60.477812456852995</v>
      </c>
      <c r="C30" s="39">
        <f>IF(ISERROR(B30*3.6/1000000/'E Balans VL '!Z18*100),0,B30*3.6/1000000/'E Balans VL '!Z18*100)</f>
        <v>3.4274327071836708E-3</v>
      </c>
      <c r="D30" s="233" t="s">
        <v>726</v>
      </c>
    </row>
    <row r="31" spans="1:18">
      <c r="A31" s="6" t="s">
        <v>32</v>
      </c>
      <c r="B31" s="37">
        <f>IF( ISERROR(IND_ander_ele_kWh/1000),0,IND_ander_ele_kWh/1000)</f>
        <v>1105.81905059409</v>
      </c>
      <c r="C31" s="39">
        <f>IF(ISERROR(B31*3.6/1000000/'E Balans VL '!Z19*100),0,B31*3.6/1000000/'E Balans VL '!Z19*100)</f>
        <v>5.0155347584562034E-2</v>
      </c>
      <c r="D31" s="233" t="s">
        <v>726</v>
      </c>
    </row>
    <row r="32" spans="1:18">
      <c r="A32" s="168" t="s">
        <v>40</v>
      </c>
      <c r="B32" s="37">
        <f>IF( ISERROR(IND_voed_ele_kWh/1000),0,IND_voed_ele_kWh/1000)</f>
        <v>274.48355028727696</v>
      </c>
      <c r="C32" s="39">
        <f>IF(ISERROR(B32*3.6/1000000/'E Balans VL '!Z20*100),0,B32*3.6/1000000/'E Balans VL '!Z20*100)</f>
        <v>8.491022260492925E-3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451.655620321794</v>
      </c>
      <c r="C37" s="39">
        <f>IF(ISERROR(B37*3.6/1000000/'E Balans VL '!Z15*100),0,B37*3.6/1000000/'E Balans VL '!Z15*100)</f>
        <v>3.5799254769052677E-3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975.07235313161402</v>
      </c>
      <c r="C5" s="17">
        <f>'Eigen informatie GS &amp; warmtenet'!B60</f>
        <v>0</v>
      </c>
      <c r="D5" s="30">
        <f>IF(ISERROR(SUM(LB_lb_gas_kWh,LB_rest_gas_kWh)/1000),0,SUM(LB_lb_gas_kWh,LB_rest_gas_kWh)/1000)*0.902</f>
        <v>61712.400450742432</v>
      </c>
      <c r="E5" s="17">
        <f>B17*'E Balans VL '!I25/3.6*1000000/100</f>
        <v>28.660354673254602</v>
      </c>
      <c r="F5" s="17">
        <f>B17*('E Balans VL '!L25/3.6*1000000+'E Balans VL '!N25/3.6*1000000)/100</f>
        <v>4062.0987330019234</v>
      </c>
      <c r="G5" s="18"/>
      <c r="H5" s="17"/>
      <c r="I5" s="17"/>
      <c r="J5" s="17">
        <f>('E Balans VL '!D25+'E Balans VL '!E25)/3.6*1000000*landbouw!B17/100</f>
        <v>141.26704405029048</v>
      </c>
      <c r="K5" s="17"/>
      <c r="L5" s="17">
        <f>L6*(-1)</f>
        <v>0</v>
      </c>
      <c r="M5" s="17"/>
      <c r="N5" s="17">
        <f>N6*(-1)</f>
        <v>0</v>
      </c>
      <c r="O5" s="17"/>
      <c r="P5" s="17"/>
      <c r="R5" s="32"/>
    </row>
    <row r="6" spans="1:18">
      <c r="A6" s="16" t="s">
        <v>474</v>
      </c>
      <c r="B6" s="17" t="s">
        <v>204</v>
      </c>
      <c r="C6" s="17">
        <f>'lokale energieproductie'!O41+'lokale energieproductie'!O34</f>
        <v>32708.571428571431</v>
      </c>
      <c r="D6" s="302">
        <f>('lokale energieproductie'!P34+'lokale energieproductie'!P41)*(-1)</f>
        <v>-65417.14285714287</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975.07235313161402</v>
      </c>
      <c r="C8" s="21">
        <f>C5+C6</f>
        <v>32708.571428571431</v>
      </c>
      <c r="D8" s="21">
        <f>MAX((D5+D6),0)</f>
        <v>0</v>
      </c>
      <c r="E8" s="21">
        <f>MAX((E5+E6),0)</f>
        <v>28.660354673254602</v>
      </c>
      <c r="F8" s="21">
        <f>MAX((F5+F6),0)</f>
        <v>4062.0987330019234</v>
      </c>
      <c r="G8" s="21"/>
      <c r="H8" s="21"/>
      <c r="I8" s="21"/>
      <c r="J8" s="21">
        <f>MAX((J5+J6),0)</f>
        <v>141.26704405029048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0.21563946095232944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210.26407661882067</v>
      </c>
      <c r="C12" s="23">
        <f ca="1">C8*C10</f>
        <v>7773.0957983193293</v>
      </c>
      <c r="D12" s="23">
        <f>D8*D10</f>
        <v>0</v>
      </c>
      <c r="E12" s="23">
        <f>E8*E10</f>
        <v>6.5059005108287948</v>
      </c>
      <c r="F12" s="23">
        <f>F8*F10</f>
        <v>1084.5803617115137</v>
      </c>
      <c r="G12" s="23"/>
      <c r="H12" s="23"/>
      <c r="I12" s="23"/>
      <c r="J12" s="23">
        <f>J8*J10</f>
        <v>50.008533593802824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0.13836582610558801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137.86963853987777</v>
      </c>
      <c r="C26" s="243">
        <f>B26*'GWP N2O_CH4'!B5</f>
        <v>2895.2624093374334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35.560181496643587</v>
      </c>
      <c r="C27" s="243">
        <f>B27*'GWP N2O_CH4'!B5</f>
        <v>746.76381142951527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1.6997690385876405</v>
      </c>
      <c r="C28" s="243">
        <f>B28*'GWP N2O_CH4'!B4</f>
        <v>526.92840196216855</v>
      </c>
      <c r="D28" s="50"/>
    </row>
    <row r="29" spans="1:4">
      <c r="A29" s="41" t="s">
        <v>265</v>
      </c>
      <c r="B29" s="243">
        <f>B34*'ha_N2O bodem landbouw'!B4</f>
        <v>8.5611713482237306</v>
      </c>
      <c r="C29" s="243">
        <f>B29*'GWP N2O_CH4'!B4</f>
        <v>2653.9631179493563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1.9536297985556822E-3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9.4359941434597945E-5</v>
      </c>
      <c r="C5" s="429" t="s">
        <v>204</v>
      </c>
      <c r="D5" s="414">
        <f>SUM(D6:D11)</f>
        <v>1.6392627982202181E-4</v>
      </c>
      <c r="E5" s="414">
        <f>SUM(E6:E11)</f>
        <v>2.8608826728939883E-4</v>
      </c>
      <c r="F5" s="427" t="s">
        <v>204</v>
      </c>
      <c r="G5" s="414">
        <f>SUM(G6:G11)</f>
        <v>0.11473365710409568</v>
      </c>
      <c r="H5" s="414">
        <f>SUM(H6:H11)</f>
        <v>2.6380794248195654E-2</v>
      </c>
      <c r="I5" s="429" t="s">
        <v>204</v>
      </c>
      <c r="J5" s="429" t="s">
        <v>204</v>
      </c>
      <c r="K5" s="429" t="s">
        <v>204</v>
      </c>
      <c r="L5" s="429" t="s">
        <v>204</v>
      </c>
      <c r="M5" s="414">
        <f>SUM(M6:M11)</f>
        <v>7.4800256656698131E-3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7.884301784876781E-5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1.3254897749373449E-4</v>
      </c>
      <c r="E6" s="857">
        <f>vkm_GW_PW*SUMIFS(TableVerdeelsleutelVkm[LPG],TableVerdeelsleutelVkm[Voertuigtype],"Lichte voertuigen")*SUMIFS(TableECFTransport[EnergieConsumptieFactor (PJ per km)],TableECFTransport[Index],CONCATENATE($A6,"_LPG_LPG"))</f>
        <v>2.3322106142075418E-4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6.9196013667154666E-2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2.1415090362520785E-2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4.6732854915630465E-3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9.5181528978490511E-7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3.0572705540422622E-2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4.9881162849614175E-7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1.7862269487673821E-3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1.4555927032249471E-5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3.1377302328287318E-5</v>
      </c>
      <c r="E8" s="417">
        <f>vkm_NGW_PW*SUMIFS(TableVerdeelsleutelVkm[LPG],TableVerdeelsleutelVkm[Voertuigtype],"Lichte voertuigen")*SUMIFS(TableECFTransport[EnergieConsumptieFactor (PJ per km)],TableECFTransport[Index],CONCATENATE($A8,"_LPG_LPG"))</f>
        <v>5.2867205868644628E-5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1.4586553927205773E-2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4.9651992663646977E-3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9.9840594691281959E-4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9.1812637957665469E-9</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3.783839693126122E-4</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5.8076816770002878E-9</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2.2107278426564231E-5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26.211094842943872</v>
      </c>
      <c r="C14" s="21"/>
      <c r="D14" s="21">
        <f t="shared" ref="D14:M14" si="0">((D5)*10^9/3600)+D12</f>
        <v>45.535077728339388</v>
      </c>
      <c r="E14" s="21">
        <f t="shared" si="0"/>
        <v>79.468963135944122</v>
      </c>
      <c r="F14" s="21"/>
      <c r="G14" s="21">
        <f t="shared" si="0"/>
        <v>31870.460306693247</v>
      </c>
      <c r="H14" s="21">
        <f t="shared" si="0"/>
        <v>7327.9984022765711</v>
      </c>
      <c r="I14" s="21"/>
      <c r="J14" s="21"/>
      <c r="K14" s="21"/>
      <c r="L14" s="21"/>
      <c r="M14" s="21">
        <f t="shared" si="0"/>
        <v>2077.7849071305036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0.21563946095232944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5.6521463629027986</v>
      </c>
      <c r="C18" s="23"/>
      <c r="D18" s="23">
        <f t="shared" ref="D18:M18" si="1">D14*D16</f>
        <v>9.1980857011245565</v>
      </c>
      <c r="E18" s="23">
        <f t="shared" si="1"/>
        <v>18.039454631859318</v>
      </c>
      <c r="F18" s="23"/>
      <c r="G18" s="23">
        <f t="shared" si="1"/>
        <v>8509.4129018870972</v>
      </c>
      <c r="H18" s="23">
        <f t="shared" si="1"/>
        <v>1824.6716021668663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1.7643885826980545E-5</v>
      </c>
      <c r="C50" s="313">
        <f t="shared" ref="C50:P50" si="2">SUM(C51:C52)</f>
        <v>0</v>
      </c>
      <c r="D50" s="313">
        <f t="shared" si="2"/>
        <v>0</v>
      </c>
      <c r="E50" s="313">
        <f t="shared" si="2"/>
        <v>0</v>
      </c>
      <c r="F50" s="313">
        <f t="shared" si="2"/>
        <v>0</v>
      </c>
      <c r="G50" s="313">
        <f t="shared" si="2"/>
        <v>1.6574679420662307E-3</v>
      </c>
      <c r="H50" s="313">
        <f t="shared" si="2"/>
        <v>0</v>
      </c>
      <c r="I50" s="313">
        <f t="shared" si="2"/>
        <v>0</v>
      </c>
      <c r="J50" s="313">
        <f t="shared" si="2"/>
        <v>0</v>
      </c>
      <c r="K50" s="313">
        <f t="shared" si="2"/>
        <v>0</v>
      </c>
      <c r="L50" s="313">
        <f t="shared" si="2"/>
        <v>0</v>
      </c>
      <c r="M50" s="313">
        <f t="shared" si="2"/>
        <v>9.5448602209535641E-5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1.7643885826980545E-5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1.6574679420662307E-3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9.5448602209535641E-5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4.9010793963834853</v>
      </c>
      <c r="C54" s="21">
        <f t="shared" ref="C54:P54" si="3">(C50)*10^9/3600</f>
        <v>0</v>
      </c>
      <c r="D54" s="21">
        <f t="shared" si="3"/>
        <v>0</v>
      </c>
      <c r="E54" s="21">
        <f t="shared" si="3"/>
        <v>0</v>
      </c>
      <c r="F54" s="21">
        <f t="shared" si="3"/>
        <v>0</v>
      </c>
      <c r="G54" s="21">
        <f t="shared" si="3"/>
        <v>460.40776168506409</v>
      </c>
      <c r="H54" s="21">
        <f t="shared" si="3"/>
        <v>0</v>
      </c>
      <c r="I54" s="21">
        <f t="shared" si="3"/>
        <v>0</v>
      </c>
      <c r="J54" s="21">
        <f t="shared" si="3"/>
        <v>0</v>
      </c>
      <c r="K54" s="21">
        <f t="shared" si="3"/>
        <v>0</v>
      </c>
      <c r="L54" s="21">
        <f t="shared" si="3"/>
        <v>0</v>
      </c>
      <c r="M54" s="21">
        <f t="shared" si="3"/>
        <v>26.513500613759902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0.21563946095232944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1.0568661191207029</v>
      </c>
      <c r="C58" s="23">
        <f t="shared" ref="C58:P58" ca="1" si="4">C54*C56</f>
        <v>0</v>
      </c>
      <c r="D58" s="23">
        <f t="shared" si="4"/>
        <v>0</v>
      </c>
      <c r="E58" s="23">
        <f t="shared" si="4"/>
        <v>0</v>
      </c>
      <c r="F58" s="23">
        <f t="shared" si="4"/>
        <v>0</v>
      </c>
      <c r="G58" s="23">
        <f t="shared" si="4"/>
        <v>122.92887236991211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2524.4253857121053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22896</v>
      </c>
      <c r="C8" s="536">
        <f>B50</f>
        <v>26936.470588235297</v>
      </c>
      <c r="D8" s="1002"/>
      <c r="E8" s="1002">
        <f>E50</f>
        <v>0</v>
      </c>
      <c r="F8" s="1003"/>
      <c r="G8" s="537"/>
      <c r="H8" s="1002">
        <f>I50</f>
        <v>0</v>
      </c>
      <c r="I8" s="1002">
        <f>G50+F50</f>
        <v>0</v>
      </c>
      <c r="J8" s="1002">
        <f>H50+D50+C50</f>
        <v>0</v>
      </c>
      <c r="K8" s="1002"/>
      <c r="L8" s="1002"/>
      <c r="M8" s="1002"/>
      <c r="N8" s="538"/>
      <c r="O8" s="539">
        <f>C8*$C$12+D8*$D$12+E8*$E$12+F8*$F$12+G8*$G$12+H8*$H$12+I8*$I$12+J8*$J$12</f>
        <v>5441.1670588235302</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25420.425385712104</v>
      </c>
      <c r="C10" s="549">
        <f t="shared" ref="C10:L10" si="0">SUM(C8:C9)</f>
        <v>26936.470588235297</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5441.1670588235302</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32708.571428571431</v>
      </c>
      <c r="C17" s="561">
        <f>B51</f>
        <v>38480.672268907569</v>
      </c>
      <c r="D17" s="562"/>
      <c r="E17" s="562">
        <f>E51</f>
        <v>0</v>
      </c>
      <c r="F17" s="1008"/>
      <c r="G17" s="563"/>
      <c r="H17" s="561">
        <f>I51</f>
        <v>0</v>
      </c>
      <c r="I17" s="562">
        <f>G51+F51</f>
        <v>0</v>
      </c>
      <c r="J17" s="562">
        <f>H51+D51+C51</f>
        <v>0</v>
      </c>
      <c r="K17" s="562"/>
      <c r="L17" s="562"/>
      <c r="M17" s="562"/>
      <c r="N17" s="1009"/>
      <c r="O17" s="564">
        <f>C17*$C$22+E17*$E$22+H17*$H$22+I17*$I$22+J17*$J$22+D17*$D$22+F17*$F$22+G17*$G$22+K17*$K$22+L17*$L$22</f>
        <v>7773.0957983193293</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32708.571428571431</v>
      </c>
      <c r="C20" s="548">
        <f>SUM(C17:C19)</f>
        <v>38480.672268907569</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7773.0957983193293</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12002</v>
      </c>
      <c r="C28" s="762">
        <v>2590</v>
      </c>
      <c r="D28" s="619"/>
      <c r="E28" s="618"/>
      <c r="F28" s="618"/>
      <c r="G28" s="618" t="s">
        <v>896</v>
      </c>
      <c r="H28" s="618" t="s">
        <v>897</v>
      </c>
      <c r="I28" s="618"/>
      <c r="J28" s="761"/>
      <c r="K28" s="761"/>
      <c r="L28" s="618" t="s">
        <v>898</v>
      </c>
      <c r="M28" s="618">
        <v>1532</v>
      </c>
      <c r="N28" s="618">
        <v>6894</v>
      </c>
      <c r="O28" s="618">
        <v>9848.5714285714294</v>
      </c>
      <c r="P28" s="618">
        <v>19697.142857142859</v>
      </c>
      <c r="Q28" s="618">
        <v>0</v>
      </c>
      <c r="R28" s="618">
        <v>0</v>
      </c>
      <c r="S28" s="618">
        <v>0</v>
      </c>
      <c r="T28" s="618">
        <v>0</v>
      </c>
      <c r="U28" s="618">
        <v>0</v>
      </c>
      <c r="V28" s="618">
        <v>0</v>
      </c>
      <c r="W28" s="618">
        <v>0</v>
      </c>
      <c r="X28" s="618">
        <v>10</v>
      </c>
      <c r="Y28" s="618" t="s">
        <v>105</v>
      </c>
      <c r="Z28" s="620" t="s">
        <v>105</v>
      </c>
    </row>
    <row r="29" spans="1:26" s="572" customFormat="1" ht="25.5" hidden="1">
      <c r="A29" s="571"/>
      <c r="B29" s="762">
        <v>12002</v>
      </c>
      <c r="C29" s="762">
        <v>2590</v>
      </c>
      <c r="D29" s="619"/>
      <c r="E29" s="618"/>
      <c r="F29" s="618"/>
      <c r="G29" s="618" t="s">
        <v>896</v>
      </c>
      <c r="H29" s="618" t="s">
        <v>897</v>
      </c>
      <c r="I29" s="618"/>
      <c r="J29" s="761"/>
      <c r="K29" s="761"/>
      <c r="L29" s="618" t="s">
        <v>898</v>
      </c>
      <c r="M29" s="618">
        <v>1558</v>
      </c>
      <c r="N29" s="618">
        <v>7011</v>
      </c>
      <c r="O29" s="618">
        <v>10015.714285714286</v>
      </c>
      <c r="P29" s="618">
        <v>20031.428571428572</v>
      </c>
      <c r="Q29" s="618">
        <v>0</v>
      </c>
      <c r="R29" s="618">
        <v>0</v>
      </c>
      <c r="S29" s="618">
        <v>0</v>
      </c>
      <c r="T29" s="618">
        <v>0</v>
      </c>
      <c r="U29" s="618">
        <v>0</v>
      </c>
      <c r="V29" s="618">
        <v>0</v>
      </c>
      <c r="W29" s="618">
        <v>0</v>
      </c>
      <c r="X29" s="618">
        <v>10</v>
      </c>
      <c r="Y29" s="618" t="s">
        <v>105</v>
      </c>
      <c r="Z29" s="620" t="s">
        <v>105</v>
      </c>
    </row>
    <row r="30" spans="1:26" s="572" customFormat="1" ht="25.5" hidden="1">
      <c r="A30" s="571"/>
      <c r="B30" s="762">
        <v>12002</v>
      </c>
      <c r="C30" s="762">
        <v>2590</v>
      </c>
      <c r="D30" s="619"/>
      <c r="E30" s="618"/>
      <c r="F30" s="618"/>
      <c r="G30" s="618" t="s">
        <v>896</v>
      </c>
      <c r="H30" s="618" t="s">
        <v>897</v>
      </c>
      <c r="I30" s="618"/>
      <c r="J30" s="761"/>
      <c r="K30" s="761"/>
      <c r="L30" s="618" t="s">
        <v>898</v>
      </c>
      <c r="M30" s="618">
        <v>1998</v>
      </c>
      <c r="N30" s="618">
        <v>8991</v>
      </c>
      <c r="O30" s="618">
        <v>12844.285714285714</v>
      </c>
      <c r="P30" s="618">
        <v>25688.571428571431</v>
      </c>
      <c r="Q30" s="618">
        <v>0</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5088</v>
      </c>
      <c r="N31" s="576">
        <f>SUM(N28:N30)</f>
        <v>22896</v>
      </c>
      <c r="O31" s="576">
        <f>SUM(O28:O30)</f>
        <v>32708.571428571431</v>
      </c>
      <c r="P31" s="576">
        <f>SUM(P28:P30)</f>
        <v>65417.14285714287</v>
      </c>
      <c r="Q31" s="576">
        <f>SUM(Q28:Q30)</f>
        <v>0</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0</v>
      </c>
      <c r="N33" s="576">
        <f ca="1">SUMIF($Z$28:AD30,"tertiair",N28:N30)</f>
        <v>0</v>
      </c>
      <c r="O33" s="576">
        <f ca="1">SUMIF($Z$28:AE30,"tertiair",O28:O30)</f>
        <v>0</v>
      </c>
      <c r="P33" s="576">
        <f ca="1">SUMIF($Z$28:AF30,"tertiair",P28:P30)</f>
        <v>0</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5088</v>
      </c>
      <c r="N34" s="581">
        <f>SUMIF($Z$28:$Z$30,"landbouw",N28:N30)</f>
        <v>22896</v>
      </c>
      <c r="O34" s="581">
        <f>SUMIF($Z$28:$Z$30,"landbouw",O28:O30)</f>
        <v>32708.571428571431</v>
      </c>
      <c r="P34" s="581">
        <f>SUMIF($Z$28:$Z$30,"landbouw",P28:P30)</f>
        <v>65417.14285714287</v>
      </c>
      <c r="Q34" s="581">
        <f>SUMIF($Z$28:$Z$30,"landbouw",Q28:Q30)</f>
        <v>0</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26936.470588235297</v>
      </c>
      <c r="C50" s="610">
        <f t="shared" si="2"/>
        <v>0</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38480.672268907569</v>
      </c>
      <c r="C51" s="613">
        <f t="shared" si="3"/>
        <v>0</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2021-11-11T12:45:14Z</dcterms:modified>
</cp:coreProperties>
</file>