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48C46A9-95CC-4804-B72C-8DD30FE77D3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P27"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2"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<sst xmlns="http://schemas.openxmlformats.org/spreadsheetml/2006/main" count="2469" uniqueCount="898">
  <si>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</si>
  <si>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</si>
  <si>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</si>
  <si>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</si>
  <si>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</si>
  <si>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</si>
  <si>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</si>
  <si>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</si>
  <si>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</si>
  <si>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</si>
  <si>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</si>
  <si>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</si>
  <si>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</si>
  <si>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</si>
  <si>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</si>
  <si>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</si>
  <si>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</si>
  <si>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</si>
  <si>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</si>
  <si>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</si>
  <si>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</si>
  <si>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</si>
  <si>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</si>
  <si>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</si>
  <si>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</si>
  <si>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</si>
  <si>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</si>
  <si>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</si>
  <si>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</si>
  <si>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</si>
  <si>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</si>
  <si>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</si>
  <si>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</si>
  <si>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</si>
  <si>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</si>
  <si>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</si>
  <si>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</si>
  <si>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</si>
  <si>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</si>
  <si>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</si>
  <si>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</si>
  <si>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</si>
  <si>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</si>
  <si>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</si>
  <si>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</si>
  <si>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</si>
  <si>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</si>
  <si>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</si>
  <si>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</si>
  <si>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</si>
  <si>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</si>
  <si>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</si>
  <si>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</si>
  <si>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</si>
  <si>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</si>
  <si>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</si>
  <si>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</si>
  <si>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</si>
  <si>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</si>
  <si>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</si>
  <si>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</si>
  <si>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</si>
  <si>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</si>
  <si>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</si>
  <si>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</si>
  <si>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</si>
  <si>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</si>
  <si>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</si>
  <si>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</si>
  <si>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</si>
  <si>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</si>
  <si>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</si>
  <si>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</si>
  <si>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</si>
  <si>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</si>
  <si>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</si>
  <si>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</si>
  <si>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</si>
  <si>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</si>
  <si>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</si>
  <si>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</si>
  <si>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</si>
  <si>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</si>
  <si>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</si>
  <si>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</si>
  <si>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</si>
  <si>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</si>
  <si>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</si>
  <si>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</si>
  <si>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</si>
  <si>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</si>
  <si>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</si>
  <si>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</si>
  <si>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</si>
  <si>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</si>
  <si>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</si>
  <si>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</si>
  <si>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</si>
  <si>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</si>
  <si>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</si>
  <si>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</si>
  <si>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</si>
  <si>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</si>
  <si>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</si>
  <si>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</si>
  <si>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</si>
  <si>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</si>
  <si>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</si>
  <si>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</si>
  <si>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</si>
  <si>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</si>
  <si>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</si>
  <si>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</si>
  <si>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</si>
  <si>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</si>
  <si>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</si>
  <si>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</si>
  <si>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</si>
  <si>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</si>
  <si>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</si>
  <si>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</si>
  <si>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</si>
  <si>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</si>
  <si>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</si>
  <si>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</si>
  <si>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</si>
  <si>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</si>
  <si>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</si>
  <si>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</si>
  <si>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</si>
  <si>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</si>
  <si>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</si>
  <si>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</si>
  <si>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</si>
  <si>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</si>
  <si>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</si>
  <si>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</si>
  <si>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</si>
  <si>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</si>
  <si>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</si>
  <si>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</si>
  <si>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</si>
  <si>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</si>
  <si>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</si>
  <si>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</si>
  <si>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</si>
  <si>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</si>
  <si>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</si>
  <si>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</si>
  <si>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</si>
  <si>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</si>
  <si>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</si>
  <si>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</si>
  <si>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</si>
  <si>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</si>
  <si>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</si>
  <si>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</si>
  <si>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</si>
  <si>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</si>
  <si>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</si>
  <si>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</si>
  <si>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</si>
  <si>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</si>
  <si>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</si>
  <si>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</si>
  <si>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</si>
  <si>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</si>
  <si>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</si>
  <si>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</si>
  <si>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</si>
  <si>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</si>
  <si>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</si>
  <si>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</si>
  <si>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</si>
  <si>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</si>
  <si>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</si>
  <si>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</si>
  <si>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</si>
  <si>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</si>
  <si>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</si>
  <si>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</si>
  <si>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</si>
  <si>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</si>
  <si>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</si>
  <si>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</si>
  <si>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</si>
  <si>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</si>
  <si>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</si>
  <si>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</si>
  <si>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</si>
  <si>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</si>
  <si>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</si>
  <si>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</si>
  <si>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</si>
  <si>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</si>
  <si>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</si>
  <si>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</si>
  <si>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</si>
  <si>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</si>
  <si>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</si>
  <si>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</si>
  <si>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</si>
  <si>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</si>
  <si>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</si>
  <si>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</si>
  <si>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</si>
  <si>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</si>
  <si>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</si>
  <si>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</si>
  <si>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</si>
  <si>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</si>
  <si>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</si>
  <si>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</si>
  <si>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</si>
  <si>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</si>
  <si>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</si>
  <si>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</si>
  <si>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</si>
  <si>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</si>
  <si>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</si>
  <si>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</si>
  <si>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</si>
  <si>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</si>
  <si>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</si>
  <si>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</si>
  <si>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</si>
  <si>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</si>
  <si>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</si>
  <si>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</si>
  <si>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</si>
  <si>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</si>
  <si>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</si>
  <si>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</si>
  <si>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</si>
  <si>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</si>
  <si>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</si>
  <si>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</si>
  <si>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</si>
  <si>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</si>
  <si>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</si>
  <si>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</si>
  <si>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</si>
  <si>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</si>
  <si>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</si>
  <si>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</si>
  <si>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</si>
  <si>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</si>
  <si>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</si>
  <si>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</si>
  <si>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</si>
  <si>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</si>
  <si>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</si>
  <si>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</si>
  <si>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</si>
  <si>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</si>
  <si>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</si>
  <si>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</si>
  <si>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</si>
  <si>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</si>
  <si>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</si>
  <si>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</si>
  <si>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</si>
  <si>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</si>
  <si>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</si>
  <si>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</si>
  <si>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</si>
  <si>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</si>
  <si>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</si>
  <si>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</si>
  <si>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</si>
  <si>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</si>
  <si>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</si>
  <si>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</si>
  <si>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</si>
  <si>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</si>
  <si>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</si>
  <si>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</si>
  <si>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</si>
  <si>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</si>
  <si>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</si>
  <si>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</si>
  <si>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</si>
  <si>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</si>
  <si>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</si>
  <si>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</si>
  <si>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</si>
  <si>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</si>
  <si>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</si>
  <si>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</si>
  <si>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</si>
  <si>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</si>
  <si>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</si>
  <si>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</si>
  <si>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</si>
  <si>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</si>
  <si>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</si>
  <si>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</si>
  <si>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</si>
  <si>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</si>
  <si>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</si>
  <si>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</si>
  <si>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</si>
  <si>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</si>
  <si>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</si>
  <si>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</si>
  <si>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</si>
  <si>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</si>
  <si>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</si>
  <si>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</si>
  <si>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</si>
  <si>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</si>
  <si>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</si>
  <si>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</si>
  <si>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</si>
  <si>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</si>
  <si>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</si>
  <si>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</si>
  <si>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</si>
  <si>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</si>
  <si>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</si>
  <si>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</si>
  <si>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</si>
  <si>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</si>
  <si>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</si>
  <si>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</si>
  <si>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</si>
  <si>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</si>
  <si>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</si>
  <si>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</si>
  <si>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</si>
  <si>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</si>
  <si>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</si>
  <si>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</si>
  <si>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</si>
  <si>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</si>
  <si>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</si>
  <si>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</si>
  <si>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</si>
  <si>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</si>
  <si>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</si>
  <si>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</si>
  <si>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</si>
  <si>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</si>
  <si>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</si>
  <si>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</si>
  <si>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</si>
  <si>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</si>
  <si>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</si>
  <si>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</si>
  <si>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</si>
  <si>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</si>
  <si>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</si>
  <si>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</si>
  <si>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</si>
  <si>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</si>
  <si>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</si>
  <si>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</si>
  <si>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</si>
  <si>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</si>
  <si>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</si>
  <si>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</si>
  <si>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</si>
  <si>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</si>
  <si>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</si>
  <si>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</si>
  <si>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</si>
  <si>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</si>
  <si>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</si>
  <si>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</si>
  <si>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</si>
  <si>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</si>
  <si>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</si>
  <si>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</si>
  <si>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</si>
  <si>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</si>
  <si>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</si>
  <si>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</si>
  <si>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</si>
  <si>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</si>
  <si>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</si>
  <si>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</si>
  <si>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</si>
  <si>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</si>
  <si>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</si>
  <si>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</si>
  <si>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</si>
  <si>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</si>
  <si>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</si>
  <si>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</si>
  <si>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</si>
  <si>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</si>
  <si>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</si>
  <si>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</si>
  <si>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</si>
  <si>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</si>
  <si>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</si>
  <si>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</si>
  <si>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</si>
  <si>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</si>
  <si>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</si>
  <si>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</si>
  <si>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</si>
  <si>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</si>
  <si>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</si>
  <si>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</si>
  <si>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</si>
  <si>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</si>
  <si>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</si>
  <si>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</si>
  <si>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</si>
  <si>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</si>
  <si>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</si>
  <si>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</si>
  <si>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</si>
  <si>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</si>
  <si>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</si>
  <si>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</si>
  <si>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</si>
  <si>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</si>
  <si>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</si>
  <si>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</si>
  <si>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</si>
  <si>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</si>
  <si>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</si>
  <si>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</si>
  <si>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</si>
  <si>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</si>
  <si>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</si>
  <si>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</si>
  <si>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</si>
  <si>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</si>
  <si>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</si>
  <si>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</si>
  <si>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</si>
  <si>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</si>
  <si>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</si>
  <si>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</si>
  <si>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</si>
  <si>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</si>
  <si>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</si>
  <si>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</si>
  <si>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</si>
  <si>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</si>
  <si>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</si>
  <si>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</si>
  <si>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</si>
  <si>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</si>
  <si>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</si>
  <si>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</si>
  <si>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</si>
  <si>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</si>
  <si>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</si>
  <si>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</si>
  <si>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</si>
  <si>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</si>
  <si>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</si>
  <si>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</si>
  <si>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</si>
  <si>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</si>
  <si>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</si>
  <si>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</si>
  <si>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</si>
  <si>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</si>
  <si>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</si>
  <si>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</si>
  <si>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</si>
  <si>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</si>
  <si>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</si>
  <si>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</si>
  <si>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</si>
  <si>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</si>
  <si>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</si>
  <si>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</si>
  <si>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</si>
  <si>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</si>
  <si>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</si>
  <si>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</si>
  <si>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</si>
  <si>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</si>
  <si>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</si>
  <si>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</si>
  <si>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</si>
  <si>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</si>
  <si>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</si>
  <si>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</si>
  <si>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</si>
  <si>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</si>
  <si>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</si>
  <si>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</si>
  <si>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</si>
  <si>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</si>
  <si>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</si>
  <si>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</si>
  <si>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</si>
  <si>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</si>
  <si>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</si>
  <si>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</si>
  <si>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</si>
  <si>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</si>
  <si>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</si>
  <si>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</si>
  <si>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</si>
  <si>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</si>
  <si>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</si>
  <si>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</si>
  <si>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</si>
  <si>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</si>
  <si>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</si>
  <si>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</si>
  <si>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</si>
  <si>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</si>
  <si>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</si>
  <si>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</si>
  <si>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</si>
  <si>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</si>
  <si>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</si>
  <si>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</si>
  <si>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</si>
  <si>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</si>
  <si>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</si>
  <si>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</si>
  <si>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</si>
  <si>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</si>
  <si>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</si>
  <si>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</si>
  <si>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</si>
  <si>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</si>
  <si>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</si>
  <si>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</si>
  <si>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</si>
  <si>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</si>
  <si>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</si>
  <si>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</si>
  <si>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</si>
  <si>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</si>
  <si>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</si>
  <si>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</si>
  <si>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</si>
  <si>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</si>
  <si>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</si>
  <si>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</si>
  <si>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</si>
  <si>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</si>
  <si>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</si>
  <si>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</si>
  <si>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</si>
  <si>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</si>
  <si>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</si>
  <si>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</si>
  <si>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</si>
  <si>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</si>
  <si>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</si>
  <si>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</si>
  <si>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</si>
  <si>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</si>
  <si>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</si>
  <si>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</si>
  <si>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</si>
  <si>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</si>
  <si>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</si>
  <si>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</si>
  <si>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</si>
  <si>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</si>
  <si>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</si>
  <si>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</si>
  <si>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</si>
  <si>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</si>
  <si>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</si>
  <si>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</si>
  <si>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</si>
  <si>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</si>
  <si>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</si>
  <si>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</si>
  <si>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</si>
  <si>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</si>
  <si>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</si>
  <si>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</si>
  <si>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</si>
  <si>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</si>
  <si>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</si>
  <si>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</si>
  <si>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</si>
  <si>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</si>
  <si>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</si>
  <si>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</si>
  <si>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</si>
  <si>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</si>
  <si>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</si>
  <si>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</si>
  <si>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</si>
  <si>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</si>
  <si>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</si>
  <si>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</si>
  <si>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</si>
  <si>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</si>
  <si>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</si>
  <si>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</si>
  <si>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</si>
  <si>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</si>
  <si>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</si>
  <si>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</si>
  <si>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</si>
  <si>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</si>
  <si>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</si>
  <si>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</si>
  <si>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</si>
  <si>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</si>
  <si>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</si>
  <si>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</si>
  <si>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</si>
  <si>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</si>
  <si>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</si>
  <si>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</si>
  <si>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</si>
  <si>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</si>
  <si>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</si>
  <si>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</si>
  <si>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</si>
  <si>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</si>
  <si>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</si>
  <si>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</si>
  <si>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</si>
  <si>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</si>
  <si>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</si>
  <si>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</si>
  <si>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</si>
  <si>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</si>
  <si>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</si>
  <si>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</si>
  <si>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</si>
  <si>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</si>
  <si>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</si>
  <si>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</si>
  <si>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</si>
  <si>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</si>
  <si>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</si>
  <si>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</si>
  <si>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</si>
  <si>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</si>
  <si>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</si>
  <si>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</si>
  <si>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</si>
  <si>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</si>
  <si>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</si>
  <si>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</si>
  <si>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</si>
  <si>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</si>
  <si>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</si>
  <si>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</si>
  <si>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</si>
  <si>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</si>
  <si>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</si>
  <si>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</si>
  <si>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</si>
  <si>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</si>
  <si>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</si>
  <si>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</si>
  <si>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</si>
  <si>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</si>
  <si>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</si>
  <si>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</si>
  <si>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</si>
  <si>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</si>
  <si>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</si>
  <si>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</si>
  <si>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</si>
  <si>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</si>
  <si>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</si>
  <si>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</si>
  <si>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</si>
  <si>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</si>
  <si>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</si>
  <si>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</si>
  <si>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</si>
  <si>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</si>
  <si>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</si>
  <si>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</si>
  <si>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</si>
  <si>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</si>
  <si>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</si>
  <si>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</si>
  <si>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</si>
  <si>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</si>
  <si>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</si>
  <si>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</si>
  <si>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</si>
  <si>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</si>
  <si>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</si>
  <si>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</si>
  <si>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</si>
  <si>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</si>
  <si>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</si>
  <si>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</si>
  <si>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</si>
  <si>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</si>
  <si>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</si>
  <si>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</si>
  <si>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</si>
  <si>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</si>
  <si>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</si>
  <si>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</si>
  <si>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</si>
  <si>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</si>
  <si>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</si>
  <si>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</si>
  <si>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</si>
  <si>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</si>
  <si>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</si>
  <si>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</si>
  <si>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</si>
  <si>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</si>
  <si>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</si>
  <si>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</si>
  <si>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</si>
  <si>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</si>
  <si>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</si>
  <si>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</si>
  <si>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</si>
  <si>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</si>
  <si>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</si>
  <si>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</si>
  <si>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</si>
  <si>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</si>
  <si>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</si>
  <si>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</si>
  <si>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</si>
  <si>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</si>
  <si>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</si>
  <si>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</si>
  <si>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</si>
  <si>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</si>
  <si>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</si>
  <si>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</si>
  <si>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</si>
  <si>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</si>
  <si>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</si>
  <si>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</si>
  <si>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</si>
  <si>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</si>
  <si>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</si>
  <si>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</si>
  <si>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</si>
  <si>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</si>
  <si>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</si>
  <si>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</si>
  <si>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</si>
  <si>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</si>
  <si>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</si>
  <si>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</si>
  <si>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</si>
  <si>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</si>
  <si>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</si>
  <si>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</si>
  <si>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</si>
  <si>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</si>
  <si>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</si>
  <si>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</si>
  <si>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</si>
  <si>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</si>
  <si>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</si>
  <si>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</si>
  <si>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</si>
  <si>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</si>
  <si>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</si>
  <si>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</si>
  <si>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</si>
  <si>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</si>
  <si>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</si>
  <si>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</si>
  <si>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</si>
  <si>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</si>
  <si>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</si>
  <si>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</si>
  <si>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</si>
  <si>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</si>
  <si>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</si>
  <si>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</si>
  <si>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</si>
  <si>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</si>
  <si>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</si>
  <si>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</si>
  <si>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</si>
  <si>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</si>
  <si>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</si>
  <si>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</si>
  <si>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</si>
  <si>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</si>
  <si>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</si>
  <si>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</si>
  <si>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</si>
  <si>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</si>
  <si>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</si>
  <si>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</si>
  <si>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</si>
  <si>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</si>
  <si>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</si>
  <si>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</si>
  <si>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</si>
  <si>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</si>
  <si>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</si>
  <si>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</si>
  <si>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</si>
  <si>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</si>
  <si>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</si>
  <si>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</si>
  <si>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</si>
  <si>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</si>
  <si>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</si>
  <si>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</si>
  <si>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</si>
  <si>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</si>
  <si>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</si>
  <si>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</si>
  <si>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</si>
  <si>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</si>
  <si>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</si>
  <si>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</si>
  <si>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</si>
  <si>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</si>
  <si>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</si>
  <si>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</si>
  <si>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</si>
  <si>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</si>
  <si>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</si>
  <si>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</si>
  <si>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</si>
  <si>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</si>
  <si>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</si>
  <si>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</si>
  <si>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</si>
  <si>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</si>
  <si>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</si>
  <si>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</si>
  <si>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</si>
  <si>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</si>
  <si>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</si>
  <si>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</si>
  <si>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</si>
  <si>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</si>
  <si>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</si>
  <si>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</si>
  <si>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</si>
  <si>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</si>
  <si>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</si>
  <si>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</si>
  <si>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</si>
  <si>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</si>
  <si>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</si>
  <si>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</si>
  <si>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</si>
  <si>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</si>
  <si>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</si>
  <si>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</si>
  <si>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</si>
  <si>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</si>
  <si>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</si>
  <si>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</si>
  <si>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</si>
  <si>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</si>
  <si>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</si>
  <si>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</si>
  <si>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</si>
  <si>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</si>
  <si>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</si>
  <si>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</si>
  <si>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</si>
  <si>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</si>
  <si>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</si>
  <si>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</si>
  <si>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</si>
  <si>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</si>
  <si>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</si>
  <si>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</si>
  <si>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</si>
  <si>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</si>
  <si>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</si>
  <si>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</si>
  <si>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</si>
  <si>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</si>
  <si>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</si>
  <si>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</si>
  <si>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</si>
  <si>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</si>
  <si>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</si>
  <si>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</si>
  <si>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</si>
  <si>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</si>
  <si>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</si>
  <si>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</si>
  <si>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</si>
  <si>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</si>
  <si>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</si>
  <si>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11039</t>
  </si>
  <si>
    <t>SCHILDE</t>
  </si>
  <si>
    <t>Fluvius</t>
  </si>
  <si>
    <t>referentietaak LNE (2017); Jaarverslag De Lijn</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</si>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</sst>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95C88E8-A5F0-4D91-B4ED-EAC3848A5A7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238146.21518756158</c:v>
                </c:pt>
                <c:pt idx="1">
                  <c:v>82686.060480332526</c:v>
                </c:pt>
                <c:pt idx="2">
                  <c:v>972.75400000000002</c:v>
                </c:pt>
                <c:pt idx="3">
                  <c:v>2182.4269915118157</c:v>
                </c:pt>
                <c:pt idx="4">
                  <c:v>7840.1363370424406</c:v>
                </c:pt>
                <c:pt idx="5">
                  <c:v>94922.139307434991</c:v>
                </c:pt>
                <c:pt idx="6">
                  <c:v>2015.9756203128734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238146.21518756158</c:v>
                </c:pt>
                <c:pt idx="1">
                  <c:v>82686.060480332526</c:v>
                </c:pt>
                <c:pt idx="2">
                  <c:v>972.75400000000002</c:v>
                </c:pt>
                <c:pt idx="3">
                  <c:v>2182.4269915118157</c:v>
                </c:pt>
                <c:pt idx="4">
                  <c:v>7840.1363370424406</c:v>
                </c:pt>
                <c:pt idx="5">
                  <c:v>94922.139307434991</c:v>
                </c:pt>
                <c:pt idx="6">
                  <c:v>2015.9756203128734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48716.235018612628</c:v>
                </c:pt>
                <c:pt idx="2">
                  <c:v>16640.707646666375</c:v>
                </c:pt>
                <c:pt idx="3">
                  <c:v>208.68463616783419</c:v>
                </c:pt>
                <c:pt idx="4">
                  <c:v>539.61745064875549</c:v>
                </c:pt>
                <c:pt idx="5">
                  <c:v>1645.223915993193</c:v>
                </c:pt>
                <c:pt idx="6">
                  <c:v>23739.294948779618</c:v>
                </c:pt>
                <c:pt idx="7">
                  <c:v>508.19419951454211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48716.235018612628</c:v>
                </c:pt>
                <c:pt idx="2">
                  <c:v>16640.707646666375</c:v>
                </c:pt>
                <c:pt idx="3">
                  <c:v>208.68463616783419</c:v>
                </c:pt>
                <c:pt idx="4">
                  <c:v>539.61745064875549</c:v>
                </c:pt>
                <c:pt idx="5">
                  <c:v>1645.223915993193</c:v>
                </c:pt>
                <c:pt idx="6">
                  <c:v>23739.294948779618</c:v>
                </c:pt>
                <c:pt idx="7">
                  <c:v>508.19419951454211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11039</v>
      </c>
      <c r="B6" s="382"/>
      <c r="C6" s="383"/>
    </row>
    <row r="7" spans="1:7" s="380" customFormat="1" ht="15.75" customHeight="1">
      <c r="A7" s="384" t="str">
        <f>txtMunicipality</f>
        <v>SCHILDE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28164.251212987361</v>
      </c>
      <c r="D10" s="971">
        <f ca="1">tertiair!C16</f>
        <v>24.351351351351351</v>
      </c>
      <c r="E10" s="971">
        <f ca="1">tertiair!D16</f>
        <v>46660.018104819486</v>
      </c>
      <c r="F10" s="971">
        <f>tertiair!E16</f>
        <v>371.59749320724728</v>
      </c>
      <c r="G10" s="971">
        <f ca="1">tertiair!F16</f>
        <v>4839.5128784267017</v>
      </c>
      <c r="H10" s="971">
        <f>tertiair!G16</f>
        <v>0</v>
      </c>
      <c r="I10" s="971">
        <f>tertiair!H16</f>
        <v>0</v>
      </c>
      <c r="J10" s="971">
        <f>tertiair!I16</f>
        <v>0</v>
      </c>
      <c r="K10" s="971">
        <f>tertiair!J16</f>
        <v>8.9855716433375157E-2</v>
      </c>
      <c r="L10" s="971">
        <f>tertiair!K16</f>
        <v>0</v>
      </c>
      <c r="M10" s="971">
        <f ca="1">tertiair!L16</f>
        <v>0</v>
      </c>
      <c r="N10" s="971">
        <f>tertiair!M16</f>
        <v>0</v>
      </c>
      <c r="O10" s="971">
        <f ca="1">tertiair!N16</f>
        <v>3556.1702504906239</v>
      </c>
      <c r="P10" s="971">
        <f>tertiair!O16</f>
        <v>4.6900000000000004</v>
      </c>
      <c r="Q10" s="972">
        <f>tertiair!P16</f>
        <v>38.133333333333333</v>
      </c>
      <c r="R10" s="666">
        <f ca="1">SUM(C10:Q10)</f>
        <v>83658.814480332541</v>
      </c>
      <c r="S10" s="67"/>
    </row>
    <row r="11" spans="1:19" s="439" customFormat="1">
      <c r="A11" s="775" t="s">
        <v>213</v>
      </c>
      <c r="B11" s="780"/>
      <c r="C11" s="971">
        <f>huishoudens!B8</f>
        <v>45688.942465513072</v>
      </c>
      <c r="D11" s="971">
        <f>huishoudens!C8</f>
        <v>0</v>
      </c>
      <c r="E11" s="971">
        <f>huishoudens!D8</f>
        <v>137408.07655020658</v>
      </c>
      <c r="F11" s="971">
        <f>huishoudens!E8</f>
        <v>1586.1521557251015</v>
      </c>
      <c r="G11" s="971">
        <f>huishoudens!F8</f>
        <v>40185.985668854562</v>
      </c>
      <c r="H11" s="971">
        <f>huishoudens!G8</f>
        <v>0</v>
      </c>
      <c r="I11" s="971">
        <f>huishoudens!H8</f>
        <v>0</v>
      </c>
      <c r="J11" s="971">
        <f>huishoudens!I8</f>
        <v>0</v>
      </c>
      <c r="K11" s="971">
        <f>huishoudens!J8</f>
        <v>193.37045452446921</v>
      </c>
      <c r="L11" s="971">
        <f>huishoudens!K8</f>
        <v>0</v>
      </c>
      <c r="M11" s="971">
        <f>huishoudens!L8</f>
        <v>0</v>
      </c>
      <c r="N11" s="971">
        <f>huishoudens!M8</f>
        <v>0</v>
      </c>
      <c r="O11" s="971">
        <f>huishoudens!N8</f>
        <v>11453.274559404441</v>
      </c>
      <c r="P11" s="971">
        <f>huishoudens!O8</f>
        <v>181.34666666666669</v>
      </c>
      <c r="Q11" s="972">
        <f>huishoudens!P8</f>
        <v>1449.0666666666666</v>
      </c>
      <c r="R11" s="666">
        <f>SUM(C11:Q11)</f>
        <v>238146.21518756158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2017.0309551064079</v>
      </c>
      <c r="D13" s="971">
        <f>industrie!C18</f>
        <v>0</v>
      </c>
      <c r="E13" s="971">
        <f>industrie!D18</f>
        <v>4382.9213849698708</v>
      </c>
      <c r="F13" s="971">
        <f>industrie!E18</f>
        <v>325.90777671231393</v>
      </c>
      <c r="G13" s="971">
        <f>industrie!F18</f>
        <v>947.09540093281566</v>
      </c>
      <c r="H13" s="971">
        <f>industrie!G18</f>
        <v>0</v>
      </c>
      <c r="I13" s="971">
        <f>industrie!H18</f>
        <v>0</v>
      </c>
      <c r="J13" s="971">
        <f>industrie!I18</f>
        <v>0</v>
      </c>
      <c r="K13" s="971">
        <f>industrie!J18</f>
        <v>0.86211163544113134</v>
      </c>
      <c r="L13" s="971">
        <f>industrie!K18</f>
        <v>0</v>
      </c>
      <c r="M13" s="971">
        <f>industrie!L18</f>
        <v>0</v>
      </c>
      <c r="N13" s="971">
        <f>industrie!M18</f>
        <v>0</v>
      </c>
      <c r="O13" s="971">
        <f>industrie!N18</f>
        <v>166.31870768559119</v>
      </c>
      <c r="P13" s="971">
        <f>industrie!O18</f>
        <v>0</v>
      </c>
      <c r="Q13" s="972">
        <f>industrie!P18</f>
        <v>0</v>
      </c>
      <c r="R13" s="666">
        <f>SUM(C13:Q13)</f>
        <v>7840.1363370424406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75870.224633606849</v>
      </c>
      <c r="D16" s="698">
        <f t="shared" ref="D16:R16" ca="1" si="0">SUM(D9:D15)</f>
        <v>24.351351351351351</v>
      </c>
      <c r="E16" s="698">
        <f t="shared" ca="1" si="0"/>
        <v>188451.01603999594</v>
      </c>
      <c r="F16" s="698">
        <f t="shared" si="0"/>
        <v>2283.6574256446625</v>
      </c>
      <c r="G16" s="698">
        <f t="shared" ca="1" si="0"/>
        <v>45972.593948214075</v>
      </c>
      <c r="H16" s="698">
        <f t="shared" si="0"/>
        <v>0</v>
      </c>
      <c r="I16" s="698">
        <f t="shared" si="0"/>
        <v>0</v>
      </c>
      <c r="J16" s="698">
        <f t="shared" si="0"/>
        <v>0</v>
      </c>
      <c r="K16" s="698">
        <f t="shared" si="0"/>
        <v>194.3224218763437</v>
      </c>
      <c r="L16" s="698">
        <f t="shared" si="0"/>
        <v>0</v>
      </c>
      <c r="M16" s="698">
        <f t="shared" ca="1" si="0"/>
        <v>0</v>
      </c>
      <c r="N16" s="698">
        <f t="shared" si="0"/>
        <v>0</v>
      </c>
      <c r="O16" s="698">
        <f t="shared" ca="1" si="0"/>
        <v>15175.763517580657</v>
      </c>
      <c r="P16" s="698">
        <f t="shared" si="0"/>
        <v>186.03666666666669</v>
      </c>
      <c r="Q16" s="698">
        <f t="shared" si="0"/>
        <v>1487.2</v>
      </c>
      <c r="R16" s="698">
        <f t="shared" ca="1" si="0"/>
        <v>329645.16600493656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20.089483007768617</v>
      </c>
      <c r="D19" s="971">
        <f>transport!C54</f>
        <v>0</v>
      </c>
      <c r="E19" s="971">
        <f>transport!D54</f>
        <v>0</v>
      </c>
      <c r="F19" s="971">
        <f>transport!E54</f>
        <v>0</v>
      </c>
      <c r="G19" s="971">
        <f>transport!F54</f>
        <v>0</v>
      </c>
      <c r="H19" s="971">
        <f>transport!G54</f>
        <v>1887.207522457602</v>
      </c>
      <c r="I19" s="971">
        <f>transport!H54</f>
        <v>0</v>
      </c>
      <c r="J19" s="971">
        <f>transport!I54</f>
        <v>0</v>
      </c>
      <c r="K19" s="971">
        <f>transport!J54</f>
        <v>0</v>
      </c>
      <c r="L19" s="971">
        <f>transport!K54</f>
        <v>0</v>
      </c>
      <c r="M19" s="971">
        <f>transport!L54</f>
        <v>0</v>
      </c>
      <c r="N19" s="971">
        <f>transport!M54</f>
        <v>108.67861484750279</v>
      </c>
      <c r="O19" s="971">
        <f>transport!N54</f>
        <v>0</v>
      </c>
      <c r="P19" s="971">
        <f>transport!O54</f>
        <v>0</v>
      </c>
      <c r="Q19" s="972">
        <f>transport!P54</f>
        <v>0</v>
      </c>
      <c r="R19" s="666">
        <f>SUM(C19:Q19)</f>
        <v>2015.9756203128734</v>
      </c>
      <c r="S19" s="67"/>
    </row>
    <row r="20" spans="1:19" s="439" customFormat="1">
      <c r="A20" s="775" t="s">
        <v>295</v>
      </c>
      <c r="B20" s="780"/>
      <c r="C20" s="971">
        <f>transport!B14</f>
        <v>62.503866205989226</v>
      </c>
      <c r="D20" s="971">
        <f>transport!C14</f>
        <v>0</v>
      </c>
      <c r="E20" s="971">
        <f>transport!D14</f>
        <v>112.50895662587347</v>
      </c>
      <c r="F20" s="971">
        <f>transport!E14</f>
        <v>195.18024898281365</v>
      </c>
      <c r="G20" s="971">
        <f>transport!F14</f>
        <v>0</v>
      </c>
      <c r="H20" s="971">
        <f>transport!G14</f>
        <v>71773.21601881455</v>
      </c>
      <c r="I20" s="971">
        <f>transport!H14</f>
        <v>18053.833773242997</v>
      </c>
      <c r="J20" s="971">
        <f>transport!I14</f>
        <v>0</v>
      </c>
      <c r="K20" s="971">
        <f>transport!J14</f>
        <v>0</v>
      </c>
      <c r="L20" s="971">
        <f>transport!K14</f>
        <v>0</v>
      </c>
      <c r="M20" s="971">
        <f>transport!L14</f>
        <v>0</v>
      </c>
      <c r="N20" s="971">
        <f>transport!M14</f>
        <v>4724.8964435627749</v>
      </c>
      <c r="O20" s="971">
        <f>transport!N14</f>
        <v>0</v>
      </c>
      <c r="P20" s="971">
        <f>transport!O14</f>
        <v>0</v>
      </c>
      <c r="Q20" s="972">
        <f>transport!P14</f>
        <v>0</v>
      </c>
      <c r="R20" s="666">
        <f>SUM(C20:Q20)</f>
        <v>94922.139307434991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82.593349213757847</v>
      </c>
      <c r="D22" s="778">
        <f t="shared" ref="D22:R22" si="1">SUM(D18:D21)</f>
        <v>0</v>
      </c>
      <c r="E22" s="778">
        <f t="shared" si="1"/>
        <v>112.50895662587347</v>
      </c>
      <c r="F22" s="778">
        <f t="shared" si="1"/>
        <v>195.18024898281365</v>
      </c>
      <c r="G22" s="778">
        <f t="shared" si="1"/>
        <v>0</v>
      </c>
      <c r="H22" s="778">
        <f t="shared" si="1"/>
        <v>73660.423541272146</v>
      </c>
      <c r="I22" s="778">
        <f t="shared" si="1"/>
        <v>18053.833773242997</v>
      </c>
      <c r="J22" s="778">
        <f t="shared" si="1"/>
        <v>0</v>
      </c>
      <c r="K22" s="778">
        <f t="shared" si="1"/>
        <v>0</v>
      </c>
      <c r="L22" s="778">
        <f t="shared" si="1"/>
        <v>0</v>
      </c>
      <c r="M22" s="778">
        <f t="shared" si="1"/>
        <v>0</v>
      </c>
      <c r="N22" s="778">
        <f t="shared" si="1"/>
        <v>4833.575058410278</v>
      </c>
      <c r="O22" s="778">
        <f t="shared" si="1"/>
        <v>0</v>
      </c>
      <c r="P22" s="778">
        <f t="shared" si="1"/>
        <v>0</v>
      </c>
      <c r="Q22" s="778">
        <f t="shared" si="1"/>
        <v>0</v>
      </c>
      <c r="R22" s="778">
        <f t="shared" si="1"/>
        <v>96938.114927747869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322.69210144280771</v>
      </c>
      <c r="D24" s="971">
        <f>+landbouw!C8</f>
        <v>0</v>
      </c>
      <c r="E24" s="971">
        <f>+landbouw!D8</f>
        <v>459.18097074048472</v>
      </c>
      <c r="F24" s="971">
        <f>+landbouw!E8</f>
        <v>9.4849064768431361</v>
      </c>
      <c r="G24" s="971">
        <f>+landbouw!F8</f>
        <v>1344.3178572448219</v>
      </c>
      <c r="H24" s="971">
        <f>+landbouw!G8</f>
        <v>0</v>
      </c>
      <c r="I24" s="971">
        <f>+landbouw!H8</f>
        <v>0</v>
      </c>
      <c r="J24" s="971">
        <f>+landbouw!I8</f>
        <v>0</v>
      </c>
      <c r="K24" s="971">
        <f>+landbouw!J8</f>
        <v>46.751155606858653</v>
      </c>
      <c r="L24" s="971">
        <f>+landbouw!K8</f>
        <v>0</v>
      </c>
      <c r="M24" s="971">
        <f>+landbouw!L8</f>
        <v>0</v>
      </c>
      <c r="N24" s="971">
        <f>+landbouw!M8</f>
        <v>0</v>
      </c>
      <c r="O24" s="971">
        <f>+landbouw!N8</f>
        <v>0</v>
      </c>
      <c r="P24" s="971">
        <f>+landbouw!O8</f>
        <v>0</v>
      </c>
      <c r="Q24" s="972">
        <f>+landbouw!P8</f>
        <v>0</v>
      </c>
      <c r="R24" s="666">
        <f>SUM(C24:Q24)</f>
        <v>2182.4269915118157</v>
      </c>
      <c r="S24" s="67"/>
    </row>
    <row r="25" spans="1:19" s="439" customFormat="1" ht="15" thickBot="1">
      <c r="A25" s="797" t="s">
        <v>802</v>
      </c>
      <c r="B25" s="974"/>
      <c r="C25" s="975">
        <f>IF(Onbekend_ele_kWh="---",0,Onbekend_ele_kWh)/1000+IF(REST_rest_ele_kWh="---",0,REST_rest_ele_kWh)/1000</f>
        <v>2021.8302252768999</v>
      </c>
      <c r="D25" s="975"/>
      <c r="E25" s="975">
        <f>IF(onbekend_gas_kWh="---",0,onbekend_gas_kWh)/1000+IF(REST_rest_gas_kWh="---",0,REST_rest_gas_kWh)/1000</f>
        <v>5817.8591924767106</v>
      </c>
      <c r="F25" s="975"/>
      <c r="G25" s="975"/>
      <c r="H25" s="975"/>
      <c r="I25" s="975"/>
      <c r="J25" s="975"/>
      <c r="K25" s="975"/>
      <c r="L25" s="975"/>
      <c r="M25" s="975"/>
      <c r="N25" s="975"/>
      <c r="O25" s="975"/>
      <c r="P25" s="975"/>
      <c r="Q25" s="976"/>
      <c r="R25" s="666">
        <f>SUM(C25:Q25)</f>
        <v>7839.6894177536105</v>
      </c>
      <c r="S25" s="67"/>
    </row>
    <row r="26" spans="1:19" s="439" customFormat="1" ht="15.75" thickBot="1">
      <c r="A26" s="671" t="s">
        <v>803</v>
      </c>
      <c r="B26" s="783"/>
      <c r="C26" s="778">
        <f>SUM(C24:C25)</f>
        <v>2344.5223267197075</v>
      </c>
      <c r="D26" s="778">
        <f t="shared" ref="D26:R26" si="2">SUM(D24:D25)</f>
        <v>0</v>
      </c>
      <c r="E26" s="778">
        <f t="shared" si="2"/>
        <v>6277.0401632171952</v>
      </c>
      <c r="F26" s="778">
        <f t="shared" si="2"/>
        <v>9.4849064768431361</v>
      </c>
      <c r="G26" s="778">
        <f t="shared" si="2"/>
        <v>1344.3178572448219</v>
      </c>
      <c r="H26" s="778">
        <f t="shared" si="2"/>
        <v>0</v>
      </c>
      <c r="I26" s="778">
        <f t="shared" si="2"/>
        <v>0</v>
      </c>
      <c r="J26" s="778">
        <f t="shared" si="2"/>
        <v>0</v>
      </c>
      <c r="K26" s="778">
        <f t="shared" si="2"/>
        <v>46.751155606858653</v>
      </c>
      <c r="L26" s="778">
        <f t="shared" si="2"/>
        <v>0</v>
      </c>
      <c r="M26" s="778">
        <f t="shared" si="2"/>
        <v>0</v>
      </c>
      <c r="N26" s="778">
        <f t="shared" si="2"/>
        <v>0</v>
      </c>
      <c r="O26" s="778">
        <f t="shared" si="2"/>
        <v>0</v>
      </c>
      <c r="P26" s="778">
        <f t="shared" si="2"/>
        <v>0</v>
      </c>
      <c r="Q26" s="778">
        <f t="shared" si="2"/>
        <v>0</v>
      </c>
      <c r="R26" s="778">
        <f t="shared" si="2"/>
        <v>10022.116409265425</v>
      </c>
      <c r="S26" s="67"/>
    </row>
    <row r="27" spans="1:19" s="439" customFormat="1" ht="17.25" thickTop="1" thickBot="1">
      <c r="A27" s="672" t="s">
        <v>109</v>
      </c>
      <c r="B27" s="771"/>
      <c r="C27" s="673">
        <f ca="1">C22+C16+C26</f>
        <v>78297.340309540319</v>
      </c>
      <c r="D27" s="673">
        <f t="shared" ref="D27:R27" ca="1" si="3">D22+D16+D26</f>
        <v>24.351351351351351</v>
      </c>
      <c r="E27" s="673">
        <f t="shared" ca="1" si="3"/>
        <v>194840.56515983903</v>
      </c>
      <c r="F27" s="673">
        <f t="shared" si="3"/>
        <v>2488.3225811043194</v>
      </c>
      <c r="G27" s="673">
        <f t="shared" ca="1" si="3"/>
        <v>47316.911805458898</v>
      </c>
      <c r="H27" s="673">
        <f t="shared" si="3"/>
        <v>73660.423541272146</v>
      </c>
      <c r="I27" s="673">
        <f t="shared" si="3"/>
        <v>18053.833773242997</v>
      </c>
      <c r="J27" s="673">
        <f t="shared" si="3"/>
        <v>0</v>
      </c>
      <c r="K27" s="673">
        <f t="shared" si="3"/>
        <v>241.07357748320234</v>
      </c>
      <c r="L27" s="673">
        <f t="shared" si="3"/>
        <v>0</v>
      </c>
      <c r="M27" s="673">
        <f t="shared" ca="1" si="3"/>
        <v>0</v>
      </c>
      <c r="N27" s="673">
        <f t="shared" si="3"/>
        <v>4833.575058410278</v>
      </c>
      <c r="O27" s="673">
        <f t="shared" ca="1" si="3"/>
        <v>15175.763517580657</v>
      </c>
      <c r="P27" s="673">
        <f t="shared" si="3"/>
        <v>186.03666666666669</v>
      </c>
      <c r="Q27" s="673">
        <f t="shared" si="3"/>
        <v>1487.2</v>
      </c>
      <c r="R27" s="673">
        <f t="shared" ca="1" si="3"/>
        <v>436605.39734194987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6042.0687217135574</v>
      </c>
      <c r="D40" s="971">
        <f ca="1">tertiair!C20</f>
        <v>5.4655255255255248</v>
      </c>
      <c r="E40" s="971">
        <f ca="1">tertiair!D20</f>
        <v>9425.323657173536</v>
      </c>
      <c r="F40" s="971">
        <f>tertiair!E20</f>
        <v>84.35263095804514</v>
      </c>
      <c r="G40" s="971">
        <f ca="1">tertiair!F20</f>
        <v>1292.1499385399295</v>
      </c>
      <c r="H40" s="971">
        <f>tertiair!G20</f>
        <v>0</v>
      </c>
      <c r="I40" s="971">
        <f>tertiair!H20</f>
        <v>0</v>
      </c>
      <c r="J40" s="971">
        <f>tertiair!I20</f>
        <v>0</v>
      </c>
      <c r="K40" s="971">
        <f>tertiair!J20</f>
        <v>3.1808923617414803E-2</v>
      </c>
      <c r="L40" s="971">
        <f>tertiair!K20</f>
        <v>0</v>
      </c>
      <c r="M40" s="971">
        <f ca="1">tertiair!L20</f>
        <v>0</v>
      </c>
      <c r="N40" s="971">
        <f>tertiair!M20</f>
        <v>0</v>
      </c>
      <c r="O40" s="971">
        <f ca="1">tertiair!N20</f>
        <v>0</v>
      </c>
      <c r="P40" s="971">
        <f>tertiair!O20</f>
        <v>0</v>
      </c>
      <c r="Q40" s="740">
        <f>tertiair!P20</f>
        <v>0</v>
      </c>
      <c r="R40" s="816">
        <f t="shared" ca="1" si="4"/>
        <v>16849.392282834211</v>
      </c>
    </row>
    <row r="41" spans="1:18">
      <c r="A41" s="788" t="s">
        <v>213</v>
      </c>
      <c r="B41" s="795"/>
      <c r="C41" s="971">
        <f ca="1">huishoudens!B12</f>
        <v>9801.6357016354632</v>
      </c>
      <c r="D41" s="971">
        <f ca="1">huishoudens!C12</f>
        <v>0</v>
      </c>
      <c r="E41" s="971">
        <f>huishoudens!D12</f>
        <v>27756.431463141729</v>
      </c>
      <c r="F41" s="971">
        <f>huishoudens!E12</f>
        <v>360.05653934959804</v>
      </c>
      <c r="G41" s="971">
        <f>huishoudens!F12</f>
        <v>10729.658173584168</v>
      </c>
      <c r="H41" s="971">
        <f>huishoudens!G12</f>
        <v>0</v>
      </c>
      <c r="I41" s="971">
        <f>huishoudens!H12</f>
        <v>0</v>
      </c>
      <c r="J41" s="971">
        <f>huishoudens!I12</f>
        <v>0</v>
      </c>
      <c r="K41" s="971">
        <f>huishoudens!J12</f>
        <v>68.453140901662096</v>
      </c>
      <c r="L41" s="971">
        <f>huishoudens!K12</f>
        <v>0</v>
      </c>
      <c r="M41" s="971">
        <f>huishoudens!L12</f>
        <v>0</v>
      </c>
      <c r="N41" s="971">
        <f>huishoudens!M12</f>
        <v>0</v>
      </c>
      <c r="O41" s="971">
        <f>huishoudens!N12</f>
        <v>0</v>
      </c>
      <c r="P41" s="971">
        <f>huishoudens!O12</f>
        <v>0</v>
      </c>
      <c r="Q41" s="740">
        <f>huishoudens!P12</f>
        <v>0</v>
      </c>
      <c r="R41" s="816">
        <f t="shared" ca="1" si="4"/>
        <v>48716.235018612628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432.71307134757581</v>
      </c>
      <c r="D43" s="971">
        <f ca="1">industrie!C22</f>
        <v>0</v>
      </c>
      <c r="E43" s="971">
        <f>industrie!D22</f>
        <v>885.35011976391399</v>
      </c>
      <c r="F43" s="971">
        <f>industrie!E22</f>
        <v>73.981065313695268</v>
      </c>
      <c r="G43" s="971">
        <f>industrie!F22</f>
        <v>252.87447204906181</v>
      </c>
      <c r="H43" s="971">
        <f>industrie!G22</f>
        <v>0</v>
      </c>
      <c r="I43" s="971">
        <f>industrie!H22</f>
        <v>0</v>
      </c>
      <c r="J43" s="971">
        <f>industrie!I22</f>
        <v>0</v>
      </c>
      <c r="K43" s="971">
        <f>industrie!J22</f>
        <v>0.30518751894616047</v>
      </c>
      <c r="L43" s="971">
        <f>industrie!K22</f>
        <v>0</v>
      </c>
      <c r="M43" s="971">
        <f>industrie!L22</f>
        <v>0</v>
      </c>
      <c r="N43" s="971">
        <f>industrie!M22</f>
        <v>0</v>
      </c>
      <c r="O43" s="971">
        <f>industrie!N22</f>
        <v>0</v>
      </c>
      <c r="P43" s="971">
        <f>industrie!O22</f>
        <v>0</v>
      </c>
      <c r="Q43" s="740">
        <f>industrie!P22</f>
        <v>0</v>
      </c>
      <c r="R43" s="815">
        <f t="shared" ca="1" si="4"/>
        <v>1645.223915993193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16276.417494696596</v>
      </c>
      <c r="D46" s="698">
        <f t="shared" ref="D46:Q46" ca="1" si="5">SUM(D39:D45)</f>
        <v>5.4655255255255248</v>
      </c>
      <c r="E46" s="698">
        <f t="shared" ca="1" si="5"/>
        <v>38067.105240079181</v>
      </c>
      <c r="F46" s="698">
        <f t="shared" si="5"/>
        <v>518.39023562133843</v>
      </c>
      <c r="G46" s="698">
        <f t="shared" ca="1" si="5"/>
        <v>12274.682584173159</v>
      </c>
      <c r="H46" s="698">
        <f t="shared" si="5"/>
        <v>0</v>
      </c>
      <c r="I46" s="698">
        <f t="shared" si="5"/>
        <v>0</v>
      </c>
      <c r="J46" s="698">
        <f t="shared" si="5"/>
        <v>0</v>
      </c>
      <c r="K46" s="698">
        <f t="shared" si="5"/>
        <v>68.79013734422567</v>
      </c>
      <c r="L46" s="698">
        <f t="shared" si="5"/>
        <v>0</v>
      </c>
      <c r="M46" s="698">
        <f t="shared" ca="1" si="5"/>
        <v>0</v>
      </c>
      <c r="N46" s="698">
        <f t="shared" si="5"/>
        <v>0</v>
      </c>
      <c r="O46" s="698">
        <f t="shared" ca="1" si="5"/>
        <v>0</v>
      </c>
      <c r="P46" s="698">
        <f t="shared" si="5"/>
        <v>0</v>
      </c>
      <c r="Q46" s="698">
        <f t="shared" si="5"/>
        <v>0</v>
      </c>
      <c r="R46" s="698">
        <f ca="1">SUM(R39:R45)</f>
        <v>67210.851217440024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4.3097910183623824</v>
      </c>
      <c r="D49" s="971">
        <f ca="1">transport!C58</f>
        <v>0</v>
      </c>
      <c r="E49" s="971">
        <f>transport!D58</f>
        <v>0</v>
      </c>
      <c r="F49" s="971">
        <f>transport!E58</f>
        <v>0</v>
      </c>
      <c r="G49" s="971">
        <f>transport!F58</f>
        <v>0</v>
      </c>
      <c r="H49" s="971">
        <f>transport!G58</f>
        <v>503.88440849617973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508.19419951454211</v>
      </c>
    </row>
    <row r="50" spans="1:18">
      <c r="A50" s="791" t="s">
        <v>295</v>
      </c>
      <c r="B50" s="801"/>
      <c r="C50" s="669">
        <f ca="1">transport!B18</f>
        <v>13.40893646109895</v>
      </c>
      <c r="D50" s="669">
        <f>transport!C18</f>
        <v>0</v>
      </c>
      <c r="E50" s="669">
        <f>transport!D18</f>
        <v>22.726809238426441</v>
      </c>
      <c r="F50" s="669">
        <f>transport!E18</f>
        <v>44.305916519098702</v>
      </c>
      <c r="G50" s="669">
        <f>transport!F18</f>
        <v>0</v>
      </c>
      <c r="H50" s="669">
        <f>transport!G18</f>
        <v>19163.448677023487</v>
      </c>
      <c r="I50" s="669">
        <f>transport!H18</f>
        <v>4495.4046095375061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23739.294948779618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17.718727479461332</v>
      </c>
      <c r="D52" s="698">
        <f t="shared" ref="D52:Q52" ca="1" si="6">SUM(D48:D51)</f>
        <v>0</v>
      </c>
      <c r="E52" s="698">
        <f t="shared" si="6"/>
        <v>22.726809238426441</v>
      </c>
      <c r="F52" s="698">
        <f t="shared" si="6"/>
        <v>44.305916519098702</v>
      </c>
      <c r="G52" s="698">
        <f t="shared" si="6"/>
        <v>0</v>
      </c>
      <c r="H52" s="698">
        <f t="shared" si="6"/>
        <v>19667.333085519665</v>
      </c>
      <c r="I52" s="698">
        <f t="shared" si="6"/>
        <v>4495.4046095375061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24247.48914829416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69.227043819738768</v>
      </c>
      <c r="D54" s="669">
        <f ca="1">+landbouw!C12</f>
        <v>0</v>
      </c>
      <c r="E54" s="669">
        <f>+landbouw!D12</f>
        <v>92.754556089577918</v>
      </c>
      <c r="F54" s="669">
        <f>+landbouw!E12</f>
        <v>2.1530737702433922</v>
      </c>
      <c r="G54" s="669">
        <f>+landbouw!F12</f>
        <v>358.93286788436745</v>
      </c>
      <c r="H54" s="669">
        <f>+landbouw!G12</f>
        <v>0</v>
      </c>
      <c r="I54" s="669">
        <f>+landbouw!H12</f>
        <v>0</v>
      </c>
      <c r="J54" s="669">
        <f>+landbouw!I12</f>
        <v>0</v>
      </c>
      <c r="K54" s="669">
        <f>+landbouw!J12</f>
        <v>16.549909084827963</v>
      </c>
      <c r="L54" s="669">
        <f>+landbouw!K12</f>
        <v>0</v>
      </c>
      <c r="M54" s="669">
        <f>+landbouw!L12</f>
        <v>0</v>
      </c>
      <c r="N54" s="669">
        <f>+landbouw!M12</f>
        <v>0</v>
      </c>
      <c r="O54" s="669">
        <f>+landbouw!N12</f>
        <v>0</v>
      </c>
      <c r="P54" s="669">
        <f>+landbouw!O12</f>
        <v>0</v>
      </c>
      <c r="Q54" s="670">
        <f>+landbouw!P12</f>
        <v>0</v>
      </c>
      <c r="R54" s="697">
        <f ca="1">SUM(C54:Q54)</f>
        <v>539.61745064875549</v>
      </c>
    </row>
    <row r="55" spans="1:18" ht="15" thickBot="1">
      <c r="A55" s="791" t="s">
        <v>802</v>
      </c>
      <c r="B55" s="801"/>
      <c r="C55" s="669">
        <f ca="1">C25*'EF ele_warmte'!B12</f>
        <v>433.74265739852012</v>
      </c>
      <c r="D55" s="669"/>
      <c r="E55" s="669">
        <f>E25*EF_CO2_aardgas</f>
        <v>1175.2075568802957</v>
      </c>
      <c r="F55" s="669"/>
      <c r="G55" s="669"/>
      <c r="H55" s="669"/>
      <c r="I55" s="669"/>
      <c r="J55" s="669"/>
      <c r="K55" s="669"/>
      <c r="L55" s="669"/>
      <c r="M55" s="669"/>
      <c r="N55" s="669"/>
      <c r="O55" s="669"/>
      <c r="P55" s="669"/>
      <c r="Q55" s="670"/>
      <c r="R55" s="697">
        <f ca="1">SUM(C55:Q55)</f>
        <v>1608.9502142788158</v>
      </c>
    </row>
    <row r="56" spans="1:18" ht="15.75" thickBot="1">
      <c r="A56" s="789" t="s">
        <v>803</v>
      </c>
      <c r="B56" s="802"/>
      <c r="C56" s="698">
        <f ca="1">SUM(C54:C55)</f>
        <v>502.96970121825888</v>
      </c>
      <c r="D56" s="698">
        <f t="shared" ref="D56:Q56" ca="1" si="7">SUM(D54:D55)</f>
        <v>0</v>
      </c>
      <c r="E56" s="698">
        <f t="shared" si="7"/>
        <v>1267.9621129698735</v>
      </c>
      <c r="F56" s="698">
        <f t="shared" si="7"/>
        <v>2.1530737702433922</v>
      </c>
      <c r="G56" s="698">
        <f t="shared" si="7"/>
        <v>358.93286788436745</v>
      </c>
      <c r="H56" s="698">
        <f t="shared" si="7"/>
        <v>0</v>
      </c>
      <c r="I56" s="698">
        <f t="shared" si="7"/>
        <v>0</v>
      </c>
      <c r="J56" s="698">
        <f t="shared" si="7"/>
        <v>0</v>
      </c>
      <c r="K56" s="698">
        <f t="shared" si="7"/>
        <v>16.549909084827963</v>
      </c>
      <c r="L56" s="698">
        <f t="shared" si="7"/>
        <v>0</v>
      </c>
      <c r="M56" s="698">
        <f t="shared" si="7"/>
        <v>0</v>
      </c>
      <c r="N56" s="698">
        <f t="shared" si="7"/>
        <v>0</v>
      </c>
      <c r="O56" s="698">
        <f t="shared" si="7"/>
        <v>0</v>
      </c>
      <c r="P56" s="698">
        <f t="shared" si="7"/>
        <v>0</v>
      </c>
      <c r="Q56" s="699">
        <f t="shared" si="7"/>
        <v>0</v>
      </c>
      <c r="R56" s="700">
        <f ca="1">SUM(R54:R55)</f>
        <v>2148.5676649275711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16797.105923394316</v>
      </c>
      <c r="D61" s="706">
        <f t="shared" ref="D61:Q61" ca="1" si="8">D46+D52+D56</f>
        <v>5.4655255255255248</v>
      </c>
      <c r="E61" s="706">
        <f t="shared" ca="1" si="8"/>
        <v>39357.794162287479</v>
      </c>
      <c r="F61" s="706">
        <f t="shared" si="8"/>
        <v>564.8492259106805</v>
      </c>
      <c r="G61" s="706">
        <f t="shared" ca="1" si="8"/>
        <v>12633.615452057526</v>
      </c>
      <c r="H61" s="706">
        <f t="shared" si="8"/>
        <v>19667.333085519665</v>
      </c>
      <c r="I61" s="706">
        <f t="shared" si="8"/>
        <v>4495.4046095375061</v>
      </c>
      <c r="J61" s="706">
        <f t="shared" si="8"/>
        <v>0</v>
      </c>
      <c r="K61" s="706">
        <f t="shared" si="8"/>
        <v>85.340046429053629</v>
      </c>
      <c r="L61" s="706">
        <f t="shared" si="8"/>
        <v>0</v>
      </c>
      <c r="M61" s="706">
        <f t="shared" ca="1" si="8"/>
        <v>0</v>
      </c>
      <c r="N61" s="706">
        <f t="shared" si="8"/>
        <v>0</v>
      </c>
      <c r="O61" s="706">
        <f t="shared" ca="1" si="8"/>
        <v>0</v>
      </c>
      <c r="P61" s="706">
        <f t="shared" si="8"/>
        <v>0</v>
      </c>
      <c r="Q61" s="706">
        <f t="shared" si="8"/>
        <v>0</v>
      </c>
      <c r="R61" s="706">
        <f ca="1">R46+R52+R56</f>
        <v>93606.908030661754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0.21452971272062013</v>
      </c>
      <c r="D63" s="747">
        <f t="shared" ca="1" si="9"/>
        <v>0.22444444444444442</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2292.6010885504402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17</v>
      </c>
      <c r="D76" s="992">
        <f>'lokale energieproductie'!C8</f>
        <v>18.888888888888886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3.8155555555555551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2292.6010885504402</v>
      </c>
      <c r="C78" s="721">
        <f>SUM(C72:C77)</f>
        <v>17</v>
      </c>
      <c r="D78" s="722">
        <f t="shared" ref="D78:H78" si="10">SUM(D76:D77)</f>
        <v>18.888888888888886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3.8155555555555551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24.351351351351351</v>
      </c>
      <c r="D87" s="743">
        <f>'lokale energieproductie'!C17</f>
        <v>27.057057057057051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5.4655255255255248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24.351351351351351</v>
      </c>
      <c r="D90" s="721">
        <f t="shared" ref="D90:H90" si="12">SUM(D87:D89)</f>
        <v>27.057057057057051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5.4655255255255248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45688.942465513072</v>
      </c>
      <c r="C4" s="443">
        <f>huishoudens!C8</f>
        <v>0</v>
      </c>
      <c r="D4" s="443">
        <f>huishoudens!D8</f>
        <v>137408.07655020658</v>
      </c>
      <c r="E4" s="443">
        <f>huishoudens!E8</f>
        <v>1586.1521557251015</v>
      </c>
      <c r="F4" s="443">
        <f>huishoudens!F8</f>
        <v>40185.985668854562</v>
      </c>
      <c r="G4" s="443">
        <f>huishoudens!G8</f>
        <v>0</v>
      </c>
      <c r="H4" s="443">
        <f>huishoudens!H8</f>
        <v>0</v>
      </c>
      <c r="I4" s="443">
        <f>huishoudens!I8</f>
        <v>0</v>
      </c>
      <c r="J4" s="443">
        <f>huishoudens!J8</f>
        <v>193.37045452446921</v>
      </c>
      <c r="K4" s="443">
        <f>huishoudens!K8</f>
        <v>0</v>
      </c>
      <c r="L4" s="443">
        <f>huishoudens!L8</f>
        <v>0</v>
      </c>
      <c r="M4" s="443">
        <f>huishoudens!M8</f>
        <v>0</v>
      </c>
      <c r="N4" s="443">
        <f>huishoudens!N8</f>
        <v>11453.274559404441</v>
      </c>
      <c r="O4" s="443">
        <f>huishoudens!O8</f>
        <v>181.34666666666669</v>
      </c>
      <c r="P4" s="444">
        <f>huishoudens!P8</f>
        <v>1449.0666666666666</v>
      </c>
      <c r="Q4" s="445">
        <f>SUM(B4:P4)</f>
        <v>238146.21518756158</v>
      </c>
    </row>
    <row r="5" spans="1:17">
      <c r="A5" s="442" t="s">
        <v>149</v>
      </c>
      <c r="B5" s="443">
        <f ca="1">tertiair!B16</f>
        <v>27191.49721298736</v>
      </c>
      <c r="C5" s="443">
        <f ca="1">tertiair!C16</f>
        <v>24.351351351351351</v>
      </c>
      <c r="D5" s="443">
        <f ca="1">tertiair!D16</f>
        <v>46660.018104819486</v>
      </c>
      <c r="E5" s="443">
        <f>tertiair!E16</f>
        <v>371.59749320724728</v>
      </c>
      <c r="F5" s="443">
        <f ca="1">tertiair!F16</f>
        <v>4839.5128784267017</v>
      </c>
      <c r="G5" s="443">
        <f>tertiair!G16</f>
        <v>0</v>
      </c>
      <c r="H5" s="443">
        <f>tertiair!H16</f>
        <v>0</v>
      </c>
      <c r="I5" s="443">
        <f>tertiair!I16</f>
        <v>0</v>
      </c>
      <c r="J5" s="443">
        <f>tertiair!J16</f>
        <v>8.9855716433375157E-2</v>
      </c>
      <c r="K5" s="443">
        <f>tertiair!K16</f>
        <v>0</v>
      </c>
      <c r="L5" s="443">
        <f ca="1">tertiair!L16</f>
        <v>0</v>
      </c>
      <c r="M5" s="443">
        <f>tertiair!M16</f>
        <v>0</v>
      </c>
      <c r="N5" s="443">
        <f ca="1">tertiair!N16</f>
        <v>3556.1702504906239</v>
      </c>
      <c r="O5" s="443">
        <f>tertiair!O16</f>
        <v>4.6900000000000004</v>
      </c>
      <c r="P5" s="444">
        <f>tertiair!P16</f>
        <v>38.133333333333333</v>
      </c>
      <c r="Q5" s="442">
        <f t="shared" ref="Q5:Q14" ca="1" si="0">SUM(B5:P5)</f>
        <v>82686.060480332526</v>
      </c>
    </row>
    <row r="6" spans="1:17">
      <c r="A6" s="442" t="s">
        <v>187</v>
      </c>
      <c r="B6" s="443">
        <f>'openbare verlichting'!B8</f>
        <v>972.75400000000002</v>
      </c>
      <c r="C6" s="443"/>
      <c r="D6" s="443"/>
      <c r="E6" s="443"/>
      <c r="F6" s="443"/>
      <c r="G6" s="443"/>
      <c r="H6" s="443"/>
      <c r="I6" s="443"/>
      <c r="J6" s="443"/>
      <c r="K6" s="443"/>
      <c r="L6" s="443"/>
      <c r="M6" s="443"/>
      <c r="N6" s="443"/>
      <c r="O6" s="443"/>
      <c r="P6" s="444"/>
      <c r="Q6" s="442">
        <f t="shared" si="0"/>
        <v>972.75400000000002</v>
      </c>
    </row>
    <row r="7" spans="1:17">
      <c r="A7" s="442" t="s">
        <v>105</v>
      </c>
      <c r="B7" s="443">
        <f>landbouw!B8</f>
        <v>322.69210144280771</v>
      </c>
      <c r="C7" s="443">
        <f>landbouw!C8</f>
        <v>0</v>
      </c>
      <c r="D7" s="443">
        <f>landbouw!D8</f>
        <v>459.18097074048472</v>
      </c>
      <c r="E7" s="443">
        <f>landbouw!E8</f>
        <v>9.4849064768431361</v>
      </c>
      <c r="F7" s="443">
        <f>landbouw!F8</f>
        <v>1344.3178572448219</v>
      </c>
      <c r="G7" s="443">
        <f>landbouw!G8</f>
        <v>0</v>
      </c>
      <c r="H7" s="443">
        <f>landbouw!H8</f>
        <v>0</v>
      </c>
      <c r="I7" s="443">
        <f>landbouw!I8</f>
        <v>0</v>
      </c>
      <c r="J7" s="443">
        <f>landbouw!J8</f>
        <v>46.751155606858653</v>
      </c>
      <c r="K7" s="443">
        <f>landbouw!K8</f>
        <v>0</v>
      </c>
      <c r="L7" s="443">
        <f>landbouw!L8</f>
        <v>0</v>
      </c>
      <c r="M7" s="443">
        <f>landbouw!M8</f>
        <v>0</v>
      </c>
      <c r="N7" s="443">
        <f>landbouw!N8</f>
        <v>0</v>
      </c>
      <c r="O7" s="443">
        <f>landbouw!O8</f>
        <v>0</v>
      </c>
      <c r="P7" s="444">
        <f>landbouw!P8</f>
        <v>0</v>
      </c>
      <c r="Q7" s="442">
        <f t="shared" si="0"/>
        <v>2182.4269915118157</v>
      </c>
    </row>
    <row r="8" spans="1:17">
      <c r="A8" s="442" t="s">
        <v>621</v>
      </c>
      <c r="B8" s="443">
        <f>industrie!B18</f>
        <v>2017.0309551064079</v>
      </c>
      <c r="C8" s="443">
        <f>industrie!C18</f>
        <v>0</v>
      </c>
      <c r="D8" s="443">
        <f>industrie!D18</f>
        <v>4382.9213849698708</v>
      </c>
      <c r="E8" s="443">
        <f>industrie!E18</f>
        <v>325.90777671231393</v>
      </c>
      <c r="F8" s="443">
        <f>industrie!F18</f>
        <v>947.09540093281566</v>
      </c>
      <c r="G8" s="443">
        <f>industrie!G18</f>
        <v>0</v>
      </c>
      <c r="H8" s="443">
        <f>industrie!H18</f>
        <v>0</v>
      </c>
      <c r="I8" s="443">
        <f>industrie!I18</f>
        <v>0</v>
      </c>
      <c r="J8" s="443">
        <f>industrie!J18</f>
        <v>0.86211163544113134</v>
      </c>
      <c r="K8" s="443">
        <f>industrie!K18</f>
        <v>0</v>
      </c>
      <c r="L8" s="443">
        <f>industrie!L18</f>
        <v>0</v>
      </c>
      <c r="M8" s="443">
        <f>industrie!M18</f>
        <v>0</v>
      </c>
      <c r="N8" s="443">
        <f>industrie!N18</f>
        <v>166.31870768559119</v>
      </c>
      <c r="O8" s="443">
        <f>industrie!O18</f>
        <v>0</v>
      </c>
      <c r="P8" s="444">
        <f>industrie!P18</f>
        <v>0</v>
      </c>
      <c r="Q8" s="442">
        <f t="shared" si="0"/>
        <v>7840.1363370424406</v>
      </c>
    </row>
    <row r="9" spans="1:17" s="448" customFormat="1">
      <c r="A9" s="446" t="s">
        <v>547</v>
      </c>
      <c r="B9" s="447">
        <f>transport!B14</f>
        <v>62.503866205989226</v>
      </c>
      <c r="C9" s="447">
        <f>transport!C14</f>
        <v>0</v>
      </c>
      <c r="D9" s="447">
        <f>transport!D14</f>
        <v>112.50895662587347</v>
      </c>
      <c r="E9" s="447">
        <f>transport!E14</f>
        <v>195.18024898281365</v>
      </c>
      <c r="F9" s="447">
        <f>transport!F14</f>
        <v>0</v>
      </c>
      <c r="G9" s="447">
        <f>transport!G14</f>
        <v>71773.21601881455</v>
      </c>
      <c r="H9" s="447">
        <f>transport!H14</f>
        <v>18053.833773242997</v>
      </c>
      <c r="I9" s="447">
        <f>transport!I14</f>
        <v>0</v>
      </c>
      <c r="J9" s="447">
        <f>transport!J14</f>
        <v>0</v>
      </c>
      <c r="K9" s="447">
        <f>transport!K14</f>
        <v>0</v>
      </c>
      <c r="L9" s="447">
        <f>transport!L14</f>
        <v>0</v>
      </c>
      <c r="M9" s="447">
        <f>transport!M14</f>
        <v>4724.8964435627749</v>
      </c>
      <c r="N9" s="447">
        <f>transport!N14</f>
        <v>0</v>
      </c>
      <c r="O9" s="447">
        <f>transport!O14</f>
        <v>0</v>
      </c>
      <c r="P9" s="447">
        <f>transport!P14</f>
        <v>0</v>
      </c>
      <c r="Q9" s="446">
        <f>SUM(B9:P9)</f>
        <v>94922.139307434991</v>
      </c>
    </row>
    <row r="10" spans="1:17">
      <c r="A10" s="442" t="s">
        <v>537</v>
      </c>
      <c r="B10" s="443">
        <f>transport!B54</f>
        <v>20.089483007768617</v>
      </c>
      <c r="C10" s="443">
        <f>transport!C54</f>
        <v>0</v>
      </c>
      <c r="D10" s="443">
        <f>transport!D54</f>
        <v>0</v>
      </c>
      <c r="E10" s="443">
        <f>transport!E54</f>
        <v>0</v>
      </c>
      <c r="F10" s="443">
        <f>transport!F54</f>
        <v>0</v>
      </c>
      <c r="G10" s="443">
        <f>transport!G54</f>
        <v>1887.207522457602</v>
      </c>
      <c r="H10" s="443">
        <f>transport!H54</f>
        <v>0</v>
      </c>
      <c r="I10" s="443">
        <f>transport!I54</f>
        <v>0</v>
      </c>
      <c r="J10" s="443">
        <f>transport!J54</f>
        <v>0</v>
      </c>
      <c r="K10" s="443">
        <f>transport!K54</f>
        <v>0</v>
      </c>
      <c r="L10" s="443">
        <f>transport!L54</f>
        <v>0</v>
      </c>
      <c r="M10" s="443">
        <f>transport!M54</f>
        <v>108.67861484750279</v>
      </c>
      <c r="N10" s="443">
        <f>transport!N54</f>
        <v>0</v>
      </c>
      <c r="O10" s="443">
        <f>transport!O54</f>
        <v>0</v>
      </c>
      <c r="P10" s="444">
        <f>transport!P54</f>
        <v>0</v>
      </c>
      <c r="Q10" s="442">
        <f t="shared" si="0"/>
        <v>2015.9756203128734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2021.8302252768999</v>
      </c>
      <c r="C14" s="450"/>
      <c r="D14" s="450">
        <f>'SEAP template'!E25</f>
        <v>5817.8591924767106</v>
      </c>
      <c r="E14" s="450"/>
      <c r="F14" s="450"/>
      <c r="G14" s="450"/>
      <c r="H14" s="450"/>
      <c r="I14" s="450"/>
      <c r="J14" s="450"/>
      <c r="K14" s="450"/>
      <c r="L14" s="450"/>
      <c r="M14" s="450"/>
      <c r="N14" s="450"/>
      <c r="O14" s="450"/>
      <c r="P14" s="451"/>
      <c r="Q14" s="442">
        <f t="shared" si="0"/>
        <v>7839.6894177536105</v>
      </c>
    </row>
    <row r="15" spans="1:17" s="452" customFormat="1">
      <c r="A15" s="997" t="s">
        <v>541</v>
      </c>
      <c r="B15" s="945">
        <f ca="1">SUM(B4:B14)</f>
        <v>78297.340309540334</v>
      </c>
      <c r="C15" s="945">
        <f t="shared" ref="C15:Q15" ca="1" si="1">SUM(C4:C14)</f>
        <v>24.351351351351351</v>
      </c>
      <c r="D15" s="945">
        <f t="shared" ca="1" si="1"/>
        <v>194840.56515983903</v>
      </c>
      <c r="E15" s="945">
        <f t="shared" si="1"/>
        <v>2488.3225811043194</v>
      </c>
      <c r="F15" s="945">
        <f t="shared" ca="1" si="1"/>
        <v>47316.911805458898</v>
      </c>
      <c r="G15" s="945">
        <f t="shared" si="1"/>
        <v>73660.423541272146</v>
      </c>
      <c r="H15" s="945">
        <f t="shared" si="1"/>
        <v>18053.833773242997</v>
      </c>
      <c r="I15" s="945">
        <f t="shared" si="1"/>
        <v>0</v>
      </c>
      <c r="J15" s="945">
        <f t="shared" si="1"/>
        <v>241.07357748320234</v>
      </c>
      <c r="K15" s="945">
        <f t="shared" si="1"/>
        <v>0</v>
      </c>
      <c r="L15" s="945">
        <f t="shared" ca="1" si="1"/>
        <v>0</v>
      </c>
      <c r="M15" s="945">
        <f t="shared" si="1"/>
        <v>4833.575058410278</v>
      </c>
      <c r="N15" s="945">
        <f t="shared" ca="1" si="1"/>
        <v>15175.763517580657</v>
      </c>
      <c r="O15" s="945">
        <f t="shared" si="1"/>
        <v>186.03666666666669</v>
      </c>
      <c r="P15" s="945">
        <f t="shared" si="1"/>
        <v>1487.2</v>
      </c>
      <c r="Q15" s="945">
        <f t="shared" ca="1" si="1"/>
        <v>436605.39734194987</v>
      </c>
    </row>
    <row r="17" spans="1:17">
      <c r="A17" s="453" t="s">
        <v>542</v>
      </c>
      <c r="B17" s="752">
        <f ca="1">huishoudens!B10</f>
        <v>0.21452971272062019</v>
      </c>
      <c r="C17" s="752">
        <f ca="1">huishoudens!C10</f>
        <v>0.22444444444444442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9801.6357016354632</v>
      </c>
      <c r="C22" s="443">
        <f t="shared" ref="C22:C32" ca="1" si="3">C4*$C$17</f>
        <v>0</v>
      </c>
      <c r="D22" s="443">
        <f t="shared" ref="D22:D32" si="4">D4*$D$17</f>
        <v>27756.431463141729</v>
      </c>
      <c r="E22" s="443">
        <f t="shared" ref="E22:E32" si="5">E4*$E$17</f>
        <v>360.05653934959804</v>
      </c>
      <c r="F22" s="443">
        <f t="shared" ref="F22:F32" si="6">F4*$F$17</f>
        <v>10729.658173584168</v>
      </c>
      <c r="G22" s="443">
        <f t="shared" ref="G22:G32" si="7">G4*$G$17</f>
        <v>0</v>
      </c>
      <c r="H22" s="443">
        <f t="shared" ref="H22:H32" si="8">H4*$H$17</f>
        <v>0</v>
      </c>
      <c r="I22" s="443">
        <f t="shared" ref="I22:I32" si="9">I4*$I$17</f>
        <v>0</v>
      </c>
      <c r="J22" s="443">
        <f t="shared" ref="J22:J32" si="10">J4*$J$17</f>
        <v>68.453140901662096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48716.235018612628</v>
      </c>
    </row>
    <row r="23" spans="1:17">
      <c r="A23" s="442" t="s">
        <v>149</v>
      </c>
      <c r="B23" s="443">
        <f t="shared" ca="1" si="2"/>
        <v>5833.3840855457229</v>
      </c>
      <c r="C23" s="443">
        <f t="shared" ca="1" si="3"/>
        <v>5.4655255255255248</v>
      </c>
      <c r="D23" s="443">
        <f t="shared" ca="1" si="4"/>
        <v>9425.323657173536</v>
      </c>
      <c r="E23" s="443">
        <f t="shared" si="5"/>
        <v>84.35263095804514</v>
      </c>
      <c r="F23" s="443">
        <f t="shared" ca="1" si="6"/>
        <v>1292.1499385399295</v>
      </c>
      <c r="G23" s="443">
        <f t="shared" si="7"/>
        <v>0</v>
      </c>
      <c r="H23" s="443">
        <f t="shared" si="8"/>
        <v>0</v>
      </c>
      <c r="I23" s="443">
        <f t="shared" si="9"/>
        <v>0</v>
      </c>
      <c r="J23" s="443">
        <f t="shared" si="10"/>
        <v>3.1808923617414803E-2</v>
      </c>
      <c r="K23" s="443">
        <f t="shared" si="11"/>
        <v>0</v>
      </c>
      <c r="L23" s="443">
        <f t="shared" ca="1" si="12"/>
        <v>0</v>
      </c>
      <c r="M23" s="443">
        <f t="shared" si="13"/>
        <v>0</v>
      </c>
      <c r="N23" s="443">
        <f t="shared" ca="1" si="14"/>
        <v>0</v>
      </c>
      <c r="O23" s="443">
        <f t="shared" si="15"/>
        <v>0</v>
      </c>
      <c r="P23" s="444">
        <f t="shared" si="16"/>
        <v>0</v>
      </c>
      <c r="Q23" s="442">
        <f t="shared" ref="Q23:Q32" ca="1" si="17">SUM(B23:P23)</f>
        <v>16640.707646666375</v>
      </c>
    </row>
    <row r="24" spans="1:17">
      <c r="A24" s="442" t="s">
        <v>187</v>
      </c>
      <c r="B24" s="443">
        <f t="shared" ca="1" si="2"/>
        <v>208.68463616783419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208.68463616783419</v>
      </c>
    </row>
    <row r="25" spans="1:17">
      <c r="A25" s="442" t="s">
        <v>105</v>
      </c>
      <c r="B25" s="443">
        <f t="shared" ca="1" si="2"/>
        <v>69.227043819738768</v>
      </c>
      <c r="C25" s="443">
        <f t="shared" ca="1" si="3"/>
        <v>0</v>
      </c>
      <c r="D25" s="443">
        <f t="shared" si="4"/>
        <v>92.754556089577918</v>
      </c>
      <c r="E25" s="443">
        <f t="shared" si="5"/>
        <v>2.1530737702433922</v>
      </c>
      <c r="F25" s="443">
        <f t="shared" si="6"/>
        <v>358.93286788436745</v>
      </c>
      <c r="G25" s="443">
        <f t="shared" si="7"/>
        <v>0</v>
      </c>
      <c r="H25" s="443">
        <f t="shared" si="8"/>
        <v>0</v>
      </c>
      <c r="I25" s="443">
        <f t="shared" si="9"/>
        <v>0</v>
      </c>
      <c r="J25" s="443">
        <f t="shared" si="10"/>
        <v>16.549909084827963</v>
      </c>
      <c r="K25" s="443">
        <f t="shared" si="11"/>
        <v>0</v>
      </c>
      <c r="L25" s="443">
        <f t="shared" si="12"/>
        <v>0</v>
      </c>
      <c r="M25" s="443">
        <f t="shared" si="13"/>
        <v>0</v>
      </c>
      <c r="N25" s="443">
        <f t="shared" si="14"/>
        <v>0</v>
      </c>
      <c r="O25" s="443">
        <f t="shared" si="15"/>
        <v>0</v>
      </c>
      <c r="P25" s="444">
        <f t="shared" si="16"/>
        <v>0</v>
      </c>
      <c r="Q25" s="442">
        <f t="shared" ca="1" si="17"/>
        <v>539.61745064875549</v>
      </c>
    </row>
    <row r="26" spans="1:17">
      <c r="A26" s="442" t="s">
        <v>621</v>
      </c>
      <c r="B26" s="443">
        <f t="shared" ca="1" si="2"/>
        <v>432.71307134757581</v>
      </c>
      <c r="C26" s="443">
        <f t="shared" ca="1" si="3"/>
        <v>0</v>
      </c>
      <c r="D26" s="443">
        <f t="shared" si="4"/>
        <v>885.35011976391399</v>
      </c>
      <c r="E26" s="443">
        <f t="shared" si="5"/>
        <v>73.981065313695268</v>
      </c>
      <c r="F26" s="443">
        <f t="shared" si="6"/>
        <v>252.87447204906181</v>
      </c>
      <c r="G26" s="443">
        <f t="shared" si="7"/>
        <v>0</v>
      </c>
      <c r="H26" s="443">
        <f t="shared" si="8"/>
        <v>0</v>
      </c>
      <c r="I26" s="443">
        <f t="shared" si="9"/>
        <v>0</v>
      </c>
      <c r="J26" s="443">
        <f t="shared" si="10"/>
        <v>0.30518751894616047</v>
      </c>
      <c r="K26" s="443">
        <f t="shared" si="11"/>
        <v>0</v>
      </c>
      <c r="L26" s="443">
        <f t="shared" si="12"/>
        <v>0</v>
      </c>
      <c r="M26" s="443">
        <f t="shared" si="13"/>
        <v>0</v>
      </c>
      <c r="N26" s="443">
        <f t="shared" si="14"/>
        <v>0</v>
      </c>
      <c r="O26" s="443">
        <f t="shared" si="15"/>
        <v>0</v>
      </c>
      <c r="P26" s="444">
        <f t="shared" si="16"/>
        <v>0</v>
      </c>
      <c r="Q26" s="442">
        <f t="shared" ca="1" si="17"/>
        <v>1645.223915993193</v>
      </c>
    </row>
    <row r="27" spans="1:17" s="448" customFormat="1">
      <c r="A27" s="446" t="s">
        <v>547</v>
      </c>
      <c r="B27" s="746">
        <f t="shared" ca="1" si="2"/>
        <v>13.40893646109895</v>
      </c>
      <c r="C27" s="447">
        <f t="shared" ca="1" si="3"/>
        <v>0</v>
      </c>
      <c r="D27" s="447">
        <f t="shared" si="4"/>
        <v>22.726809238426441</v>
      </c>
      <c r="E27" s="447">
        <f t="shared" si="5"/>
        <v>44.305916519098702</v>
      </c>
      <c r="F27" s="447">
        <f t="shared" si="6"/>
        <v>0</v>
      </c>
      <c r="G27" s="447">
        <f t="shared" si="7"/>
        <v>19163.448677023487</v>
      </c>
      <c r="H27" s="447">
        <f t="shared" si="8"/>
        <v>4495.4046095375061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23739.294948779618</v>
      </c>
    </row>
    <row r="28" spans="1:17">
      <c r="A28" s="442" t="s">
        <v>537</v>
      </c>
      <c r="B28" s="443">
        <f t="shared" ca="1" si="2"/>
        <v>4.3097910183623824</v>
      </c>
      <c r="C28" s="443">
        <f t="shared" ca="1" si="3"/>
        <v>0</v>
      </c>
      <c r="D28" s="443">
        <f t="shared" si="4"/>
        <v>0</v>
      </c>
      <c r="E28" s="443">
        <f t="shared" si="5"/>
        <v>0</v>
      </c>
      <c r="F28" s="443">
        <f t="shared" si="6"/>
        <v>0</v>
      </c>
      <c r="G28" s="443">
        <f t="shared" si="7"/>
        <v>503.88440849617973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508.19419951454211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433.74265739852012</v>
      </c>
      <c r="C32" s="443">
        <f t="shared" ca="1" si="3"/>
        <v>0</v>
      </c>
      <c r="D32" s="443">
        <f t="shared" si="4"/>
        <v>1175.2075568802957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1608.9502142788158</v>
      </c>
    </row>
    <row r="33" spans="1:17" s="452" customFormat="1">
      <c r="A33" s="997" t="s">
        <v>541</v>
      </c>
      <c r="B33" s="945">
        <f ca="1">SUM(B22:B32)</f>
        <v>16797.10592339432</v>
      </c>
      <c r="C33" s="945">
        <f t="shared" ref="C33:Q33" ca="1" si="18">SUM(C22:C32)</f>
        <v>5.4655255255255248</v>
      </c>
      <c r="D33" s="945">
        <f t="shared" ca="1" si="18"/>
        <v>39357.794162287486</v>
      </c>
      <c r="E33" s="945">
        <f t="shared" si="18"/>
        <v>564.8492259106805</v>
      </c>
      <c r="F33" s="945">
        <f t="shared" ca="1" si="18"/>
        <v>12633.615452057526</v>
      </c>
      <c r="G33" s="945">
        <f t="shared" si="18"/>
        <v>19667.333085519665</v>
      </c>
      <c r="H33" s="945">
        <f t="shared" si="18"/>
        <v>4495.4046095375061</v>
      </c>
      <c r="I33" s="945">
        <f t="shared" si="18"/>
        <v>0</v>
      </c>
      <c r="J33" s="945">
        <f t="shared" si="18"/>
        <v>85.340046429053629</v>
      </c>
      <c r="K33" s="945">
        <f t="shared" si="18"/>
        <v>0</v>
      </c>
      <c r="L33" s="945">
        <f t="shared" ca="1" si="18"/>
        <v>0</v>
      </c>
      <c r="M33" s="945">
        <f t="shared" si="18"/>
        <v>0</v>
      </c>
      <c r="N33" s="945">
        <f t="shared" ca="1" si="18"/>
        <v>0</v>
      </c>
      <c r="O33" s="945">
        <f t="shared" si="18"/>
        <v>0</v>
      </c>
      <c r="P33" s="945">
        <f t="shared" si="18"/>
        <v>0</v>
      </c>
      <c r="Q33" s="945">
        <f t="shared" ca="1" si="18"/>
        <v>93606.908030661754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2292.6010885504402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17</v>
      </c>
      <c r="D8" s="1014">
        <f>'SEAP template'!D76</f>
        <v>18.888888888888886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3.8155555555555551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2292.6010885504402</v>
      </c>
      <c r="C10" s="1018">
        <f>SUM(C4:C9)</f>
        <v>17</v>
      </c>
      <c r="D10" s="1018">
        <f t="shared" ref="D10:H10" si="0">SUM(D8:D9)</f>
        <v>18.888888888888886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3.8155555555555551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0.21452971272062019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24.351351351351351</v>
      </c>
      <c r="D17" s="1015">
        <f>'SEAP template'!D87</f>
        <v>27.057057057057051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5.4655255255255248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24.351351351351351</v>
      </c>
      <c r="D20" s="1018">
        <f t="shared" ref="D20:H20" si="2">SUM(D17:D19)</f>
        <v>27.057057057057051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5.4655255255255248</v>
      </c>
    </row>
    <row r="22" spans="1:16">
      <c r="A22" s="453" t="s">
        <v>827</v>
      </c>
      <c r="B22" s="752" t="s">
        <v>821</v>
      </c>
      <c r="C22" s="752">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0.21452971272062019</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0.21452971272062019</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0.21452971272062019</v>
      </c>
      <c r="C29" s="491">
        <f ca="1">'EF ele_warmte'!B22</f>
        <v>0.22444444444444442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7950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430.76</v>
      </c>
      <c r="C14" s="324"/>
      <c r="D14" s="324"/>
      <c r="E14" s="324"/>
      <c r="F14" s="324"/>
    </row>
    <row r="15" spans="1:6">
      <c r="A15" s="1289" t="s">
        <v>177</v>
      </c>
      <c r="B15" s="1290">
        <v>1</v>
      </c>
      <c r="C15" s="324"/>
      <c r="D15" s="324"/>
      <c r="E15" s="324"/>
      <c r="F15" s="324"/>
    </row>
    <row r="16" spans="1:6">
      <c r="A16" s="1289" t="s">
        <v>6</v>
      </c>
      <c r="B16" s="1290">
        <v>51</v>
      </c>
      <c r="C16" s="324"/>
      <c r="D16" s="324"/>
      <c r="E16" s="324"/>
      <c r="F16" s="324"/>
    </row>
    <row r="17" spans="1:6">
      <c r="A17" s="1289" t="s">
        <v>7</v>
      </c>
      <c r="B17" s="1290">
        <v>17</v>
      </c>
      <c r="C17" s="324"/>
      <c r="D17" s="324"/>
      <c r="E17" s="324"/>
      <c r="F17" s="324"/>
    </row>
    <row r="18" spans="1:6">
      <c r="A18" s="1289" t="s">
        <v>8</v>
      </c>
      <c r="B18" s="1290">
        <v>32</v>
      </c>
      <c r="C18" s="324"/>
      <c r="D18" s="324"/>
      <c r="E18" s="324"/>
      <c r="F18" s="324"/>
    </row>
    <row r="19" spans="1:6">
      <c r="A19" s="1289" t="s">
        <v>9</v>
      </c>
      <c r="B19" s="1290">
        <v>41</v>
      </c>
      <c r="C19" s="324"/>
      <c r="D19" s="324"/>
      <c r="E19" s="324"/>
      <c r="F19" s="324"/>
    </row>
    <row r="20" spans="1:6">
      <c r="A20" s="1289" t="s">
        <v>10</v>
      </c>
      <c r="B20" s="1290">
        <v>20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64</v>
      </c>
      <c r="C26" s="324"/>
      <c r="D26" s="324"/>
      <c r="E26" s="324"/>
      <c r="F26" s="324"/>
    </row>
    <row r="27" spans="1:6">
      <c r="A27" s="1289" t="s">
        <v>17</v>
      </c>
      <c r="B27" s="1290">
        <v>220</v>
      </c>
      <c r="C27" s="324"/>
      <c r="D27" s="324"/>
      <c r="E27" s="324"/>
      <c r="F27" s="324"/>
    </row>
    <row r="28" spans="1:6">
      <c r="A28" s="1289" t="s">
        <v>18</v>
      </c>
      <c r="B28" s="1291">
        <v>0</v>
      </c>
      <c r="C28" s="324"/>
      <c r="D28" s="324"/>
      <c r="E28" s="324"/>
      <c r="F28" s="324"/>
    </row>
    <row r="29" spans="1:6">
      <c r="A29" s="1289" t="s">
        <v>716</v>
      </c>
      <c r="B29" s="1291">
        <v>141</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74568.360960783699</v>
      </c>
      <c r="E38" s="1290">
        <v>3</v>
      </c>
      <c r="F38" s="1290">
        <v>17902.3577840084</v>
      </c>
    </row>
    <row r="39" spans="1:6">
      <c r="A39" s="1289" t="s">
        <v>29</v>
      </c>
      <c r="B39" s="1289" t="s">
        <v>30</v>
      </c>
      <c r="C39" s="1290">
        <v>5418</v>
      </c>
      <c r="D39" s="1290">
        <v>152337113.69202501</v>
      </c>
      <c r="E39" s="1290">
        <v>7548</v>
      </c>
      <c r="F39" s="1290">
        <v>43431036.643892899</v>
      </c>
    </row>
    <row r="40" spans="1:6">
      <c r="A40" s="1289" t="s">
        <v>29</v>
      </c>
      <c r="B40" s="1289" t="s">
        <v>28</v>
      </c>
      <c r="C40" s="1290">
        <v>0</v>
      </c>
      <c r="D40" s="1290">
        <v>0</v>
      </c>
      <c r="E40" s="1290">
        <v>0</v>
      </c>
      <c r="F40" s="1290">
        <v>0</v>
      </c>
    </row>
    <row r="41" spans="1:6">
      <c r="A41" s="1289" t="s">
        <v>31</v>
      </c>
      <c r="B41" s="1289" t="s">
        <v>32</v>
      </c>
      <c r="C41" s="1290">
        <v>66</v>
      </c>
      <c r="D41" s="1290">
        <v>2239763.5647040601</v>
      </c>
      <c r="E41" s="1290">
        <v>135</v>
      </c>
      <c r="F41" s="1290">
        <v>1061927.59625504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10</v>
      </c>
      <c r="F44" s="1290">
        <v>125219.382936414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6</v>
      </c>
      <c r="D47" s="1290">
        <v>332838.82132697699</v>
      </c>
      <c r="E47" s="1290">
        <v>6</v>
      </c>
      <c r="F47" s="1290">
        <v>69746.389829796099</v>
      </c>
    </row>
    <row r="48" spans="1:6">
      <c r="A48" s="1289" t="s">
        <v>31</v>
      </c>
      <c r="B48" s="1289" t="s">
        <v>28</v>
      </c>
      <c r="C48" s="1290">
        <v>27</v>
      </c>
      <c r="D48" s="1290">
        <v>890856.47768219002</v>
      </c>
      <c r="E48" s="1290">
        <v>31</v>
      </c>
      <c r="F48" s="1290">
        <v>237801.459044405</v>
      </c>
    </row>
    <row r="49" spans="1:6">
      <c r="A49" s="1289" t="s">
        <v>31</v>
      </c>
      <c r="B49" s="1289" t="s">
        <v>39</v>
      </c>
      <c r="C49" s="1290">
        <v>0</v>
      </c>
      <c r="D49" s="1290">
        <v>0</v>
      </c>
      <c r="E49" s="1290">
        <v>0</v>
      </c>
      <c r="F49" s="1290">
        <v>0</v>
      </c>
    </row>
    <row r="50" spans="1:6">
      <c r="A50" s="1289" t="s">
        <v>31</v>
      </c>
      <c r="B50" s="1289" t="s">
        <v>40</v>
      </c>
      <c r="C50" s="1290">
        <v>15</v>
      </c>
      <c r="D50" s="1290">
        <v>1395655.7537700001</v>
      </c>
      <c r="E50" s="1290">
        <v>15</v>
      </c>
      <c r="F50" s="1290">
        <v>522336.12704075302</v>
      </c>
    </row>
    <row r="51" spans="1:6">
      <c r="A51" s="1289" t="s">
        <v>41</v>
      </c>
      <c r="B51" s="1289" t="s">
        <v>42</v>
      </c>
      <c r="C51" s="1290">
        <v>9</v>
      </c>
      <c r="D51" s="1290">
        <v>337796.13368611399</v>
      </c>
      <c r="E51" s="1290">
        <v>19</v>
      </c>
      <c r="F51" s="1290">
        <v>298479.31579114101</v>
      </c>
    </row>
    <row r="52" spans="1:6">
      <c r="A52" s="1289" t="s">
        <v>41</v>
      </c>
      <c r="B52" s="1289" t="s">
        <v>28</v>
      </c>
      <c r="C52" s="1290">
        <v>2</v>
      </c>
      <c r="D52" s="1290">
        <v>171273.67866475601</v>
      </c>
      <c r="E52" s="1290">
        <v>2</v>
      </c>
      <c r="F52" s="1290">
        <v>24212.785651666702</v>
      </c>
    </row>
    <row r="53" spans="1:6">
      <c r="A53" s="1289" t="s">
        <v>43</v>
      </c>
      <c r="B53" s="1289" t="s">
        <v>44</v>
      </c>
      <c r="C53" s="1290">
        <v>200</v>
      </c>
      <c r="D53" s="1290">
        <v>5817859.1924767103</v>
      </c>
      <c r="E53" s="1290">
        <v>363</v>
      </c>
      <c r="F53" s="1290">
        <v>2021830.2252769</v>
      </c>
    </row>
    <row r="54" spans="1:6">
      <c r="A54" s="1289" t="s">
        <v>45</v>
      </c>
      <c r="B54" s="1289" t="s">
        <v>46</v>
      </c>
      <c r="C54" s="1290">
        <v>0</v>
      </c>
      <c r="D54" s="1290">
        <v>0</v>
      </c>
      <c r="E54" s="1290">
        <v>1</v>
      </c>
      <c r="F54" s="1290">
        <v>972754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87</v>
      </c>
      <c r="D57" s="1290">
        <v>5135981.1527843596</v>
      </c>
      <c r="E57" s="1290">
        <v>109</v>
      </c>
      <c r="F57" s="1290">
        <v>3844120.7025254602</v>
      </c>
    </row>
    <row r="58" spans="1:6">
      <c r="A58" s="1289" t="s">
        <v>48</v>
      </c>
      <c r="B58" s="1289" t="s">
        <v>50</v>
      </c>
      <c r="C58" s="1290">
        <v>61</v>
      </c>
      <c r="D58" s="1290">
        <v>2999732.9594399501</v>
      </c>
      <c r="E58" s="1290">
        <v>82</v>
      </c>
      <c r="F58" s="1290">
        <v>961886.10298948502</v>
      </c>
    </row>
    <row r="59" spans="1:6">
      <c r="A59" s="1289" t="s">
        <v>48</v>
      </c>
      <c r="B59" s="1289" t="s">
        <v>51</v>
      </c>
      <c r="C59" s="1290">
        <v>149</v>
      </c>
      <c r="D59" s="1290">
        <v>5378384.3030386698</v>
      </c>
      <c r="E59" s="1290">
        <v>271</v>
      </c>
      <c r="F59" s="1290">
        <v>7987520.3076291597</v>
      </c>
    </row>
    <row r="60" spans="1:6">
      <c r="A60" s="1289" t="s">
        <v>48</v>
      </c>
      <c r="B60" s="1289" t="s">
        <v>52</v>
      </c>
      <c r="C60" s="1290">
        <v>81</v>
      </c>
      <c r="D60" s="1290">
        <v>4725009.3007240398</v>
      </c>
      <c r="E60" s="1290">
        <v>93</v>
      </c>
      <c r="F60" s="1290">
        <v>3000240.8035805598</v>
      </c>
    </row>
    <row r="61" spans="1:6">
      <c r="A61" s="1289" t="s">
        <v>48</v>
      </c>
      <c r="B61" s="1289" t="s">
        <v>53</v>
      </c>
      <c r="C61" s="1290">
        <v>425</v>
      </c>
      <c r="D61" s="1290">
        <v>22022446.267809901</v>
      </c>
      <c r="E61" s="1290">
        <v>665</v>
      </c>
      <c r="F61" s="1290">
        <v>8643130.1861789804</v>
      </c>
    </row>
    <row r="62" spans="1:6">
      <c r="A62" s="1289" t="s">
        <v>48</v>
      </c>
      <c r="B62" s="1289" t="s">
        <v>54</v>
      </c>
      <c r="C62" s="1290">
        <v>7</v>
      </c>
      <c r="D62" s="1290">
        <v>1669684.6886496199</v>
      </c>
      <c r="E62" s="1290">
        <v>11</v>
      </c>
      <c r="F62" s="1290">
        <v>88473.500369499307</v>
      </c>
    </row>
    <row r="63" spans="1:6">
      <c r="A63" s="1289" t="s">
        <v>48</v>
      </c>
      <c r="B63" s="1289" t="s">
        <v>28</v>
      </c>
      <c r="C63" s="1290">
        <v>122</v>
      </c>
      <c r="D63" s="1290">
        <v>9849209.2774042692</v>
      </c>
      <c r="E63" s="1290">
        <v>105</v>
      </c>
      <c r="F63" s="1290">
        <v>2649125.6097142198</v>
      </c>
    </row>
    <row r="64" spans="1:6">
      <c r="A64" s="1289" t="s">
        <v>55</v>
      </c>
      <c r="B64" s="1289" t="s">
        <v>56</v>
      </c>
      <c r="C64" s="1290">
        <v>0</v>
      </c>
      <c r="D64" s="1290">
        <v>0</v>
      </c>
      <c r="E64" s="1290">
        <v>0</v>
      </c>
      <c r="F64" s="1290">
        <v>0</v>
      </c>
    </row>
    <row r="65" spans="1:6">
      <c r="A65" s="1289" t="s">
        <v>55</v>
      </c>
      <c r="B65" s="1289" t="s">
        <v>28</v>
      </c>
      <c r="C65" s="1290">
        <v>2</v>
      </c>
      <c r="D65" s="1290">
        <v>186003.98088450701</v>
      </c>
      <c r="E65" s="1290">
        <v>2</v>
      </c>
      <c r="F65" s="1290">
        <v>30559.786676720702</v>
      </c>
    </row>
    <row r="66" spans="1:6">
      <c r="A66" s="1289" t="s">
        <v>55</v>
      </c>
      <c r="B66" s="1289" t="s">
        <v>57</v>
      </c>
      <c r="C66" s="1290">
        <v>0</v>
      </c>
      <c r="D66" s="1290">
        <v>0</v>
      </c>
      <c r="E66" s="1290">
        <v>11</v>
      </c>
      <c r="F66" s="1290">
        <v>250664.00634913999</v>
      </c>
    </row>
    <row r="67" spans="1:6">
      <c r="A67" s="1289" t="s">
        <v>55</v>
      </c>
      <c r="B67" s="1289" t="s">
        <v>58</v>
      </c>
      <c r="C67" s="1290">
        <v>0</v>
      </c>
      <c r="D67" s="1290">
        <v>0</v>
      </c>
      <c r="E67" s="1290">
        <v>0</v>
      </c>
      <c r="F67" s="1290">
        <v>0</v>
      </c>
    </row>
    <row r="68" spans="1:6">
      <c r="A68" s="1284" t="s">
        <v>55</v>
      </c>
      <c r="B68" s="1284" t="s">
        <v>59</v>
      </c>
      <c r="C68" s="1292">
        <v>4</v>
      </c>
      <c r="D68" s="1292">
        <v>96407.240203893103</v>
      </c>
      <c r="E68" s="1292">
        <v>8</v>
      </c>
      <c r="F68" s="1292">
        <v>50341.333014690899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91867664</v>
      </c>
      <c r="E73" s="441"/>
      <c r="F73" s="324"/>
    </row>
    <row r="74" spans="1:6">
      <c r="A74" s="1289" t="s">
        <v>63</v>
      </c>
      <c r="B74" s="1289" t="s">
        <v>642</v>
      </c>
      <c r="C74" s="1302" t="s">
        <v>644</v>
      </c>
      <c r="D74" s="1290">
        <v>5069319</v>
      </c>
      <c r="E74" s="441"/>
      <c r="F74" s="324"/>
    </row>
    <row r="75" spans="1:6">
      <c r="A75" s="1289" t="s">
        <v>64</v>
      </c>
      <c r="B75" s="1289" t="s">
        <v>641</v>
      </c>
      <c r="C75" s="1302" t="s">
        <v>645</v>
      </c>
      <c r="D75" s="1290">
        <v>26824368</v>
      </c>
      <c r="E75" s="441"/>
      <c r="F75" s="324"/>
    </row>
    <row r="76" spans="1:6">
      <c r="A76" s="1289" t="s">
        <v>64</v>
      </c>
      <c r="B76" s="1289" t="s">
        <v>642</v>
      </c>
      <c r="C76" s="1302" t="s">
        <v>646</v>
      </c>
      <c r="D76" s="1290">
        <v>579264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548318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2257.9058216201761</v>
      </c>
      <c r="C91" s="324"/>
      <c r="D91" s="324"/>
      <c r="E91" s="324"/>
      <c r="F91" s="324"/>
    </row>
    <row r="92" spans="1:6">
      <c r="A92" s="1284" t="s">
        <v>68</v>
      </c>
      <c r="B92" s="1285">
        <v>34.69526693026404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3917</v>
      </c>
      <c r="C97" s="324"/>
      <c r="D97" s="324"/>
      <c r="E97" s="324"/>
      <c r="F97" s="324"/>
    </row>
    <row r="98" spans="1:6">
      <c r="A98" s="1289" t="s">
        <v>71</v>
      </c>
      <c r="B98" s="1290">
        <v>12</v>
      </c>
      <c r="C98" s="324"/>
      <c r="D98" s="324"/>
      <c r="E98" s="324"/>
      <c r="F98" s="324"/>
    </row>
    <row r="99" spans="1:6">
      <c r="A99" s="1289" t="s">
        <v>72</v>
      </c>
      <c r="B99" s="1290">
        <v>121</v>
      </c>
      <c r="C99" s="324"/>
      <c r="D99" s="324"/>
      <c r="E99" s="324"/>
      <c r="F99" s="324"/>
    </row>
    <row r="100" spans="1:6">
      <c r="A100" s="1289" t="s">
        <v>73</v>
      </c>
      <c r="B100" s="1290">
        <v>800</v>
      </c>
      <c r="C100" s="324"/>
      <c r="D100" s="324"/>
      <c r="E100" s="324"/>
      <c r="F100" s="324"/>
    </row>
    <row r="101" spans="1:6">
      <c r="A101" s="1289" t="s">
        <v>74</v>
      </c>
      <c r="B101" s="1290">
        <v>89</v>
      </c>
      <c r="C101" s="324"/>
      <c r="D101" s="324"/>
      <c r="E101" s="324"/>
      <c r="F101" s="324"/>
    </row>
    <row r="102" spans="1:6">
      <c r="A102" s="1289" t="s">
        <v>75</v>
      </c>
      <c r="B102" s="1290">
        <v>89</v>
      </c>
      <c r="C102" s="324"/>
      <c r="D102" s="324"/>
      <c r="E102" s="324"/>
      <c r="F102" s="324"/>
    </row>
    <row r="103" spans="1:6">
      <c r="A103" s="1289" t="s">
        <v>76</v>
      </c>
      <c r="B103" s="1290">
        <v>99</v>
      </c>
      <c r="C103" s="324"/>
      <c r="D103" s="324"/>
      <c r="E103" s="324"/>
      <c r="F103" s="324"/>
    </row>
    <row r="104" spans="1:6">
      <c r="A104" s="1289" t="s">
        <v>77</v>
      </c>
      <c r="B104" s="1290">
        <v>2065</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54</v>
      </c>
      <c r="C123" s="1290">
        <v>14</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101</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22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78297.340309540319</v>
      </c>
      <c r="C3" s="43" t="s">
        <v>163</v>
      </c>
      <c r="D3" s="43"/>
      <c r="E3" s="154"/>
      <c r="F3" s="43"/>
      <c r="G3" s="43"/>
      <c r="H3" s="43"/>
      <c r="I3" s="43"/>
      <c r="J3" s="43"/>
      <c r="K3" s="96"/>
    </row>
    <row r="4" spans="1:11">
      <c r="A4" s="350" t="s">
        <v>164</v>
      </c>
      <c r="B4" s="49">
        <f>IF(ISERROR('SEAP template'!B78+'SEAP template'!C78),0,'SEAP template'!B78+'SEAP template'!C78)</f>
        <v>2309.6010885504402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3.8155555555555551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0.21452971272062019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5.4655255255255248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24.351351351351351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0.22444444444444442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972.75400000000002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0.21452971272062019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208.68463616783419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B32*B41</f>
        <v>1586.1521557251015</v>
      </c>
      <c r="F5" s="17">
        <f>B36*B45</f>
        <v>40185.985668854562</v>
      </c>
      <c r="G5" s="18"/>
      <c r="H5" s="17"/>
      <c r="I5" s="17"/>
      <c r="J5" s="17">
        <f>B35*B44+C35*C44</f>
        <v>193.37045452446921</v>
      </c>
      <c r="K5" s="17"/>
      <c r="L5" s="17"/>
      <c r="M5" s="17"/>
      <c r="N5" s="17">
        <f>B34*B43+C34*C43</f>
        <v>11453.274559404441</v>
      </c>
      <c r="O5" s="17">
        <f>B52*B53*B54</f>
        <v>181.34666666666669</v>
      </c>
      <c r="P5" s="17">
        <f>B60*B61*B62/1000-B60*B61*B62/1000/B63</f>
        <v>1449.0666666666666</v>
      </c>
    </row>
    <row r="6" spans="1:16">
      <c r="A6" s="16" t="s">
        <v>607</v>
      </c>
      <c r="B6" s="754">
        <f>kWh_PV_kleiner_dan_10kW</f>
        <v>2257.9058216201761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45688.942465513072</v>
      </c>
      <c r="C8" s="21">
        <f>C5</f>
        <v>0</v>
      </c>
      <c r="D8" s="21">
        <f>D5</f>
        <v>137408.07655020658</v>
      </c>
      <c r="E8" s="21">
        <f>E5</f>
        <v>1586.1521557251015</v>
      </c>
      <c r="F8" s="21">
        <f>F5</f>
        <v>40185.985668854562</v>
      </c>
      <c r="G8" s="21"/>
      <c r="H8" s="21"/>
      <c r="I8" s="21"/>
      <c r="J8" s="21">
        <f>J5</f>
        <v>193.37045452446921</v>
      </c>
      <c r="K8" s="21"/>
      <c r="L8" s="21">
        <f>L5</f>
        <v>0</v>
      </c>
      <c r="M8" s="21">
        <f>M5</f>
        <v>0</v>
      </c>
      <c r="N8" s="21">
        <f>N5</f>
        <v>11453.274559404441</v>
      </c>
      <c r="O8" s="21">
        <f>O5</f>
        <v>181.34666666666669</v>
      </c>
      <c r="P8" s="21">
        <f>P5</f>
        <v>1449.0666666666666</v>
      </c>
    </row>
    <row r="9" spans="1:16">
      <c r="B9" s="19"/>
      <c r="C9" s="19"/>
      <c r="D9" s="254"/>
      <c r="E9" s="19"/>
      <c r="F9" s="19"/>
      <c r="G9" s="19"/>
      <c r="H9" s="19"/>
      <c r="I9" s="19"/>
      <c r="J9" s="19"/>
      <c r="K9" s="19"/>
      <c r="L9" s="19"/>
      <c r="M9" s="19"/>
      <c r="N9" s="19"/>
      <c r="O9" s="19"/>
      <c r="P9" s="19"/>
    </row>
    <row r="10" spans="1:16">
      <c r="A10" s="24" t="s">
        <v>207</v>
      </c>
      <c r="B10" s="25">
        <f ca="1">'EF ele_warmte'!B12</f>
        <v>0.21452971272062019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9801.6357016354632</v>
      </c>
      <c r="C12" s="23">
        <f ca="1">C10*C8</f>
        <v>0</v>
      </c>
      <c r="D12" s="23">
        <f>D8*D10</f>
        <v>27756.431463141729</v>
      </c>
      <c r="E12" s="23">
        <f>E10*E8</f>
        <v>360.05653934959804</v>
      </c>
      <c r="F12" s="23">
        <f>F10*F8</f>
        <v>10729.658173584168</v>
      </c>
      <c r="G12" s="23"/>
      <c r="H12" s="23"/>
      <c r="I12" s="23"/>
      <c r="J12" s="23">
        <f>J10*J8</f>
        <v>68.453140901662096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7950</v>
      </c>
      <c r="C26" s="36"/>
      <c r="D26" s="225"/>
    </row>
    <row r="27" spans="1:5" s="15" customFormat="1">
      <c r="A27" s="227" t="s">
        <v>762</v>
      </c>
      <c r="B27" s="37">
        <f>SUM(HH_hh_gas_aantal,HH_rest_gas_aantal)</f>
        <v>5418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5147.1000000000004</v>
      </c>
      <c r="C31" s="34" t="s">
        <v>104</v>
      </c>
      <c r="D31" s="171"/>
    </row>
    <row r="32" spans="1:5">
      <c r="A32" s="168" t="s">
        <v>72</v>
      </c>
      <c r="B32" s="33">
        <f>IF((B21*($B$26-($B$27-0.05*$B$27)-$B$60))&lt;0,0,B21*($B$26-($B$27-0.05*$B$27)-$B$60))</f>
        <v>29.997247905002045</v>
      </c>
      <c r="C32" s="34" t="s">
        <v>104</v>
      </c>
      <c r="D32" s="171"/>
    </row>
    <row r="33" spans="1:6">
      <c r="A33" s="168" t="s">
        <v>73</v>
      </c>
      <c r="B33" s="33">
        <f>IF((B22*($B$26-($B$27-0.05*$B$27)-$B$60))&lt;0,0,B22*($B$26-($B$27-0.05*$B$27)-$B$60))</f>
        <v>623.66797471236998</v>
      </c>
      <c r="C33" s="34" t="s">
        <v>104</v>
      </c>
      <c r="D33" s="171"/>
    </row>
    <row r="34" spans="1:6">
      <c r="A34" s="168" t="s">
        <v>74</v>
      </c>
      <c r="B34" s="33">
        <f>IF((B24*($B$26-($B$27-0.05*$B$27)-$B$60))&lt;0,0,B24*($B$26-($B$27-0.05*$B$27)-$B$60))</f>
        <v>124.02538918122028</v>
      </c>
      <c r="C34" s="33">
        <f>B26*C24</f>
        <v>1627.3296394450645</v>
      </c>
      <c r="D34" s="230"/>
    </row>
    <row r="35" spans="1:6">
      <c r="A35" s="168" t="s">
        <v>76</v>
      </c>
      <c r="B35" s="33">
        <f>IF((B19*($B$26-($B$27-0.05*$B$27)-$B$60))&lt;0,0,B19*($B$26-($B$27-0.05*$B$27)-$B$60))</f>
        <v>22.704682040522254</v>
      </c>
      <c r="C35" s="33">
        <f>B35/2</f>
        <v>11.352341020261127</v>
      </c>
      <c r="D35" s="230"/>
    </row>
    <row r="36" spans="1:6">
      <c r="A36" s="168" t="s">
        <v>77</v>
      </c>
      <c r="B36" s="33">
        <f>IF((B18*($B$26-($B$27-0.05*$B$27)-$B$60))&lt;0,0,B18*($B$26-($B$27-0.05*$B$27)-$B$60))</f>
        <v>1926.5047061608852</v>
      </c>
      <c r="C36" s="34" t="s">
        <v>104</v>
      </c>
      <c r="D36" s="171"/>
    </row>
    <row r="37" spans="1:6">
      <c r="A37" s="168" t="s">
        <v>78</v>
      </c>
      <c r="B37" s="33">
        <f>B60</f>
        <v>76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53</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52</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51</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50</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49</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54</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248</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474</v>
      </c>
      <c r="B13" s="243">
        <f ca="1">'lokale energieproductie'!N38+'lokale energieproductie'!N31</f>
        <v>17</v>
      </c>
      <c r="C13" s="243">
        <f ca="1">'lokale energieproductie'!O38+'lokale energieproductie'!O31</f>
        <v>24.351351351351351</v>
      </c>
      <c r="D13" s="302">
        <f ca="1">('lokale energieproductie'!P31+'lokale energieproductie'!P38)*(-1)</f>
        <v>-45.945945945945944</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27191.49721298736</v>
      </c>
      <c r="C16" s="21">
        <f t="shared" ca="1" si="1"/>
        <v>24.351351351351351</v>
      </c>
      <c r="D16" s="21">
        <f t="shared" ca="1" si="1"/>
        <v>46660.018104819486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0.21452971272062019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5833.3840855457229</v>
      </c>
      <c r="C20" s="23">
        <f t="shared" ref="C20:P20" ca="1" si="2">C16*C18</f>
        <v>5.4655255255255248</v>
      </c>
      <c r="D20" s="23">
        <f t="shared" ca="1" si="2"/>
        <v>9425.323657173536</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8643.1301861789798</v>
      </c>
      <c r="C26" s="39">
        <f>IF(ISERROR(B26*3.6/1000000/'E Balans VL '!Z12*100),0,B26*3.6/1000000/'E Balans VL '!Z12*100)</f>
        <v>0.18270208031165067</v>
      </c>
      <c r="D26" s="233" t="s">
        <v>726</v>
      </c>
      <c r="F26" s="6"/>
    </row>
    <row r="27" spans="1:18">
      <c r="A27" s="228" t="s">
        <v>52</v>
      </c>
      <c r="B27" s="33">
        <f>IF(ISERROR(TER_horeca_ele_kWh/1000),0,TER_horeca_ele_kWh/1000)</f>
        <v>3000.2408035805597</v>
      </c>
      <c r="C27" s="39">
        <f>IF(ISERROR(B27*3.6/1000000/'E Balans VL '!Z9*100),0,B27*3.6/1000000/'E Balans VL '!Z9*100)</f>
        <v>0.23650786429941945</v>
      </c>
      <c r="D27" s="233" t="s">
        <v>726</v>
      </c>
      <c r="F27" s="6"/>
    </row>
    <row r="28" spans="1:18">
      <c r="A28" s="168" t="s">
        <v>51</v>
      </c>
      <c r="B28" s="33">
        <f>IF(ISERROR(TER_handel_ele_kWh/1000),0,TER_handel_ele_kWh/1000)</f>
        <v>7987.52030762916</v>
      </c>
      <c r="C28" s="39">
        <f>IF(ISERROR(B28*3.6/1000000/'E Balans VL '!Z13*100),0,B28*3.6/1000000/'E Balans VL '!Z13*100)</f>
        <v>0.23183011252584992</v>
      </c>
      <c r="D28" s="233" t="s">
        <v>726</v>
      </c>
      <c r="F28" s="6"/>
    </row>
    <row r="29" spans="1:18">
      <c r="A29" s="228" t="s">
        <v>50</v>
      </c>
      <c r="B29" s="33">
        <f>IF(ISERROR(TER_gezond_ele_kWh/1000),0,TER_gezond_ele_kWh/1000)</f>
        <v>961.88610298948504</v>
      </c>
      <c r="C29" s="39">
        <f>IF(ISERROR(B29*3.6/1000000/'E Balans VL '!Z10*100),0,B29*3.6/1000000/'E Balans VL '!Z10*100)</f>
        <v>0.10130240123151991</v>
      </c>
      <c r="D29" s="233" t="s">
        <v>726</v>
      </c>
      <c r="F29" s="6"/>
    </row>
    <row r="30" spans="1:18">
      <c r="A30" s="228" t="s">
        <v>49</v>
      </c>
      <c r="B30" s="33">
        <f>IF(ISERROR(TER_ander_ele_kWh/1000),0,TER_ander_ele_kWh/1000)</f>
        <v>3844.1207025254603</v>
      </c>
      <c r="C30" s="39">
        <f>IF(ISERROR(B30*3.6/1000000/'E Balans VL '!Z14*100),0,B30*3.6/1000000/'E Balans VL '!Z14*100)</f>
        <v>0.28354317795714123</v>
      </c>
      <c r="D30" s="233" t="s">
        <v>726</v>
      </c>
      <c r="F30" s="6"/>
    </row>
    <row r="31" spans="1:18">
      <c r="A31" s="228" t="s">
        <v>54</v>
      </c>
      <c r="B31" s="33">
        <f>IF(ISERROR(TER_onderwijs_ele_kWh/1000),0,TER_onderwijs_ele_kWh/1000)</f>
        <v>88.473500369499305</v>
      </c>
      <c r="C31" s="39">
        <f>IF(ISERROR(B31*3.6/1000000/'E Balans VL '!Z11*100),0,B31*3.6/1000000/'E Balans VL '!Z11*100)</f>
        <v>2.1972114484572869E-2</v>
      </c>
      <c r="D31" s="233" t="s">
        <v>726</v>
      </c>
    </row>
    <row r="32" spans="1:18">
      <c r="A32" s="228" t="s">
        <v>248</v>
      </c>
      <c r="B32" s="33">
        <f>IF(ISERROR(TER_rest_ele_kWh/1000),0,TER_rest_ele_kWh/1000)</f>
        <v>2649.12560971422</v>
      </c>
      <c r="C32" s="39">
        <f>IF(ISERROR(B32*3.6/1000000/'E Balans VL '!Z8*100),0,B32*3.6/1000000/'E Balans VL '!Z8*100)</f>
        <v>2.1798787411148081E-2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166.31870768559119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32</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83.296158373241767</v>
      </c>
      <c r="O9" s="33"/>
      <c r="P9" s="33"/>
      <c r="R9" s="32"/>
    </row>
    <row r="10" spans="1:18">
      <c r="A10" s="6" t="s">
        <v>40</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28.497363629623006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16.692376946731379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166.31870768559119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0.21452971272062019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432.71307134757581</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125.21938293641399</v>
      </c>
      <c r="C30" s="39">
        <f>IF(ISERROR(B30*3.6/1000000/'E Balans VL '!Z18*100),0,B30*3.6/1000000/'E Balans VL '!Z18*100)</f>
        <v>7.0965035145048446E-3</v>
      </c>
      <c r="D30" s="233" t="s">
        <v>726</v>
      </c>
    </row>
    <row r="31" spans="1:18">
      <c r="A31" s="6" t="s">
        <v>32</v>
      </c>
      <c r="B31" s="37">
        <f>IF( ISERROR(IND_ander_ele_kWh/1000),0,IND_ander_ele_kWh/1000)</f>
        <v>1061.92759625504</v>
      </c>
      <c r="C31" s="39">
        <f>IF(ISERROR(B31*3.6/1000000/'E Balans VL '!Z19*100),0,B31*3.6/1000000/'E Balans VL '!Z19*100)</f>
        <v>4.8164613976577703E-2</v>
      </c>
      <c r="D31" s="233" t="s">
        <v>726</v>
      </c>
    </row>
    <row r="32" spans="1:18">
      <c r="A32" s="168" t="s">
        <v>40</v>
      </c>
      <c r="B32" s="37">
        <f>IF( ISERROR(IND_voed_ele_kWh/1000),0,IND_voed_ele_kWh/1000)</f>
        <v>522.33612704075301</v>
      </c>
      <c r="C32" s="39">
        <f>IF(ISERROR(B32*3.6/1000000/'E Balans VL '!Z20*100),0,B32*3.6/1000000/'E Balans VL '!Z20*100)</f>
        <v>1.6158227615173323E-2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69.746389829796101</v>
      </c>
      <c r="C35" s="39">
        <f>IF(ISERROR(B35*3.6/1000000/'E Balans VL '!Z22*100),0,B35*3.6/1000000/'E Balans VL '!Z22*100)</f>
        <v>1.2545199468079157E-2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237.80145904440499</v>
      </c>
      <c r="C37" s="39">
        <f>IF(ISERROR(B37*3.6/1000000/'E Balans VL '!Z15*100),0,B37*3.6/1000000/'E Balans VL '!Z15*100)</f>
        <v>1.8848686108937835E-3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322.69210144280771</v>
      </c>
      <c r="C5" s="17">
        <f>'Eigen informatie GS &amp; warmtenet'!B60</f>
        <v>0</v>
      </c>
      <c r="D5" s="30">
        <f>IF(ISERROR(SUM(LB_lb_gas_kWh,LB_rest_gas_kWh)/1000),0,SUM(LB_lb_gas_kWh,LB_rest_gas_kWh)/1000)*0.902</f>
        <v>459.18097074048472</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322.69210144280771</v>
      </c>
      <c r="C8" s="21">
        <f>C5+C6</f>
        <v>0</v>
      </c>
      <c r="D8" s="21">
        <f>MAX((D5+D6),0)</f>
        <v>459.18097074048472</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0.21452971272062019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69.227043819738768</v>
      </c>
      <c r="C12" s="23">
        <f ca="1">C8*C10</f>
        <v>0</v>
      </c>
      <c r="D12" s="23">
        <f>D8*D10</f>
        <v>92.754556089577918</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4.5791021610327165E-2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15.783280107569999</v>
      </c>
      <c r="C26" s="243">
        <f>B26*'GWP N2O_CH4'!B5</f>
        <v>331.44888225896995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2.2484031945954284</v>
      </c>
      <c r="C27" s="243">
        <f>B27*'GWP N2O_CH4'!B5</f>
        <v>47.216467086503997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3">
        <f>B28*'GWP N2O_CH4'!B4</f>
        <v>56.526419719404082</v>
      </c>
      <c r="D28" s="50"/>
    </row>
    <row r="29" spans="1:4">
      <c r="A29" s="41" t="s">
        <v>265</v>
      </c>
      <c r="B29" s="243">
        <f>B34*'ha_N2O bodem landbouw'!B4</f>
        <v>2.8026281082508921</v>
      </c>
      <c r="C29" s="243">
        <f>B29*'GWP N2O_CH4'!B4</f>
        <v>868.8147135577766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6.3955007601672364E-4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2.2501391834156122E-4</v>
      </c>
      <c r="C5" s="429" t="s">
        <v>204</v>
      </c>
      <c r="D5" s="414">
        <f>SUM(D6:D11)</f>
        <v>4.0503224385314449E-4</v>
      </c>
      <c r="E5" s="414">
        <f>SUM(E6:E11)</f>
        <v>7.0264889633812921E-4</v>
      </c>
      <c r="F5" s="427" t="s">
        <v>204</v>
      </c>
      <c r="G5" s="414">
        <f>SUM(G6:G11)</f>
        <v>0.2583835776677324</v>
      </c>
      <c r="H5" s="414">
        <f>SUM(H6:H11)</f>
        <v>6.4993801583674793E-2</v>
      </c>
      <c r="I5" s="429" t="s">
        <v>204</v>
      </c>
      <c r="J5" s="429" t="s">
        <v>204</v>
      </c>
      <c r="K5" s="429" t="s">
        <v>204</v>
      </c>
      <c r="L5" s="429" t="s">
        <v>204</v>
      </c>
      <c r="M5" s="414">
        <f>SUM(M6:M11)</f>
        <v>1.7009627196825989E-2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1.6114012088520689E-4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2.7090487958642673E-4</v>
      </c>
      <c r="E6" s="857">
        <f>vkm_GW_PW*SUMIFS(TableVerdeelsleutelVkm[LPG],TableVerdeelsleutelVkm[Voertuigtype],"Lichte voertuigen")*SUMIFS(TableECFTransport[EnergieConsumptieFactor (PJ per km)],TableECFTransport[Index],CONCATENATE($A6,"_LPG_LPG"))</f>
        <v>4.7665945642013399E-4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0.14142348062434029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4.3768368384926787E-2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9.551305994983824E-3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1.4827019322371887E-6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4.7625006726617229E-2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7.7702992726744649E-7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2.7825169198007326E-3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6.2221669245740232E-5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1.3412736426671775E-4</v>
      </c>
      <c r="E8" s="417">
        <f>vkm_NGW_PW*SUMIFS(TableVerdeelsleutelVkm[LPG],TableVerdeelsleutelVkm[Voertuigtype],"Lichte voertuigen")*SUMIFS(TableECFTransport[EnergieConsumptieFactor (PJ per km)],TableECFTransport[Index],CONCATENATE($A8,"_LPG_LPG"))</f>
        <v>2.2598943991799519E-4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6.2352588872073414E-2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2.1224548996876383E-2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4.2678480363465485E-3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1.6942627837692657E-7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6.9825014447014548E-3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1.0717194434449577E-7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4.0795624569488545E-4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62.503866205989226</v>
      </c>
      <c r="C14" s="21"/>
      <c r="D14" s="21">
        <f t="shared" ref="D14:M14" si="0">((D5)*10^9/3600)+D12</f>
        <v>112.50895662587347</v>
      </c>
      <c r="E14" s="21">
        <f t="shared" si="0"/>
        <v>195.18024898281365</v>
      </c>
      <c r="F14" s="21"/>
      <c r="G14" s="21">
        <f t="shared" si="0"/>
        <v>71773.21601881455</v>
      </c>
      <c r="H14" s="21">
        <f t="shared" si="0"/>
        <v>18053.833773242997</v>
      </c>
      <c r="I14" s="21"/>
      <c r="J14" s="21"/>
      <c r="K14" s="21"/>
      <c r="L14" s="21"/>
      <c r="M14" s="21">
        <f t="shared" si="0"/>
        <v>4724.8964435627749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0.21452971272062019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13.40893646109895</v>
      </c>
      <c r="C18" s="23"/>
      <c r="D18" s="23">
        <f t="shared" ref="D18:M18" si="1">D14*D16</f>
        <v>22.726809238426441</v>
      </c>
      <c r="E18" s="23">
        <f t="shared" si="1"/>
        <v>44.305916519098702</v>
      </c>
      <c r="F18" s="23"/>
      <c r="G18" s="23">
        <f t="shared" si="1"/>
        <v>19163.448677023487</v>
      </c>
      <c r="H18" s="23">
        <f t="shared" si="1"/>
        <v>4495.4046095375061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7.2322138827967015E-5</v>
      </c>
      <c r="C50" s="313">
        <f t="shared" ref="C50:P50" si="2">SUM(C51:C52)</f>
        <v>0</v>
      </c>
      <c r="D50" s="313">
        <f t="shared" si="2"/>
        <v>0</v>
      </c>
      <c r="E50" s="313">
        <f t="shared" si="2"/>
        <v>0</v>
      </c>
      <c r="F50" s="313">
        <f t="shared" si="2"/>
        <v>0</v>
      </c>
      <c r="G50" s="313">
        <f t="shared" si="2"/>
        <v>6.7939470808473668E-3</v>
      </c>
      <c r="H50" s="313">
        <f t="shared" si="2"/>
        <v>0</v>
      </c>
      <c r="I50" s="313">
        <f t="shared" si="2"/>
        <v>0</v>
      </c>
      <c r="J50" s="313">
        <f t="shared" si="2"/>
        <v>0</v>
      </c>
      <c r="K50" s="313">
        <f t="shared" si="2"/>
        <v>0</v>
      </c>
      <c r="L50" s="313">
        <f t="shared" si="2"/>
        <v>0</v>
      </c>
      <c r="M50" s="313">
        <f t="shared" si="2"/>
        <v>3.9124301345101005E-4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7.2322138827967015E-5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6.7939470808473668E-3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3.9124301345101005E-4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20.089483007768617</v>
      </c>
      <c r="C54" s="21">
        <f t="shared" ref="C54:P54" si="3">(C50)*10^9/3600</f>
        <v>0</v>
      </c>
      <c r="D54" s="21">
        <f t="shared" si="3"/>
        <v>0</v>
      </c>
      <c r="E54" s="21">
        <f t="shared" si="3"/>
        <v>0</v>
      </c>
      <c r="F54" s="21">
        <f t="shared" si="3"/>
        <v>0</v>
      </c>
      <c r="G54" s="21">
        <f t="shared" si="3"/>
        <v>1887.207522457602</v>
      </c>
      <c r="H54" s="21">
        <f t="shared" si="3"/>
        <v>0</v>
      </c>
      <c r="I54" s="21">
        <f t="shared" si="3"/>
        <v>0</v>
      </c>
      <c r="J54" s="21">
        <f t="shared" si="3"/>
        <v>0</v>
      </c>
      <c r="K54" s="21">
        <f t="shared" si="3"/>
        <v>0</v>
      </c>
      <c r="L54" s="21">
        <f t="shared" si="3"/>
        <v>0</v>
      </c>
      <c r="M54" s="21">
        <f t="shared" si="3"/>
        <v>108.67861484750279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0.21452971272062019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4.3097910183623824</v>
      </c>
      <c r="C58" s="23">
        <f t="shared" ref="C58:P58" ca="1" si="4">C54*C56</f>
        <v>0</v>
      </c>
      <c r="D58" s="23">
        <f t="shared" si="4"/>
        <v>0</v>
      </c>
      <c r="E58" s="23">
        <f t="shared" si="4"/>
        <v>0</v>
      </c>
      <c r="F58" s="23">
        <f t="shared" si="4"/>
        <v>0</v>
      </c>
      <c r="G58" s="23">
        <f t="shared" si="4"/>
        <v>503.88440849617973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2292.6010885504402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17</v>
      </c>
      <c r="C8" s="536">
        <f>B48</f>
        <v>18.888888888888886</v>
      </c>
      <c r="D8" s="1002"/>
      <c r="E8" s="1002">
        <f>E48</f>
        <v>0</v>
      </c>
      <c r="F8" s="1003"/>
      <c r="G8" s="537"/>
      <c r="H8" s="1002">
        <f>I48</f>
        <v>0</v>
      </c>
      <c r="I8" s="1002">
        <f>G48+F48</f>
        <v>0</v>
      </c>
      <c r="J8" s="1002">
        <f>H48+D48+C48</f>
        <v>0</v>
      </c>
      <c r="K8" s="1002"/>
      <c r="L8" s="1002"/>
      <c r="M8" s="1002"/>
      <c r="N8" s="538"/>
      <c r="O8" s="539">
        <f>C8*$C$12+D8*$D$12+E8*$E$12+F8*$F$12+G8*$G$12+H8*$H$12+I8*$I$12+J8*$J$12</f>
        <v>3.8155555555555551</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2309.6010885504402</v>
      </c>
      <c r="C10" s="549">
        <f t="shared" ref="C10:L10" si="0">SUM(C8:C9)</f>
        <v>18.888888888888886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3.8155555555555551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24.351351351351351</v>
      </c>
      <c r="C17" s="561">
        <f>B49</f>
        <v>27.057057057057051</v>
      </c>
      <c r="D17" s="562"/>
      <c r="E17" s="562">
        <f>E49</f>
        <v>0</v>
      </c>
      <c r="F17" s="1008"/>
      <c r="G17" s="563"/>
      <c r="H17" s="561">
        <f>I49</f>
        <v>0</v>
      </c>
      <c r="I17" s="562">
        <f>G49+F49</f>
        <v>0</v>
      </c>
      <c r="J17" s="562">
        <f>H49+D49+C49</f>
        <v>0</v>
      </c>
      <c r="K17" s="562"/>
      <c r="L17" s="562"/>
      <c r="M17" s="562"/>
      <c r="N17" s="1009"/>
      <c r="O17" s="564">
        <f>C17*$C$22+E17*$E$22+H17*$H$22+I17*$I$22+J17*$J$22+D17*$D$22+F17*$F$22+G17*$G$22+K17*$K$22+L17*$L$22</f>
        <v>5.4655255255255248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24.351351351351351</v>
      </c>
      <c r="C20" s="548">
        <f>SUM(C17:C19)</f>
        <v>27.057057057057051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5.4655255255255248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v>11039</v>
      </c>
      <c r="C28" s="762">
        <v>2970</v>
      </c>
      <c r="D28" s="619"/>
      <c r="E28" s="618"/>
      <c r="F28" s="618"/>
      <c r="G28" s="618" t="s">
        <v>896</v>
      </c>
      <c r="H28" s="618" t="s">
        <v>896</v>
      </c>
      <c r="I28" s="618"/>
      <c r="J28" s="761"/>
      <c r="K28" s="761"/>
      <c r="L28" s="618" t="s">
        <v>897</v>
      </c>
      <c r="M28" s="618">
        <v>3.4</v>
      </c>
      <c r="N28" s="618">
        <v>17</v>
      </c>
      <c r="O28" s="618">
        <v>24.351351351351351</v>
      </c>
      <c r="P28" s="618">
        <v>45.945945945945944</v>
      </c>
      <c r="Q28" s="618">
        <v>0</v>
      </c>
      <c r="R28" s="618">
        <v>0</v>
      </c>
      <c r="S28" s="618">
        <v>0</v>
      </c>
      <c r="T28" s="618">
        <v>0</v>
      </c>
      <c r="U28" s="618">
        <v>0</v>
      </c>
      <c r="V28" s="618">
        <v>0</v>
      </c>
      <c r="W28" s="618">
        <v>0</v>
      </c>
      <c r="X28" s="618">
        <v>1100</v>
      </c>
      <c r="Y28" s="618" t="s">
        <v>51</v>
      </c>
      <c r="Z28" s="620" t="s">
        <v>149</v>
      </c>
    </row>
    <row r="29" spans="1:26" s="556" customFormat="1" hidden="1">
      <c r="A29" s="574" t="s">
        <v>268</v>
      </c>
      <c r="B29" s="575"/>
      <c r="C29" s="575"/>
      <c r="D29" s="575"/>
      <c r="E29" s="575"/>
      <c r="F29" s="575"/>
      <c r="G29" s="575"/>
      <c r="H29" s="575"/>
      <c r="I29" s="575"/>
      <c r="J29" s="575"/>
      <c r="K29" s="575"/>
      <c r="L29" s="576"/>
      <c r="M29" s="576">
        <f>SUM(M28:M28)</f>
        <v>3.4</v>
      </c>
      <c r="N29" s="576">
        <f>SUM(N28:N28)</f>
        <v>17</v>
      </c>
      <c r="O29" s="576">
        <f>SUM(O28:O28)</f>
        <v>24.351351351351351</v>
      </c>
      <c r="P29" s="576">
        <f>SUM(P28:P28)</f>
        <v>45.945945945945944</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3.4</v>
      </c>
      <c r="N31" s="576">
        <f ca="1">SUMIF($Z$28:AD28,"tertiair",N28:N28)</f>
        <v>17</v>
      </c>
      <c r="O31" s="576">
        <f ca="1">SUMIF($Z$28:AE28,"tertiair",O28:O28)</f>
        <v>24.351351351351351</v>
      </c>
      <c r="P31" s="576">
        <f ca="1">SUMIF($Z$28:AF28,"tertiair",P28:P28)</f>
        <v>45.945945945945944</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0.5888888888888888</v>
      </c>
      <c r="C45" s="601">
        <f>IF(ISERROR(N29/(O29+N29)),0,N29/(N29+O29))</f>
        <v>0.41111111111111109</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18.888888888888886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27.057057057057051</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2021-11-11T12:44:54Z</dcterms:modified>
</cp:coreProperties>
</file>