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BDC05FF9-64E6-47A7-ADDF-6AE9B957BE29}"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H26" i="14"/>
  <c r="D5" i="17"/>
  <c r="Q14" i="48" l="1"/>
  <c r="P27" i="48"/>
  <c r="C45" i="18"/>
  <c r="E48" i="18" s="1"/>
  <c r="E8" i="18" s="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G48" i="18"/>
  <c r="F48" i="18"/>
  <c r="H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D48" i="18" l="1"/>
  <c r="I8" i="18"/>
  <c r="I76" i="14" s="1"/>
  <c r="I8" i="61" s="1"/>
  <c r="I10" i="61" s="1"/>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B52" i="22" l="1"/>
  <c r="D6" i="22"/>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J61" i="14" l="1"/>
  <c r="G51" i="22"/>
  <c r="G50" i="22" s="1"/>
  <c r="G54" i="22" s="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N5" i="13" l="1"/>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<sst xmlns="http://schemas.openxmlformats.org/spreadsheetml/2006/main" count="2464" uniqueCount="896">
  <si>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</si>
  <si>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</si>
  <si>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</si>
  <si>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</si>
  <si>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</si>
  <si>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</si>
  <si>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</si>
  <si>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</si>
  <si>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</si>
  <si>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</si>
  <si>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</si>
  <si>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</si>
  <si>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</si>
  <si>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</si>
  <si>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</si>
  <si>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</si>
  <si>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</si>
  <si>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</si>
  <si>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</si>
  <si>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</si>
  <si>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</si>
  <si>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</si>
  <si>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</si>
  <si>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</si>
  <si>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</si>
  <si>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</si>
  <si>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</si>
  <si>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</si>
  <si>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</si>
  <si>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</si>
  <si>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</si>
  <si>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</si>
  <si>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</si>
  <si>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</si>
  <si>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</si>
  <si>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</si>
  <si>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</si>
  <si>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</si>
  <si>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</si>
  <si>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</si>
  <si>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</si>
  <si>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</si>
  <si>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</si>
  <si>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</si>
  <si>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</si>
  <si>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</si>
  <si>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</si>
  <si>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</si>
  <si>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</si>
  <si>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</si>
  <si>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</si>
  <si>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</si>
  <si>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</si>
  <si>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</si>
  <si>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</si>
  <si>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</si>
  <si>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</si>
  <si>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</si>
  <si>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</si>
  <si>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</si>
  <si>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</si>
  <si>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</si>
  <si>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</si>
  <si>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</si>
  <si>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</si>
  <si>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</si>
  <si>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</si>
  <si>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</si>
  <si>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</si>
  <si>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</si>
  <si>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</si>
  <si>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</si>
  <si>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</si>
  <si>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</si>
  <si>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</si>
  <si>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</si>
  <si>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</si>
  <si>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</si>
  <si>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</si>
  <si>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</si>
  <si>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</si>
  <si>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</si>
  <si>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</si>
  <si>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</si>
  <si>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</si>
  <si>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</si>
  <si>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</si>
  <si>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</si>
  <si>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</si>
  <si>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</si>
  <si>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</si>
  <si>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</si>
  <si>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</si>
  <si>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</si>
  <si>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</si>
  <si>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</si>
  <si>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</si>
  <si>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</si>
  <si>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</si>
  <si>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</si>
  <si>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</si>
  <si>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</si>
  <si>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</si>
  <si>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</si>
  <si>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</si>
  <si>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</si>
  <si>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</si>
  <si>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</si>
  <si>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</si>
  <si>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</si>
  <si>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</si>
  <si>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</si>
  <si>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</si>
  <si>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</si>
  <si>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</si>
  <si>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</si>
  <si>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</si>
  <si>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</si>
  <si>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</si>
  <si>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</si>
  <si>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</si>
  <si>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</si>
  <si>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</si>
  <si>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</si>
  <si>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</si>
  <si>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</si>
  <si>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</si>
  <si>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</si>
  <si>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</si>
  <si>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</si>
  <si>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</si>
  <si>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</si>
  <si>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</si>
  <si>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</si>
  <si>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</si>
  <si>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</si>
  <si>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</si>
  <si>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</si>
  <si>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</si>
  <si>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</si>
  <si>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</si>
  <si>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</si>
  <si>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</si>
  <si>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</si>
  <si>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</si>
  <si>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</si>
  <si>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</si>
  <si>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</si>
  <si>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</si>
  <si>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</si>
  <si>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</si>
  <si>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</si>
  <si>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</si>
  <si>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</si>
  <si>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</si>
  <si>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</si>
  <si>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</si>
  <si>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</si>
  <si>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</si>
  <si>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</si>
  <si>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</si>
  <si>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</si>
  <si>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</si>
  <si>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</si>
  <si>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</si>
  <si>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</si>
  <si>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</si>
  <si>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</si>
  <si>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</si>
  <si>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</si>
  <si>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</si>
  <si>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</si>
  <si>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</si>
  <si>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</si>
  <si>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</si>
  <si>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</si>
  <si>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</si>
  <si>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</si>
  <si>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</si>
  <si>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</si>
  <si>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</si>
  <si>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</si>
  <si>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</si>
  <si>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</si>
  <si>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</si>
  <si>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</si>
  <si>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</si>
  <si>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</si>
  <si>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</si>
  <si>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</si>
  <si>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</si>
  <si>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</si>
  <si>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</si>
  <si>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</si>
  <si>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</si>
  <si>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</si>
  <si>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</si>
  <si>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</si>
  <si>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</si>
  <si>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</si>
  <si>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</si>
  <si>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</si>
  <si>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</si>
  <si>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</si>
  <si>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</si>
  <si>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</si>
  <si>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</si>
  <si>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</si>
  <si>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</si>
  <si>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</si>
  <si>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</si>
  <si>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</si>
  <si>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</si>
  <si>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</si>
  <si>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</si>
  <si>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</si>
  <si>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</si>
  <si>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</si>
  <si>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</si>
  <si>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</si>
  <si>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</si>
  <si>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</si>
  <si>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</si>
  <si>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</si>
  <si>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</si>
  <si>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</si>
  <si>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</si>
  <si>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</si>
  <si>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</si>
  <si>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</si>
  <si>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</si>
  <si>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</si>
  <si>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</si>
  <si>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</si>
  <si>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</si>
  <si>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</si>
  <si>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</si>
  <si>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</si>
  <si>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</si>
  <si>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</si>
  <si>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</si>
  <si>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</si>
  <si>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</si>
  <si>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</si>
  <si>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</si>
  <si>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</si>
  <si>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</si>
  <si>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</si>
  <si>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</si>
  <si>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</si>
  <si>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</si>
  <si>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</si>
  <si>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</si>
  <si>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</si>
  <si>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</si>
  <si>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</si>
  <si>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</si>
  <si>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</si>
  <si>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</si>
  <si>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</si>
  <si>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</si>
  <si>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</si>
  <si>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</si>
  <si>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</si>
  <si>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</si>
  <si>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</si>
  <si>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</si>
  <si>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</si>
  <si>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</si>
  <si>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</si>
  <si>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</si>
  <si>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</si>
  <si>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</si>
  <si>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</si>
  <si>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</si>
  <si>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</si>
  <si>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</si>
  <si>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</si>
  <si>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</si>
  <si>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</si>
  <si>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</si>
  <si>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</si>
  <si>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</si>
  <si>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</si>
  <si>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</si>
  <si>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</si>
  <si>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</si>
  <si>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</si>
  <si>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</si>
  <si>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</si>
  <si>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</si>
  <si>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</si>
  <si>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</si>
  <si>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</si>
  <si>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</si>
  <si>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</si>
  <si>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</si>
  <si>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</si>
  <si>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</si>
  <si>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</si>
  <si>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</si>
  <si>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</si>
  <si>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</si>
  <si>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</si>
  <si>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</si>
  <si>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</si>
  <si>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</si>
  <si>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</si>
  <si>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</si>
  <si>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</si>
  <si>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</si>
  <si>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</si>
  <si>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</si>
  <si>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</si>
  <si>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</si>
  <si>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</si>
  <si>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</si>
  <si>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</si>
  <si>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</si>
  <si>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</si>
  <si>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</si>
  <si>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</si>
  <si>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</si>
  <si>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</si>
  <si>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</si>
  <si>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</si>
  <si>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</si>
  <si>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</si>
  <si>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</si>
  <si>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</si>
  <si>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</si>
  <si>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</si>
  <si>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</si>
  <si>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</si>
  <si>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</si>
  <si>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</si>
  <si>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</si>
  <si>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</si>
  <si>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</si>
  <si>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</si>
  <si>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</si>
  <si>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</si>
  <si>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</si>
  <si>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</si>
  <si>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</si>
  <si>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</si>
  <si>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</si>
  <si>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</si>
  <si>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</si>
  <si>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</si>
  <si>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</si>
  <si>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</si>
  <si>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</si>
  <si>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</si>
  <si>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</si>
  <si>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</si>
  <si>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</si>
  <si>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</si>
  <si>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</si>
  <si>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</si>
  <si>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</si>
  <si>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</si>
  <si>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</si>
  <si>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</si>
  <si>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</si>
  <si>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</si>
  <si>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</si>
  <si>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</si>
  <si>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</si>
  <si>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</si>
  <si>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</si>
  <si>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</si>
  <si>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</si>
  <si>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</si>
  <si>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</si>
  <si>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</si>
  <si>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</si>
  <si>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</si>
  <si>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</si>
  <si>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</si>
  <si>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</si>
  <si>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</si>
  <si>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</si>
  <si>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</si>
  <si>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</si>
  <si>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</si>
  <si>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</si>
  <si>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</si>
  <si>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</si>
  <si>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</si>
  <si>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</si>
  <si>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</si>
  <si>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</si>
  <si>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</si>
  <si>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</si>
  <si>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</si>
  <si>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</si>
  <si>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</si>
  <si>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</si>
  <si>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</si>
  <si>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</si>
  <si>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</si>
  <si>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</si>
  <si>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</si>
  <si>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</si>
  <si>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</si>
  <si>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</si>
  <si>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</si>
  <si>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</si>
  <si>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</si>
  <si>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</si>
  <si>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</si>
  <si>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</si>
  <si>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</si>
  <si>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</si>
  <si>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</si>
  <si>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</si>
  <si>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</si>
  <si>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</si>
  <si>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</si>
  <si>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</si>
  <si>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</si>
  <si>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</si>
  <si>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</si>
  <si>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</si>
  <si>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</si>
  <si>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</si>
  <si>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</si>
  <si>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</si>
  <si>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</si>
  <si>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</si>
  <si>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</si>
  <si>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</si>
  <si>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</si>
  <si>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</si>
  <si>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</si>
  <si>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</si>
  <si>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</si>
  <si>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</si>
  <si>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</si>
  <si>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</si>
  <si>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</si>
  <si>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</si>
  <si>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</si>
  <si>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</si>
  <si>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</si>
  <si>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</si>
  <si>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</si>
  <si>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</si>
  <si>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</si>
  <si>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</si>
  <si>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</si>
  <si>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</si>
  <si>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</si>
  <si>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</si>
  <si>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</si>
  <si>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</si>
  <si>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</si>
  <si>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</si>
  <si>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</si>
  <si>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</si>
  <si>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</si>
  <si>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</si>
  <si>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</si>
  <si>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</si>
  <si>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</si>
  <si>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</si>
  <si>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</si>
  <si>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</si>
  <si>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</si>
  <si>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</si>
  <si>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</si>
  <si>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</si>
  <si>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</si>
  <si>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</si>
  <si>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</si>
  <si>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</si>
  <si>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</si>
  <si>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</si>
  <si>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</si>
  <si>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</si>
  <si>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</si>
  <si>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</si>
  <si>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</si>
  <si>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</si>
  <si>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</si>
  <si>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</si>
  <si>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</si>
  <si>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</si>
  <si>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</si>
  <si>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</si>
  <si>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</si>
  <si>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</si>
  <si>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</si>
  <si>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</si>
  <si>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</si>
  <si>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</si>
  <si>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</si>
  <si>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</si>
  <si>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</si>
  <si>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</si>
  <si>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</si>
  <si>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</si>
  <si>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</si>
  <si>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</si>
  <si>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</si>
  <si>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</si>
  <si>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</si>
  <si>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</si>
  <si>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</si>
  <si>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</si>
  <si>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</si>
  <si>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</si>
  <si>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</si>
  <si>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</si>
  <si>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</si>
  <si>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</si>
  <si>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</si>
  <si>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</si>
  <si>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</si>
  <si>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</si>
  <si>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</si>
  <si>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</si>
  <si>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</si>
  <si>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</si>
  <si>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</si>
  <si>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</si>
  <si>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</si>
  <si>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</si>
  <si>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</si>
  <si>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</si>
  <si>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</si>
  <si>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</si>
  <si>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</si>
  <si>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</si>
  <si>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</si>
  <si>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</si>
  <si>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</si>
  <si>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</si>
  <si>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</si>
  <si>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</si>
  <si>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</si>
  <si>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</si>
  <si>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</si>
  <si>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</si>
  <si>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</si>
  <si>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</si>
  <si>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</si>
  <si>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</si>
  <si>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</si>
  <si>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</si>
  <si>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</si>
  <si>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</si>
  <si>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</si>
  <si>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</si>
  <si>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</si>
  <si>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</si>
  <si>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</si>
  <si>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</si>
  <si>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</si>
  <si>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</si>
  <si>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</si>
  <si>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</si>
  <si>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</si>
  <si>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</si>
  <si>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</si>
  <si>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</si>
  <si>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</si>
  <si>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</si>
  <si>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</si>
  <si>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</si>
  <si>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</si>
  <si>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</si>
  <si>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</si>
  <si>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</si>
  <si>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</si>
  <si>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</si>
  <si>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</si>
  <si>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</si>
  <si>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</si>
  <si>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</si>
  <si>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</si>
  <si>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</si>
  <si>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</si>
  <si>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</si>
  <si>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</si>
  <si>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</si>
  <si>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</si>
  <si>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</si>
  <si>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</si>
  <si>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</si>
  <si>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</si>
  <si>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</si>
  <si>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</si>
  <si>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</si>
  <si>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</si>
  <si>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</si>
  <si>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</si>
  <si>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</si>
  <si>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</si>
  <si>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</si>
  <si>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</si>
  <si>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</si>
  <si>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</si>
  <si>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</si>
  <si>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</si>
  <si>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</si>
  <si>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</si>
  <si>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</si>
  <si>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</si>
  <si>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</si>
  <si>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</si>
  <si>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</si>
  <si>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</si>
  <si>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</si>
  <si>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</si>
  <si>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</si>
  <si>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</si>
  <si>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</si>
  <si>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</si>
  <si>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</si>
  <si>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</si>
  <si>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</si>
  <si>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</si>
  <si>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</si>
  <si>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</si>
  <si>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</si>
  <si>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</si>
  <si>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</si>
  <si>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</si>
  <si>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</si>
  <si>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</si>
  <si>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</si>
  <si>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</si>
  <si>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</si>
  <si>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</si>
  <si>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</si>
  <si>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</si>
  <si>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</si>
  <si>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</si>
  <si>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</si>
  <si>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</si>
  <si>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</si>
  <si>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</si>
  <si>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</si>
  <si>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</si>
  <si>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</si>
  <si>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</si>
  <si>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</si>
  <si>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</si>
  <si>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</si>
  <si>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</si>
  <si>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</si>
  <si>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</si>
  <si>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</si>
  <si>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</si>
  <si>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</si>
  <si>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</si>
  <si>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</si>
  <si>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</si>
  <si>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</si>
  <si>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</si>
  <si>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</si>
  <si>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</si>
  <si>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</si>
  <si>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</si>
  <si>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</si>
  <si>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</si>
  <si>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</si>
  <si>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</si>
  <si>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</si>
  <si>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</si>
  <si>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</si>
  <si>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</si>
  <si>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</si>
  <si>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</si>
  <si>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</si>
  <si>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</si>
  <si>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</si>
  <si>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</si>
  <si>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</si>
  <si>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</si>
  <si>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</si>
  <si>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</si>
  <si>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</si>
  <si>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</si>
  <si>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</si>
  <si>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</si>
  <si>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</si>
  <si>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</si>
  <si>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</si>
  <si>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</si>
  <si>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</si>
  <si>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</si>
  <si>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</si>
  <si>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</si>
  <si>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</si>
  <si>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</si>
  <si>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</si>
  <si>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</si>
  <si>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</si>
  <si>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</si>
  <si>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</si>
  <si>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</si>
  <si>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</si>
  <si>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</si>
  <si>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</si>
  <si>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</si>
  <si>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</si>
  <si>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</si>
  <si>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</si>
  <si>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</si>
  <si>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</si>
  <si>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</si>
  <si>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</si>
  <si>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</si>
  <si>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</si>
  <si>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</si>
  <si>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</si>
  <si>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</si>
  <si>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</si>
  <si>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</si>
  <si>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</si>
  <si>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</si>
  <si>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</si>
  <si>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</si>
  <si>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</si>
  <si>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</si>
  <si>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</si>
  <si>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</si>
  <si>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</si>
  <si>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</si>
  <si>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</si>
  <si>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</si>
  <si>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</si>
  <si>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</si>
  <si>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</si>
  <si>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</si>
  <si>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</si>
  <si>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</si>
  <si>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</si>
  <si>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</si>
  <si>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</si>
  <si>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</si>
  <si>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</si>
  <si>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</si>
  <si>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</si>
  <si>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</si>
  <si>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</si>
  <si>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</si>
  <si>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</si>
  <si>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</si>
  <si>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</si>
  <si>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</si>
  <si>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</si>
  <si>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</si>
  <si>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</si>
  <si>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</si>
  <si>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</si>
  <si>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</si>
  <si>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</si>
  <si>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</si>
  <si>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</si>
  <si>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</si>
  <si>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</si>
  <si>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</si>
  <si>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</si>
  <si>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</si>
  <si>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</si>
  <si>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</si>
  <si>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</si>
  <si>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</si>
  <si>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</si>
  <si>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</si>
  <si>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</si>
  <si>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</si>
  <si>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</si>
  <si>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</si>
  <si>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</si>
  <si>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</si>
  <si>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</si>
  <si>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</si>
  <si>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</si>
  <si>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</si>
  <si>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</si>
  <si>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</si>
  <si>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</si>
  <si>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</si>
  <si>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</si>
  <si>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</si>
  <si>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</si>
  <si>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</si>
  <si>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</si>
  <si>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</si>
  <si>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</si>
  <si>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</si>
  <si>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</si>
  <si>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</si>
  <si>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</si>
  <si>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</si>
  <si>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</si>
  <si>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</si>
  <si>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</si>
  <si>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</si>
  <si>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</si>
  <si>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</si>
  <si>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</si>
  <si>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</si>
  <si>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</si>
  <si>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</si>
  <si>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</si>
  <si>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</si>
  <si>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</si>
  <si>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</si>
  <si>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</si>
  <si>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</si>
  <si>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</si>
  <si>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</si>
  <si>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</si>
  <si>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</si>
  <si>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</si>
  <si>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</si>
  <si>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</si>
  <si>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</si>
  <si>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</si>
  <si>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</si>
  <si>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</si>
  <si>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</si>
  <si>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</si>
  <si>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</si>
  <si>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</si>
  <si>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</si>
  <si>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</si>
  <si>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</si>
  <si>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</si>
  <si>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</si>
  <si>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</si>
  <si>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</si>
  <si>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</si>
  <si>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</si>
  <si>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</si>
  <si>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</si>
  <si>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</si>
  <si>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</si>
  <si>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</si>
  <si>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</si>
  <si>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</si>
  <si>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</si>
  <si>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</si>
  <si>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</si>
  <si>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</si>
  <si>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</si>
  <si>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</si>
  <si>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</si>
  <si>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</si>
  <si>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</si>
  <si>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</si>
  <si>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</si>
  <si>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</si>
  <si>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</si>
  <si>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</si>
  <si>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</si>
  <si>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</si>
  <si>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</si>
  <si>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</si>
  <si>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</si>
  <si>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</si>
  <si>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</si>
  <si>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</si>
  <si>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</si>
  <si>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</si>
  <si>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</si>
  <si>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</si>
  <si>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</si>
  <si>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</si>
  <si>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</si>
  <si>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</si>
  <si>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</si>
  <si>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</si>
  <si>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</si>
  <si>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</si>
  <si>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</si>
  <si>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</si>
  <si>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</si>
  <si>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</si>
  <si>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</si>
  <si>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</si>
  <si>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</si>
  <si>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</si>
  <si>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</si>
  <si>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</si>
  <si>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</si>
  <si>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11018</t>
  </si>
  <si>
    <t>HEMIKSEM</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</si>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</sst>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619E3122-BC8A-439C-B965-6C40052CD489}"/>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83960.470208252169</c:v>
                </c:pt>
                <c:pt idx="1">
                  <c:v>29644.076483163153</c:v>
                </c:pt>
                <c:pt idx="2">
                  <c:v>317.93</c:v>
                </c:pt>
                <c:pt idx="3">
                  <c:v>250.21726721563658</c:v>
                </c:pt>
                <c:pt idx="4">
                  <c:v>86729.382027306303</c:v>
                </c:pt>
                <c:pt idx="5">
                  <c:v>29530.270231111554</c:v>
                </c:pt>
                <c:pt idx="6">
                  <c:v>1113.3643931863342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83960.470208252169</c:v>
                </c:pt>
                <c:pt idx="1">
                  <c:v>29644.076483163153</c:v>
                </c:pt>
                <c:pt idx="2">
                  <c:v>317.93</c:v>
                </c:pt>
                <c:pt idx="3">
                  <c:v>250.21726721563658</c:v>
                </c:pt>
                <c:pt idx="4">
                  <c:v>86729.382027306303</c:v>
                </c:pt>
                <c:pt idx="5">
                  <c:v>29530.270231111554</c:v>
                </c:pt>
                <c:pt idx="6">
                  <c:v>1113.3643931863342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16441.219639761784</c:v>
                </c:pt>
                <c:pt idx="2">
                  <c:v>6108.609002506083</c:v>
                </c:pt>
                <c:pt idx="3">
                  <c:v>68.720797667982509</c:v>
                </c:pt>
                <c:pt idx="4">
                  <c:v>61.552548431035618</c:v>
                </c:pt>
                <c:pt idx="5">
                  <c:v>17948.192297425816</c:v>
                </c:pt>
                <c:pt idx="6">
                  <c:v>7394.9131339479118</c:v>
                </c:pt>
                <c:pt idx="7">
                  <c:v>280.67878288898112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16441.219639761784</c:v>
                </c:pt>
                <c:pt idx="2">
                  <c:v>6108.609002506083</c:v>
                </c:pt>
                <c:pt idx="3">
                  <c:v>68.720797667982509</c:v>
                </c:pt>
                <c:pt idx="4">
                  <c:v>61.552548431035618</c:v>
                </c:pt>
                <c:pt idx="5">
                  <c:v>17948.192297425816</c:v>
                </c:pt>
                <c:pt idx="6">
                  <c:v>7394.9131339479118</c:v>
                </c:pt>
                <c:pt idx="7">
                  <c:v>280.67878288898112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11018</v>
      </c>
      <c r="B6" s="382"/>
      <c r="C6" s="383"/>
    </row>
    <row r="7" spans="1:7" s="380" customFormat="1" ht="15.75" customHeight="1">
      <c r="A7" s="384" t="str">
        <f>txtMunicipality</f>
        <v>HEMIKSEM</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8719.3461000000007</v>
      </c>
      <c r="D10" s="971">
        <f ca="1">tertiair!C16</f>
        <v>0</v>
      </c>
      <c r="E10" s="971">
        <f ca="1">tertiair!D16</f>
        <v>19271.152015786</v>
      </c>
      <c r="F10" s="971">
        <f>tertiair!E16</f>
        <v>111.16343095656653</v>
      </c>
      <c r="G10" s="971">
        <f ca="1">tertiair!F16</f>
        <v>1403.0951013365814</v>
      </c>
      <c r="H10" s="971">
        <f>tertiair!G16</f>
        <v>0</v>
      </c>
      <c r="I10" s="971">
        <f>tertiair!H16</f>
        <v>0</v>
      </c>
      <c r="J10" s="971">
        <f>tertiair!I16</f>
        <v>0</v>
      </c>
      <c r="K10" s="971">
        <f>tertiair!J16</f>
        <v>1.0409593851887524E-2</v>
      </c>
      <c r="L10" s="971">
        <f>tertiair!K16</f>
        <v>0</v>
      </c>
      <c r="M10" s="971">
        <f ca="1">tertiair!L16</f>
        <v>0</v>
      </c>
      <c r="N10" s="971">
        <f>tertiair!M16</f>
        <v>0</v>
      </c>
      <c r="O10" s="971">
        <f ca="1">tertiair!N16</f>
        <v>417.54275882348691</v>
      </c>
      <c r="P10" s="971">
        <f>tertiair!O16</f>
        <v>1.5633333333333335</v>
      </c>
      <c r="Q10" s="972">
        <f>tertiair!P16</f>
        <v>38.133333333333333</v>
      </c>
      <c r="R10" s="666">
        <f ca="1">SUM(C10:Q10)</f>
        <v>29962.006483163153</v>
      </c>
      <c r="S10" s="67"/>
    </row>
    <row r="11" spans="1:19" s="439" customFormat="1">
      <c r="A11" s="775" t="s">
        <v>213</v>
      </c>
      <c r="B11" s="780"/>
      <c r="C11" s="971">
        <f>huishoudens!B8</f>
        <v>15610.92556504612</v>
      </c>
      <c r="D11" s="971">
        <f>huishoudens!C8</f>
        <v>0</v>
      </c>
      <c r="E11" s="971">
        <f>huishoudens!D8</f>
        <v>52755.349407200003</v>
      </c>
      <c r="F11" s="971">
        <f>huishoudens!E8</f>
        <v>342.63189971391375</v>
      </c>
      <c r="G11" s="971">
        <f>huishoudens!F8</f>
        <v>8680.7564847404719</v>
      </c>
      <c r="H11" s="971">
        <f>huishoudens!G8</f>
        <v>0</v>
      </c>
      <c r="I11" s="971">
        <f>huishoudens!H8</f>
        <v>0</v>
      </c>
      <c r="J11" s="971">
        <f>huishoudens!I8</f>
        <v>0</v>
      </c>
      <c r="K11" s="971">
        <f>huishoudens!J8</f>
        <v>41.770826300061842</v>
      </c>
      <c r="L11" s="971">
        <f>huishoudens!K8</f>
        <v>0</v>
      </c>
      <c r="M11" s="971">
        <f>huishoudens!L8</f>
        <v>0</v>
      </c>
      <c r="N11" s="971">
        <f>huishoudens!M8</f>
        <v>0</v>
      </c>
      <c r="O11" s="971">
        <f>huishoudens!N8</f>
        <v>6127.9926919182672</v>
      </c>
      <c r="P11" s="971">
        <f>huishoudens!O8</f>
        <v>57.843333333333334</v>
      </c>
      <c r="Q11" s="972">
        <f>huishoudens!P8</f>
        <v>343.2</v>
      </c>
      <c r="R11" s="666">
        <f>SUM(C11:Q11)</f>
        <v>83960.470208252169</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27432.141500000002</v>
      </c>
      <c r="D13" s="971">
        <f>industrie!C18</f>
        <v>0</v>
      </c>
      <c r="E13" s="971">
        <f>industrie!D18</f>
        <v>49986.223588444002</v>
      </c>
      <c r="F13" s="971">
        <f>industrie!E18</f>
        <v>1615.8532854713708</v>
      </c>
      <c r="G13" s="971">
        <f>industrie!F18</f>
        <v>5698.4355963163453</v>
      </c>
      <c r="H13" s="971">
        <f>industrie!G18</f>
        <v>0</v>
      </c>
      <c r="I13" s="971">
        <f>industrie!H18</f>
        <v>0</v>
      </c>
      <c r="J13" s="971">
        <f>industrie!I18</f>
        <v>0</v>
      </c>
      <c r="K13" s="971">
        <f>industrie!J18</f>
        <v>93.833503288701678</v>
      </c>
      <c r="L13" s="971">
        <f>industrie!K18</f>
        <v>0</v>
      </c>
      <c r="M13" s="971">
        <f>industrie!L18</f>
        <v>0</v>
      </c>
      <c r="N13" s="971">
        <f>industrie!M18</f>
        <v>0</v>
      </c>
      <c r="O13" s="971">
        <f>industrie!N18</f>
        <v>1902.8945537859006</v>
      </c>
      <c r="P13" s="971">
        <f>industrie!O18</f>
        <v>0</v>
      </c>
      <c r="Q13" s="972">
        <f>industrie!P18</f>
        <v>0</v>
      </c>
      <c r="R13" s="666">
        <f>SUM(C13:Q13)</f>
        <v>86729.382027306303</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51762.41316504612</v>
      </c>
      <c r="D16" s="698">
        <f t="shared" ref="D16:R16" ca="1" si="0">SUM(D9:D15)</f>
        <v>0</v>
      </c>
      <c r="E16" s="698">
        <f t="shared" ca="1" si="0"/>
        <v>122012.72501143001</v>
      </c>
      <c r="F16" s="698">
        <f t="shared" si="0"/>
        <v>2069.6486161418511</v>
      </c>
      <c r="G16" s="698">
        <f t="shared" ca="1" si="0"/>
        <v>15782.287182393398</v>
      </c>
      <c r="H16" s="698">
        <f t="shared" si="0"/>
        <v>0</v>
      </c>
      <c r="I16" s="698">
        <f t="shared" si="0"/>
        <v>0</v>
      </c>
      <c r="J16" s="698">
        <f t="shared" si="0"/>
        <v>0</v>
      </c>
      <c r="K16" s="698">
        <f t="shared" si="0"/>
        <v>135.61473918261541</v>
      </c>
      <c r="L16" s="698">
        <f t="shared" si="0"/>
        <v>0</v>
      </c>
      <c r="M16" s="698">
        <f t="shared" ca="1" si="0"/>
        <v>0</v>
      </c>
      <c r="N16" s="698">
        <f t="shared" si="0"/>
        <v>0</v>
      </c>
      <c r="O16" s="698">
        <f t="shared" ca="1" si="0"/>
        <v>8448.4300045276541</v>
      </c>
      <c r="P16" s="698">
        <f t="shared" si="0"/>
        <v>59.406666666666666</v>
      </c>
      <c r="Q16" s="698">
        <f t="shared" si="0"/>
        <v>381.33333333333331</v>
      </c>
      <c r="R16" s="698">
        <f t="shared" ca="1" si="0"/>
        <v>200651.85871872163</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11.094834100672404</v>
      </c>
      <c r="D19" s="971">
        <f>transport!C54</f>
        <v>0</v>
      </c>
      <c r="E19" s="971">
        <f>transport!D54</f>
        <v>0</v>
      </c>
      <c r="F19" s="971">
        <f>transport!E54</f>
        <v>0</v>
      </c>
      <c r="G19" s="971">
        <f>transport!F54</f>
        <v>0</v>
      </c>
      <c r="H19" s="971">
        <f>transport!G54</f>
        <v>1042.249537586968</v>
      </c>
      <c r="I19" s="971">
        <f>transport!H54</f>
        <v>0</v>
      </c>
      <c r="J19" s="971">
        <f>transport!I54</f>
        <v>0</v>
      </c>
      <c r="K19" s="971">
        <f>transport!J54</f>
        <v>0</v>
      </c>
      <c r="L19" s="971">
        <f>transport!K54</f>
        <v>0</v>
      </c>
      <c r="M19" s="971">
        <f>transport!L54</f>
        <v>0</v>
      </c>
      <c r="N19" s="971">
        <f>transport!M54</f>
        <v>60.020021498693808</v>
      </c>
      <c r="O19" s="971">
        <f>transport!N54</f>
        <v>0</v>
      </c>
      <c r="P19" s="971">
        <f>transport!O54</f>
        <v>0</v>
      </c>
      <c r="Q19" s="972">
        <f>transport!P54</f>
        <v>0</v>
      </c>
      <c r="R19" s="666">
        <f>SUM(C19:Q19)</f>
        <v>1113.3643931863342</v>
      </c>
      <c r="S19" s="67"/>
    </row>
    <row r="20" spans="1:19" s="439" customFormat="1">
      <c r="A20" s="775" t="s">
        <v>295</v>
      </c>
      <c r="B20" s="780"/>
      <c r="C20" s="971">
        <f>transport!B14</f>
        <v>17.546672010588168</v>
      </c>
      <c r="D20" s="971">
        <f>transport!C14</f>
        <v>0</v>
      </c>
      <c r="E20" s="971">
        <f>transport!D14</f>
        <v>29.582537363352646</v>
      </c>
      <c r="F20" s="971">
        <f>transport!E14</f>
        <v>51.885347486426319</v>
      </c>
      <c r="G20" s="971">
        <f>transport!F14</f>
        <v>0</v>
      </c>
      <c r="H20" s="971">
        <f>transport!G14</f>
        <v>23165.102235134702</v>
      </c>
      <c r="I20" s="971">
        <f>transport!H14</f>
        <v>4772.2267670376214</v>
      </c>
      <c r="J20" s="971">
        <f>transport!I14</f>
        <v>0</v>
      </c>
      <c r="K20" s="971">
        <f>transport!J14</f>
        <v>0</v>
      </c>
      <c r="L20" s="971">
        <f>transport!K14</f>
        <v>0</v>
      </c>
      <c r="M20" s="971">
        <f>transport!L14</f>
        <v>0</v>
      </c>
      <c r="N20" s="971">
        <f>transport!M14</f>
        <v>1493.9266720788669</v>
      </c>
      <c r="O20" s="971">
        <f>transport!N14</f>
        <v>0</v>
      </c>
      <c r="P20" s="971">
        <f>transport!O14</f>
        <v>0</v>
      </c>
      <c r="Q20" s="972">
        <f>transport!P14</f>
        <v>0</v>
      </c>
      <c r="R20" s="666">
        <f>SUM(C20:Q20)</f>
        <v>29530.270231111554</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28.641506111260572</v>
      </c>
      <c r="D22" s="778">
        <f t="shared" ref="D22:R22" si="1">SUM(D18:D21)</f>
        <v>0</v>
      </c>
      <c r="E22" s="778">
        <f t="shared" si="1"/>
        <v>29.582537363352646</v>
      </c>
      <c r="F22" s="778">
        <f t="shared" si="1"/>
        <v>51.885347486426319</v>
      </c>
      <c r="G22" s="778">
        <f t="shared" si="1"/>
        <v>0</v>
      </c>
      <c r="H22" s="778">
        <f t="shared" si="1"/>
        <v>24207.351772721671</v>
      </c>
      <c r="I22" s="778">
        <f t="shared" si="1"/>
        <v>4772.2267670376214</v>
      </c>
      <c r="J22" s="778">
        <f t="shared" si="1"/>
        <v>0</v>
      </c>
      <c r="K22" s="778">
        <f t="shared" si="1"/>
        <v>0</v>
      </c>
      <c r="L22" s="778">
        <f t="shared" si="1"/>
        <v>0</v>
      </c>
      <c r="M22" s="778">
        <f t="shared" si="1"/>
        <v>0</v>
      </c>
      <c r="N22" s="778">
        <f t="shared" si="1"/>
        <v>1553.9466935775606</v>
      </c>
      <c r="O22" s="778">
        <f t="shared" si="1"/>
        <v>0</v>
      </c>
      <c r="P22" s="778">
        <f t="shared" si="1"/>
        <v>0</v>
      </c>
      <c r="Q22" s="778">
        <f t="shared" si="1"/>
        <v>0</v>
      </c>
      <c r="R22" s="778">
        <f t="shared" si="1"/>
        <v>30643.634624297887</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35.777999999999999</v>
      </c>
      <c r="D24" s="971">
        <f>+landbouw!C8</f>
        <v>0</v>
      </c>
      <c r="E24" s="971">
        <f>+landbouw!D8</f>
        <v>59.154963999999993</v>
      </c>
      <c r="F24" s="971">
        <f>+landbouw!E8</f>
        <v>1.0516246986251028</v>
      </c>
      <c r="G24" s="971">
        <f>+landbouw!F8</f>
        <v>149.04921465835662</v>
      </c>
      <c r="H24" s="971">
        <f>+landbouw!G8</f>
        <v>0</v>
      </c>
      <c r="I24" s="971">
        <f>+landbouw!H8</f>
        <v>0</v>
      </c>
      <c r="J24" s="971">
        <f>+landbouw!I8</f>
        <v>0</v>
      </c>
      <c r="K24" s="971">
        <f>+landbouw!J8</f>
        <v>5.1834638586548838</v>
      </c>
      <c r="L24" s="971">
        <f>+landbouw!K8</f>
        <v>0</v>
      </c>
      <c r="M24" s="971">
        <f>+landbouw!L8</f>
        <v>0</v>
      </c>
      <c r="N24" s="971">
        <f>+landbouw!M8</f>
        <v>0</v>
      </c>
      <c r="O24" s="971">
        <f>+landbouw!N8</f>
        <v>0</v>
      </c>
      <c r="P24" s="971">
        <f>+landbouw!O8</f>
        <v>0</v>
      </c>
      <c r="Q24" s="972">
        <f>+landbouw!P8</f>
        <v>0</v>
      </c>
      <c r="R24" s="666">
        <f>SUM(C24:Q24)</f>
        <v>250.21726721563658</v>
      </c>
      <c r="S24" s="67"/>
    </row>
    <row r="25" spans="1:19" s="439" customFormat="1" ht="15" thickBot="1">
      <c r="A25" s="797" t="s">
        <v>802</v>
      </c>
      <c r="B25" s="974"/>
      <c r="C25" s="975">
        <f>IF(Onbekend_ele_kWh="---",0,Onbekend_ele_kWh)/1000+IF(REST_rest_ele_kWh="---",0,REST_rest_ele_kWh)/1000</f>
        <v>959.23755000000006</v>
      </c>
      <c r="D25" s="975"/>
      <c r="E25" s="975">
        <f>IF(onbekend_gas_kWh="---",0,onbekend_gas_kWh)/1000+IF(REST_rest_gas_kWh="---",0,REST_rest_gas_kWh)/1000</f>
        <v>947.53610000000003</v>
      </c>
      <c r="F25" s="975"/>
      <c r="G25" s="975"/>
      <c r="H25" s="975"/>
      <c r="I25" s="975"/>
      <c r="J25" s="975"/>
      <c r="K25" s="975"/>
      <c r="L25" s="975"/>
      <c r="M25" s="975"/>
      <c r="N25" s="975"/>
      <c r="O25" s="975"/>
      <c r="P25" s="975"/>
      <c r="Q25" s="976"/>
      <c r="R25" s="666">
        <f>SUM(C25:Q25)</f>
        <v>1906.7736500000001</v>
      </c>
      <c r="S25" s="67"/>
    </row>
    <row r="26" spans="1:19" s="439" customFormat="1" ht="15.75" thickBot="1">
      <c r="A26" s="671" t="s">
        <v>803</v>
      </c>
      <c r="B26" s="783"/>
      <c r="C26" s="778">
        <f>SUM(C24:C25)</f>
        <v>995.01555000000008</v>
      </c>
      <c r="D26" s="778">
        <f t="shared" ref="D26:R26" si="2">SUM(D24:D25)</f>
        <v>0</v>
      </c>
      <c r="E26" s="778">
        <f t="shared" si="2"/>
        <v>1006.691064</v>
      </c>
      <c r="F26" s="778">
        <f t="shared" si="2"/>
        <v>1.0516246986251028</v>
      </c>
      <c r="G26" s="778">
        <f t="shared" si="2"/>
        <v>149.04921465835662</v>
      </c>
      <c r="H26" s="778">
        <f t="shared" si="2"/>
        <v>0</v>
      </c>
      <c r="I26" s="778">
        <f t="shared" si="2"/>
        <v>0</v>
      </c>
      <c r="J26" s="778">
        <f t="shared" si="2"/>
        <v>0</v>
      </c>
      <c r="K26" s="778">
        <f t="shared" si="2"/>
        <v>5.1834638586548838</v>
      </c>
      <c r="L26" s="778">
        <f t="shared" si="2"/>
        <v>0</v>
      </c>
      <c r="M26" s="778">
        <f t="shared" si="2"/>
        <v>0</v>
      </c>
      <c r="N26" s="778">
        <f t="shared" si="2"/>
        <v>0</v>
      </c>
      <c r="O26" s="778">
        <f t="shared" si="2"/>
        <v>0</v>
      </c>
      <c r="P26" s="778">
        <f t="shared" si="2"/>
        <v>0</v>
      </c>
      <c r="Q26" s="778">
        <f t="shared" si="2"/>
        <v>0</v>
      </c>
      <c r="R26" s="778">
        <f t="shared" si="2"/>
        <v>2156.9909172156367</v>
      </c>
      <c r="S26" s="67"/>
    </row>
    <row r="27" spans="1:19" s="439" customFormat="1" ht="17.25" thickTop="1" thickBot="1">
      <c r="A27" s="672" t="s">
        <v>109</v>
      </c>
      <c r="B27" s="771"/>
      <c r="C27" s="673">
        <f ca="1">C22+C16+C26</f>
        <v>52786.070221157381</v>
      </c>
      <c r="D27" s="673">
        <f t="shared" ref="D27:R27" ca="1" si="3">D22+D16+D26</f>
        <v>0</v>
      </c>
      <c r="E27" s="673">
        <f t="shared" ca="1" si="3"/>
        <v>123048.99861279337</v>
      </c>
      <c r="F27" s="673">
        <f t="shared" si="3"/>
        <v>2122.5855883269023</v>
      </c>
      <c r="G27" s="673">
        <f t="shared" ca="1" si="3"/>
        <v>15931.336397051755</v>
      </c>
      <c r="H27" s="673">
        <f t="shared" si="3"/>
        <v>24207.351772721671</v>
      </c>
      <c r="I27" s="673">
        <f t="shared" si="3"/>
        <v>4772.2267670376214</v>
      </c>
      <c r="J27" s="673">
        <f t="shared" si="3"/>
        <v>0</v>
      </c>
      <c r="K27" s="673">
        <f t="shared" si="3"/>
        <v>140.79820304127028</v>
      </c>
      <c r="L27" s="673">
        <f t="shared" si="3"/>
        <v>0</v>
      </c>
      <c r="M27" s="673">
        <f t="shared" ca="1" si="3"/>
        <v>0</v>
      </c>
      <c r="N27" s="673">
        <f t="shared" si="3"/>
        <v>1553.9466935775606</v>
      </c>
      <c r="O27" s="673">
        <f t="shared" ca="1" si="3"/>
        <v>8448.4300045276541</v>
      </c>
      <c r="P27" s="673">
        <f t="shared" si="3"/>
        <v>59.406666666666666</v>
      </c>
      <c r="Q27" s="673">
        <f t="shared" si="3"/>
        <v>381.33333333333331</v>
      </c>
      <c r="R27" s="673">
        <f t="shared" ca="1" si="3"/>
        <v>233452.48426023516</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1884.6929171050622</v>
      </c>
      <c r="D40" s="971">
        <f ca="1">tertiair!C20</f>
        <v>0</v>
      </c>
      <c r="E40" s="971">
        <f ca="1">tertiair!D20</f>
        <v>3892.7727071887721</v>
      </c>
      <c r="F40" s="971">
        <f>tertiair!E20</f>
        <v>25.234098827140603</v>
      </c>
      <c r="G40" s="971">
        <f ca="1">tertiair!F20</f>
        <v>374.62639205686725</v>
      </c>
      <c r="H40" s="971">
        <f>tertiair!G20</f>
        <v>0</v>
      </c>
      <c r="I40" s="971">
        <f>tertiair!H20</f>
        <v>0</v>
      </c>
      <c r="J40" s="971">
        <f>tertiair!I20</f>
        <v>0</v>
      </c>
      <c r="K40" s="971">
        <f>tertiair!J20</f>
        <v>3.6849962235681833E-3</v>
      </c>
      <c r="L40" s="971">
        <f>tertiair!K20</f>
        <v>0</v>
      </c>
      <c r="M40" s="971">
        <f ca="1">tertiair!L20</f>
        <v>0</v>
      </c>
      <c r="N40" s="971">
        <f>tertiair!M20</f>
        <v>0</v>
      </c>
      <c r="O40" s="971">
        <f ca="1">tertiair!N20</f>
        <v>0</v>
      </c>
      <c r="P40" s="971">
        <f>tertiair!O20</f>
        <v>0</v>
      </c>
      <c r="Q40" s="740">
        <f>tertiair!P20</f>
        <v>0</v>
      </c>
      <c r="R40" s="816">
        <f t="shared" ca="1" si="4"/>
        <v>6177.3298001740659</v>
      </c>
    </row>
    <row r="41" spans="1:18">
      <c r="A41" s="788" t="s">
        <v>213</v>
      </c>
      <c r="B41" s="795"/>
      <c r="C41" s="971">
        <f ca="1">huishoudens!B12</f>
        <v>3374.3127643363946</v>
      </c>
      <c r="D41" s="971">
        <f ca="1">huishoudens!C12</f>
        <v>0</v>
      </c>
      <c r="E41" s="971">
        <f>huishoudens!D12</f>
        <v>10656.580580254402</v>
      </c>
      <c r="F41" s="971">
        <f>huishoudens!E12</f>
        <v>77.777441235058419</v>
      </c>
      <c r="G41" s="971">
        <f>huishoudens!F12</f>
        <v>2317.7619814257059</v>
      </c>
      <c r="H41" s="971">
        <f>huishoudens!G12</f>
        <v>0</v>
      </c>
      <c r="I41" s="971">
        <f>huishoudens!H12</f>
        <v>0</v>
      </c>
      <c r="J41" s="971">
        <f>huishoudens!I12</f>
        <v>0</v>
      </c>
      <c r="K41" s="971">
        <f>huishoudens!J12</f>
        <v>14.78687251022189</v>
      </c>
      <c r="L41" s="971">
        <f>huishoudens!K12</f>
        <v>0</v>
      </c>
      <c r="M41" s="971">
        <f>huishoudens!L12</f>
        <v>0</v>
      </c>
      <c r="N41" s="971">
        <f>huishoudens!M12</f>
        <v>0</v>
      </c>
      <c r="O41" s="971">
        <f>huishoudens!N12</f>
        <v>0</v>
      </c>
      <c r="P41" s="971">
        <f>huishoudens!O12</f>
        <v>0</v>
      </c>
      <c r="Q41" s="740">
        <f>huishoudens!P12</f>
        <v>0</v>
      </c>
      <c r="R41" s="816">
        <f t="shared" ca="1" si="4"/>
        <v>16441.219639761784</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5929.4770723774618</v>
      </c>
      <c r="D43" s="971">
        <f ca="1">industrie!C22</f>
        <v>0</v>
      </c>
      <c r="E43" s="971">
        <f>industrie!D22</f>
        <v>10097.217164865689</v>
      </c>
      <c r="F43" s="971">
        <f>industrie!E22</f>
        <v>366.79869580200119</v>
      </c>
      <c r="G43" s="971">
        <f>industrie!F22</f>
        <v>1521.4823042164642</v>
      </c>
      <c r="H43" s="971">
        <f>industrie!G22</f>
        <v>0</v>
      </c>
      <c r="I43" s="971">
        <f>industrie!H22</f>
        <v>0</v>
      </c>
      <c r="J43" s="971">
        <f>industrie!I22</f>
        <v>0</v>
      </c>
      <c r="K43" s="971">
        <f>industrie!J22</f>
        <v>33.21706016420039</v>
      </c>
      <c r="L43" s="971">
        <f>industrie!K22</f>
        <v>0</v>
      </c>
      <c r="M43" s="971">
        <f>industrie!L22</f>
        <v>0</v>
      </c>
      <c r="N43" s="971">
        <f>industrie!M22</f>
        <v>0</v>
      </c>
      <c r="O43" s="971">
        <f>industrie!N22</f>
        <v>0</v>
      </c>
      <c r="P43" s="971">
        <f>industrie!O22</f>
        <v>0</v>
      </c>
      <c r="Q43" s="740">
        <f>industrie!P22</f>
        <v>0</v>
      </c>
      <c r="R43" s="815">
        <f t="shared" ca="1" si="4"/>
        <v>17948.192297425816</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11188.482753818918</v>
      </c>
      <c r="D46" s="698">
        <f t="shared" ref="D46:Q46" ca="1" si="5">SUM(D39:D45)</f>
        <v>0</v>
      </c>
      <c r="E46" s="698">
        <f t="shared" ca="1" si="5"/>
        <v>24646.570452308864</v>
      </c>
      <c r="F46" s="698">
        <f t="shared" si="5"/>
        <v>469.81023586420019</v>
      </c>
      <c r="G46" s="698">
        <f t="shared" ca="1" si="5"/>
        <v>4213.8706776990375</v>
      </c>
      <c r="H46" s="698">
        <f t="shared" si="5"/>
        <v>0</v>
      </c>
      <c r="I46" s="698">
        <f t="shared" si="5"/>
        <v>0</v>
      </c>
      <c r="J46" s="698">
        <f t="shared" si="5"/>
        <v>0</v>
      </c>
      <c r="K46" s="698">
        <f t="shared" si="5"/>
        <v>48.00761767064585</v>
      </c>
      <c r="L46" s="698">
        <f t="shared" si="5"/>
        <v>0</v>
      </c>
      <c r="M46" s="698">
        <f t="shared" ca="1" si="5"/>
        <v>0</v>
      </c>
      <c r="N46" s="698">
        <f t="shared" si="5"/>
        <v>0</v>
      </c>
      <c r="O46" s="698">
        <f t="shared" ca="1" si="5"/>
        <v>0</v>
      </c>
      <c r="P46" s="698">
        <f t="shared" si="5"/>
        <v>0</v>
      </c>
      <c r="Q46" s="698">
        <f t="shared" si="5"/>
        <v>0</v>
      </c>
      <c r="R46" s="698">
        <f ca="1">SUM(R39:R45)</f>
        <v>40566.741737361663</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2.3981563532605952</v>
      </c>
      <c r="D49" s="971">
        <f ca="1">transport!C58</f>
        <v>0</v>
      </c>
      <c r="E49" s="971">
        <f>transport!D58</f>
        <v>0</v>
      </c>
      <c r="F49" s="971">
        <f>transport!E58</f>
        <v>0</v>
      </c>
      <c r="G49" s="971">
        <f>transport!F58</f>
        <v>0</v>
      </c>
      <c r="H49" s="971">
        <f>transport!G58</f>
        <v>278.2806265357205</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280.67878288898112</v>
      </c>
    </row>
    <row r="50" spans="1:18">
      <c r="A50" s="791" t="s">
        <v>295</v>
      </c>
      <c r="B50" s="801"/>
      <c r="C50" s="669">
        <f ca="1">transport!B18</f>
        <v>3.7927257477623417</v>
      </c>
      <c r="D50" s="669">
        <f>transport!C18</f>
        <v>0</v>
      </c>
      <c r="E50" s="669">
        <f>transport!D18</f>
        <v>5.9756725473972345</v>
      </c>
      <c r="F50" s="669">
        <f>transport!E18</f>
        <v>11.777973879418775</v>
      </c>
      <c r="G50" s="669">
        <f>transport!F18</f>
        <v>0</v>
      </c>
      <c r="H50" s="669">
        <f>transport!G18</f>
        <v>6185.0822967809654</v>
      </c>
      <c r="I50" s="669">
        <f>transport!H18</f>
        <v>1188.2844649923677</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7394.9131339479118</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6.1908821010229369</v>
      </c>
      <c r="D52" s="698">
        <f t="shared" ref="D52:Q52" ca="1" si="6">SUM(D48:D51)</f>
        <v>0</v>
      </c>
      <c r="E52" s="698">
        <f t="shared" si="6"/>
        <v>5.9756725473972345</v>
      </c>
      <c r="F52" s="698">
        <f t="shared" si="6"/>
        <v>11.777973879418775</v>
      </c>
      <c r="G52" s="698">
        <f t="shared" si="6"/>
        <v>0</v>
      </c>
      <c r="H52" s="698">
        <f t="shared" si="6"/>
        <v>6463.3629233166857</v>
      </c>
      <c r="I52" s="698">
        <f t="shared" si="6"/>
        <v>1188.2844649923677</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7675.5919168368928</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7.7334403767026645</v>
      </c>
      <c r="D54" s="669">
        <f ca="1">+landbouw!C12</f>
        <v>0</v>
      </c>
      <c r="E54" s="669">
        <f>+landbouw!D12</f>
        <v>11.949302727999999</v>
      </c>
      <c r="F54" s="669">
        <f>+landbouw!E12</f>
        <v>0.23871880658789835</v>
      </c>
      <c r="G54" s="669">
        <f>+landbouw!F12</f>
        <v>39.796140313781223</v>
      </c>
      <c r="H54" s="669">
        <f>+landbouw!G12</f>
        <v>0</v>
      </c>
      <c r="I54" s="669">
        <f>+landbouw!H12</f>
        <v>0</v>
      </c>
      <c r="J54" s="669">
        <f>+landbouw!I12</f>
        <v>0</v>
      </c>
      <c r="K54" s="669">
        <f>+landbouw!J12</f>
        <v>1.8349462059638288</v>
      </c>
      <c r="L54" s="669">
        <f>+landbouw!K12</f>
        <v>0</v>
      </c>
      <c r="M54" s="669">
        <f>+landbouw!L12</f>
        <v>0</v>
      </c>
      <c r="N54" s="669">
        <f>+landbouw!M12</f>
        <v>0</v>
      </c>
      <c r="O54" s="669">
        <f>+landbouw!N12</f>
        <v>0</v>
      </c>
      <c r="P54" s="669">
        <f>+landbouw!O12</f>
        <v>0</v>
      </c>
      <c r="Q54" s="670">
        <f>+landbouw!P12</f>
        <v>0</v>
      </c>
      <c r="R54" s="697">
        <f ca="1">SUM(C54:Q54)</f>
        <v>61.552548431035618</v>
      </c>
    </row>
    <row r="55" spans="1:18" ht="15" thickBot="1">
      <c r="A55" s="791" t="s">
        <v>802</v>
      </c>
      <c r="B55" s="801"/>
      <c r="C55" s="669">
        <f ca="1">C25*'EF ele_warmte'!B12</f>
        <v>207.33988484597634</v>
      </c>
      <c r="D55" s="669"/>
      <c r="E55" s="669">
        <f>E25*EF_CO2_aardgas</f>
        <v>191.40229220000001</v>
      </c>
      <c r="F55" s="669"/>
      <c r="G55" s="669"/>
      <c r="H55" s="669"/>
      <c r="I55" s="669"/>
      <c r="J55" s="669"/>
      <c r="K55" s="669"/>
      <c r="L55" s="669"/>
      <c r="M55" s="669"/>
      <c r="N55" s="669"/>
      <c r="O55" s="669"/>
      <c r="P55" s="669"/>
      <c r="Q55" s="670"/>
      <c r="R55" s="697">
        <f ca="1">SUM(C55:Q55)</f>
        <v>398.74217704597635</v>
      </c>
    </row>
    <row r="56" spans="1:18" ht="15.75" thickBot="1">
      <c r="A56" s="789" t="s">
        <v>803</v>
      </c>
      <c r="B56" s="802"/>
      <c r="C56" s="698">
        <f ca="1">SUM(C54:C55)</f>
        <v>215.07332522267902</v>
      </c>
      <c r="D56" s="698">
        <f t="shared" ref="D56:Q56" ca="1" si="7">SUM(D54:D55)</f>
        <v>0</v>
      </c>
      <c r="E56" s="698">
        <f t="shared" si="7"/>
        <v>203.351594928</v>
      </c>
      <c r="F56" s="698">
        <f t="shared" si="7"/>
        <v>0.23871880658789835</v>
      </c>
      <c r="G56" s="698">
        <f t="shared" si="7"/>
        <v>39.796140313781223</v>
      </c>
      <c r="H56" s="698">
        <f t="shared" si="7"/>
        <v>0</v>
      </c>
      <c r="I56" s="698">
        <f t="shared" si="7"/>
        <v>0</v>
      </c>
      <c r="J56" s="698">
        <f t="shared" si="7"/>
        <v>0</v>
      </c>
      <c r="K56" s="698">
        <f t="shared" si="7"/>
        <v>1.8349462059638288</v>
      </c>
      <c r="L56" s="698">
        <f t="shared" si="7"/>
        <v>0</v>
      </c>
      <c r="M56" s="698">
        <f t="shared" si="7"/>
        <v>0</v>
      </c>
      <c r="N56" s="698">
        <f t="shared" si="7"/>
        <v>0</v>
      </c>
      <c r="O56" s="698">
        <f t="shared" si="7"/>
        <v>0</v>
      </c>
      <c r="P56" s="698">
        <f t="shared" si="7"/>
        <v>0</v>
      </c>
      <c r="Q56" s="699">
        <f t="shared" si="7"/>
        <v>0</v>
      </c>
      <c r="R56" s="700">
        <f ca="1">SUM(R54:R55)</f>
        <v>460.29472547701198</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11409.74696114262</v>
      </c>
      <c r="D61" s="706">
        <f t="shared" ref="D61:Q61" ca="1" si="8">D46+D52+D56</f>
        <v>0</v>
      </c>
      <c r="E61" s="706">
        <f t="shared" ca="1" si="8"/>
        <v>24855.897719784261</v>
      </c>
      <c r="F61" s="706">
        <f t="shared" si="8"/>
        <v>481.82692855020684</v>
      </c>
      <c r="G61" s="706">
        <f t="shared" ca="1" si="8"/>
        <v>4253.666818012819</v>
      </c>
      <c r="H61" s="706">
        <f t="shared" si="8"/>
        <v>6463.3629233166857</v>
      </c>
      <c r="I61" s="706">
        <f t="shared" si="8"/>
        <v>1188.2844649923677</v>
      </c>
      <c r="J61" s="706">
        <f t="shared" si="8"/>
        <v>0</v>
      </c>
      <c r="K61" s="706">
        <f t="shared" si="8"/>
        <v>49.842563876609681</v>
      </c>
      <c r="L61" s="706">
        <f t="shared" si="8"/>
        <v>0</v>
      </c>
      <c r="M61" s="706">
        <f t="shared" ca="1" si="8"/>
        <v>0</v>
      </c>
      <c r="N61" s="706">
        <f t="shared" si="8"/>
        <v>0</v>
      </c>
      <c r="O61" s="706">
        <f t="shared" ca="1" si="8"/>
        <v>0</v>
      </c>
      <c r="P61" s="706">
        <f t="shared" si="8"/>
        <v>0</v>
      </c>
      <c r="Q61" s="706">
        <f t="shared" si="8"/>
        <v>0</v>
      </c>
      <c r="R61" s="706">
        <f ca="1">R46+R52+R56</f>
        <v>48702.628379675567</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0.21615071766735605</v>
      </c>
      <c r="D63" s="747">
        <f t="shared" ca="1" si="9"/>
        <v>0</v>
      </c>
      <c r="E63" s="982">
        <f t="shared" ca="1" si="9"/>
        <v>0.20200000000000001</v>
      </c>
      <c r="F63" s="747">
        <f t="shared" si="9"/>
        <v>0.22700000000000001</v>
      </c>
      <c r="G63" s="747">
        <f t="shared" ca="1" si="9"/>
        <v>0.26700000000000002</v>
      </c>
      <c r="H63" s="747">
        <f t="shared" si="9"/>
        <v>0.26699999999999996</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1158.2559173446239</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1158.2559173446239</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15610.92556504612</v>
      </c>
      <c r="C4" s="443">
        <f>huishoudens!C8</f>
        <v>0</v>
      </c>
      <c r="D4" s="443">
        <f>huishoudens!D8</f>
        <v>52755.349407200003</v>
      </c>
      <c r="E4" s="443">
        <f>huishoudens!E8</f>
        <v>342.63189971391375</v>
      </c>
      <c r="F4" s="443">
        <f>huishoudens!F8</f>
        <v>8680.7564847404719</v>
      </c>
      <c r="G4" s="443">
        <f>huishoudens!G8</f>
        <v>0</v>
      </c>
      <c r="H4" s="443">
        <f>huishoudens!H8</f>
        <v>0</v>
      </c>
      <c r="I4" s="443">
        <f>huishoudens!I8</f>
        <v>0</v>
      </c>
      <c r="J4" s="443">
        <f>huishoudens!J8</f>
        <v>41.770826300061842</v>
      </c>
      <c r="K4" s="443">
        <f>huishoudens!K8</f>
        <v>0</v>
      </c>
      <c r="L4" s="443">
        <f>huishoudens!L8</f>
        <v>0</v>
      </c>
      <c r="M4" s="443">
        <f>huishoudens!M8</f>
        <v>0</v>
      </c>
      <c r="N4" s="443">
        <f>huishoudens!N8</f>
        <v>6127.9926919182672</v>
      </c>
      <c r="O4" s="443">
        <f>huishoudens!O8</f>
        <v>57.843333333333334</v>
      </c>
      <c r="P4" s="444">
        <f>huishoudens!P8</f>
        <v>343.2</v>
      </c>
      <c r="Q4" s="445">
        <f>SUM(B4:P4)</f>
        <v>83960.470208252169</v>
      </c>
    </row>
    <row r="5" spans="1:17">
      <c r="A5" s="442" t="s">
        <v>149</v>
      </c>
      <c r="B5" s="443">
        <f ca="1">tertiair!B16</f>
        <v>8401.4161000000004</v>
      </c>
      <c r="C5" s="443">
        <f ca="1">tertiair!C16</f>
        <v>0</v>
      </c>
      <c r="D5" s="443">
        <f ca="1">tertiair!D16</f>
        <v>19271.152015786</v>
      </c>
      <c r="E5" s="443">
        <f>tertiair!E16</f>
        <v>111.16343095656653</v>
      </c>
      <c r="F5" s="443">
        <f ca="1">tertiair!F16</f>
        <v>1403.0951013365814</v>
      </c>
      <c r="G5" s="443">
        <f>tertiair!G16</f>
        <v>0</v>
      </c>
      <c r="H5" s="443">
        <f>tertiair!H16</f>
        <v>0</v>
      </c>
      <c r="I5" s="443">
        <f>tertiair!I16</f>
        <v>0</v>
      </c>
      <c r="J5" s="443">
        <f>tertiair!J16</f>
        <v>1.0409593851887524E-2</v>
      </c>
      <c r="K5" s="443">
        <f>tertiair!K16</f>
        <v>0</v>
      </c>
      <c r="L5" s="443">
        <f ca="1">tertiair!L16</f>
        <v>0</v>
      </c>
      <c r="M5" s="443">
        <f>tertiair!M16</f>
        <v>0</v>
      </c>
      <c r="N5" s="443">
        <f ca="1">tertiair!N16</f>
        <v>417.54275882348691</v>
      </c>
      <c r="O5" s="443">
        <f>tertiair!O16</f>
        <v>1.5633333333333335</v>
      </c>
      <c r="P5" s="444">
        <f>tertiair!P16</f>
        <v>38.133333333333333</v>
      </c>
      <c r="Q5" s="442">
        <f t="shared" ref="Q5:Q14" ca="1" si="0">SUM(B5:P5)</f>
        <v>29644.076483163153</v>
      </c>
    </row>
    <row r="6" spans="1:17">
      <c r="A6" s="442" t="s">
        <v>187</v>
      </c>
      <c r="B6" s="443">
        <f>'openbare verlichting'!B8</f>
        <v>317.93</v>
      </c>
      <c r="C6" s="443"/>
      <c r="D6" s="443"/>
      <c r="E6" s="443"/>
      <c r="F6" s="443"/>
      <c r="G6" s="443"/>
      <c r="H6" s="443"/>
      <c r="I6" s="443"/>
      <c r="J6" s="443"/>
      <c r="K6" s="443"/>
      <c r="L6" s="443"/>
      <c r="M6" s="443"/>
      <c r="N6" s="443"/>
      <c r="O6" s="443"/>
      <c r="P6" s="444"/>
      <c r="Q6" s="442">
        <f t="shared" si="0"/>
        <v>317.93</v>
      </c>
    </row>
    <row r="7" spans="1:17">
      <c r="A7" s="442" t="s">
        <v>105</v>
      </c>
      <c r="B7" s="443">
        <f>landbouw!B8</f>
        <v>35.777999999999999</v>
      </c>
      <c r="C7" s="443">
        <f>landbouw!C8</f>
        <v>0</v>
      </c>
      <c r="D7" s="443">
        <f>landbouw!D8</f>
        <v>59.154963999999993</v>
      </c>
      <c r="E7" s="443">
        <f>landbouw!E8</f>
        <v>1.0516246986251028</v>
      </c>
      <c r="F7" s="443">
        <f>landbouw!F8</f>
        <v>149.04921465835662</v>
      </c>
      <c r="G7" s="443">
        <f>landbouw!G8</f>
        <v>0</v>
      </c>
      <c r="H7" s="443">
        <f>landbouw!H8</f>
        <v>0</v>
      </c>
      <c r="I7" s="443">
        <f>landbouw!I8</f>
        <v>0</v>
      </c>
      <c r="J7" s="443">
        <f>landbouw!J8</f>
        <v>5.1834638586548838</v>
      </c>
      <c r="K7" s="443">
        <f>landbouw!K8</f>
        <v>0</v>
      </c>
      <c r="L7" s="443">
        <f>landbouw!L8</f>
        <v>0</v>
      </c>
      <c r="M7" s="443">
        <f>landbouw!M8</f>
        <v>0</v>
      </c>
      <c r="N7" s="443">
        <f>landbouw!N8</f>
        <v>0</v>
      </c>
      <c r="O7" s="443">
        <f>landbouw!O8</f>
        <v>0</v>
      </c>
      <c r="P7" s="444">
        <f>landbouw!P8</f>
        <v>0</v>
      </c>
      <c r="Q7" s="442">
        <f t="shared" si="0"/>
        <v>250.21726721563658</v>
      </c>
    </row>
    <row r="8" spans="1:17">
      <c r="A8" s="442" t="s">
        <v>621</v>
      </c>
      <c r="B8" s="443">
        <f>industrie!B18</f>
        <v>27432.141500000002</v>
      </c>
      <c r="C8" s="443">
        <f>industrie!C18</f>
        <v>0</v>
      </c>
      <c r="D8" s="443">
        <f>industrie!D18</f>
        <v>49986.223588444002</v>
      </c>
      <c r="E8" s="443">
        <f>industrie!E18</f>
        <v>1615.8532854713708</v>
      </c>
      <c r="F8" s="443">
        <f>industrie!F18</f>
        <v>5698.4355963163453</v>
      </c>
      <c r="G8" s="443">
        <f>industrie!G18</f>
        <v>0</v>
      </c>
      <c r="H8" s="443">
        <f>industrie!H18</f>
        <v>0</v>
      </c>
      <c r="I8" s="443">
        <f>industrie!I18</f>
        <v>0</v>
      </c>
      <c r="J8" s="443">
        <f>industrie!J18</f>
        <v>93.833503288701678</v>
      </c>
      <c r="K8" s="443">
        <f>industrie!K18</f>
        <v>0</v>
      </c>
      <c r="L8" s="443">
        <f>industrie!L18</f>
        <v>0</v>
      </c>
      <c r="M8" s="443">
        <f>industrie!M18</f>
        <v>0</v>
      </c>
      <c r="N8" s="443">
        <f>industrie!N18</f>
        <v>1902.8945537859006</v>
      </c>
      <c r="O8" s="443">
        <f>industrie!O18</f>
        <v>0</v>
      </c>
      <c r="P8" s="444">
        <f>industrie!P18</f>
        <v>0</v>
      </c>
      <c r="Q8" s="442">
        <f t="shared" si="0"/>
        <v>86729.382027306303</v>
      </c>
    </row>
    <row r="9" spans="1:17" s="448" customFormat="1">
      <c r="A9" s="446" t="s">
        <v>547</v>
      </c>
      <c r="B9" s="447">
        <f>transport!B14</f>
        <v>17.546672010588168</v>
      </c>
      <c r="C9" s="447">
        <f>transport!C14</f>
        <v>0</v>
      </c>
      <c r="D9" s="447">
        <f>transport!D14</f>
        <v>29.582537363352646</v>
      </c>
      <c r="E9" s="447">
        <f>transport!E14</f>
        <v>51.885347486426319</v>
      </c>
      <c r="F9" s="447">
        <f>transport!F14</f>
        <v>0</v>
      </c>
      <c r="G9" s="447">
        <f>transport!G14</f>
        <v>23165.102235134702</v>
      </c>
      <c r="H9" s="447">
        <f>transport!H14</f>
        <v>4772.2267670376214</v>
      </c>
      <c r="I9" s="447">
        <f>transport!I14</f>
        <v>0</v>
      </c>
      <c r="J9" s="447">
        <f>transport!J14</f>
        <v>0</v>
      </c>
      <c r="K9" s="447">
        <f>transport!K14</f>
        <v>0</v>
      </c>
      <c r="L9" s="447">
        <f>transport!L14</f>
        <v>0</v>
      </c>
      <c r="M9" s="447">
        <f>transport!M14</f>
        <v>1493.9266720788669</v>
      </c>
      <c r="N9" s="447">
        <f>transport!N14</f>
        <v>0</v>
      </c>
      <c r="O9" s="447">
        <f>transport!O14</f>
        <v>0</v>
      </c>
      <c r="P9" s="447">
        <f>transport!P14</f>
        <v>0</v>
      </c>
      <c r="Q9" s="446">
        <f>SUM(B9:P9)</f>
        <v>29530.270231111554</v>
      </c>
    </row>
    <row r="10" spans="1:17">
      <c r="A10" s="442" t="s">
        <v>537</v>
      </c>
      <c r="B10" s="443">
        <f>transport!B54</f>
        <v>11.094834100672404</v>
      </c>
      <c r="C10" s="443">
        <f>transport!C54</f>
        <v>0</v>
      </c>
      <c r="D10" s="443">
        <f>transport!D54</f>
        <v>0</v>
      </c>
      <c r="E10" s="443">
        <f>transport!E54</f>
        <v>0</v>
      </c>
      <c r="F10" s="443">
        <f>transport!F54</f>
        <v>0</v>
      </c>
      <c r="G10" s="443">
        <f>transport!G54</f>
        <v>1042.249537586968</v>
      </c>
      <c r="H10" s="443">
        <f>transport!H54</f>
        <v>0</v>
      </c>
      <c r="I10" s="443">
        <f>transport!I54</f>
        <v>0</v>
      </c>
      <c r="J10" s="443">
        <f>transport!J54</f>
        <v>0</v>
      </c>
      <c r="K10" s="443">
        <f>transport!K54</f>
        <v>0</v>
      </c>
      <c r="L10" s="443">
        <f>transport!L54</f>
        <v>0</v>
      </c>
      <c r="M10" s="443">
        <f>transport!M54</f>
        <v>60.020021498693808</v>
      </c>
      <c r="N10" s="443">
        <f>transport!N54</f>
        <v>0</v>
      </c>
      <c r="O10" s="443">
        <f>transport!O54</f>
        <v>0</v>
      </c>
      <c r="P10" s="444">
        <f>transport!P54</f>
        <v>0</v>
      </c>
      <c r="Q10" s="442">
        <f t="shared" si="0"/>
        <v>1113.3643931863342</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959.23755000000006</v>
      </c>
      <c r="C14" s="450"/>
      <c r="D14" s="450">
        <f>'SEAP template'!E25</f>
        <v>947.53610000000003</v>
      </c>
      <c r="E14" s="450"/>
      <c r="F14" s="450"/>
      <c r="G14" s="450"/>
      <c r="H14" s="450"/>
      <c r="I14" s="450"/>
      <c r="J14" s="450"/>
      <c r="K14" s="450"/>
      <c r="L14" s="450"/>
      <c r="M14" s="450"/>
      <c r="N14" s="450"/>
      <c r="O14" s="450"/>
      <c r="P14" s="451"/>
      <c r="Q14" s="442">
        <f t="shared" si="0"/>
        <v>1906.7736500000001</v>
      </c>
    </row>
    <row r="15" spans="1:17" s="452" customFormat="1">
      <c r="A15" s="997" t="s">
        <v>541</v>
      </c>
      <c r="B15" s="945">
        <f ca="1">SUM(B4:B14)</f>
        <v>52786.070221157388</v>
      </c>
      <c r="C15" s="945">
        <f t="shared" ref="C15:Q15" ca="1" si="1">SUM(C4:C14)</f>
        <v>0</v>
      </c>
      <c r="D15" s="945">
        <f t="shared" ca="1" si="1"/>
        <v>123048.99861279337</v>
      </c>
      <c r="E15" s="945">
        <f t="shared" si="1"/>
        <v>2122.5855883269023</v>
      </c>
      <c r="F15" s="945">
        <f t="shared" ca="1" si="1"/>
        <v>15931.336397051755</v>
      </c>
      <c r="G15" s="945">
        <f t="shared" si="1"/>
        <v>24207.351772721671</v>
      </c>
      <c r="H15" s="945">
        <f t="shared" si="1"/>
        <v>4772.2267670376214</v>
      </c>
      <c r="I15" s="945">
        <f t="shared" si="1"/>
        <v>0</v>
      </c>
      <c r="J15" s="945">
        <f t="shared" si="1"/>
        <v>140.79820304127028</v>
      </c>
      <c r="K15" s="945">
        <f t="shared" si="1"/>
        <v>0</v>
      </c>
      <c r="L15" s="945">
        <f t="shared" ca="1" si="1"/>
        <v>0</v>
      </c>
      <c r="M15" s="945">
        <f t="shared" si="1"/>
        <v>1553.9466935775606</v>
      </c>
      <c r="N15" s="945">
        <f t="shared" ca="1" si="1"/>
        <v>8448.4300045276541</v>
      </c>
      <c r="O15" s="945">
        <f t="shared" si="1"/>
        <v>59.406666666666666</v>
      </c>
      <c r="P15" s="945">
        <f t="shared" si="1"/>
        <v>381.33333333333331</v>
      </c>
      <c r="Q15" s="945">
        <f t="shared" ca="1" si="1"/>
        <v>233452.48426023516</v>
      </c>
    </row>
    <row r="17" spans="1:17">
      <c r="A17" s="453" t="s">
        <v>542</v>
      </c>
      <c r="B17" s="752">
        <f ca="1">huishoudens!B10</f>
        <v>0.21615071766735605</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3374.3127643363946</v>
      </c>
      <c r="C22" s="443">
        <f t="shared" ref="C22:C32" ca="1" si="3">C4*$C$17</f>
        <v>0</v>
      </c>
      <c r="D22" s="443">
        <f t="shared" ref="D22:D32" si="4">D4*$D$17</f>
        <v>10656.580580254402</v>
      </c>
      <c r="E22" s="443">
        <f t="shared" ref="E22:E32" si="5">E4*$E$17</f>
        <v>77.777441235058419</v>
      </c>
      <c r="F22" s="443">
        <f t="shared" ref="F22:F32" si="6">F4*$F$17</f>
        <v>2317.7619814257059</v>
      </c>
      <c r="G22" s="443">
        <f t="shared" ref="G22:G32" si="7">G4*$G$17</f>
        <v>0</v>
      </c>
      <c r="H22" s="443">
        <f t="shared" ref="H22:H32" si="8">H4*$H$17</f>
        <v>0</v>
      </c>
      <c r="I22" s="443">
        <f t="shared" ref="I22:I32" si="9">I4*$I$17</f>
        <v>0</v>
      </c>
      <c r="J22" s="443">
        <f t="shared" ref="J22:J32" si="10">J4*$J$17</f>
        <v>14.78687251022189</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16441.219639761784</v>
      </c>
    </row>
    <row r="23" spans="1:17">
      <c r="A23" s="442" t="s">
        <v>149</v>
      </c>
      <c r="B23" s="443">
        <f t="shared" ca="1" si="2"/>
        <v>1815.9721194370798</v>
      </c>
      <c r="C23" s="443">
        <f t="shared" ca="1" si="3"/>
        <v>0</v>
      </c>
      <c r="D23" s="443">
        <f t="shared" ca="1" si="4"/>
        <v>3892.7727071887721</v>
      </c>
      <c r="E23" s="443">
        <f t="shared" si="5"/>
        <v>25.234098827140603</v>
      </c>
      <c r="F23" s="443">
        <f t="shared" ca="1" si="6"/>
        <v>374.62639205686725</v>
      </c>
      <c r="G23" s="443">
        <f t="shared" si="7"/>
        <v>0</v>
      </c>
      <c r="H23" s="443">
        <f t="shared" si="8"/>
        <v>0</v>
      </c>
      <c r="I23" s="443">
        <f t="shared" si="9"/>
        <v>0</v>
      </c>
      <c r="J23" s="443">
        <f t="shared" si="10"/>
        <v>3.6849962235681833E-3</v>
      </c>
      <c r="K23" s="443">
        <f t="shared" si="11"/>
        <v>0</v>
      </c>
      <c r="L23" s="443">
        <f t="shared" ca="1" si="12"/>
        <v>0</v>
      </c>
      <c r="M23" s="443">
        <f t="shared" si="13"/>
        <v>0</v>
      </c>
      <c r="N23" s="443">
        <f t="shared" ca="1" si="14"/>
        <v>0</v>
      </c>
      <c r="O23" s="443">
        <f t="shared" si="15"/>
        <v>0</v>
      </c>
      <c r="P23" s="444">
        <f t="shared" si="16"/>
        <v>0</v>
      </c>
      <c r="Q23" s="442">
        <f t="shared" ref="Q23:Q32" ca="1" si="17">SUM(B23:P23)</f>
        <v>6108.609002506083</v>
      </c>
    </row>
    <row r="24" spans="1:17">
      <c r="A24" s="442" t="s">
        <v>187</v>
      </c>
      <c r="B24" s="443">
        <f t="shared" ca="1" si="2"/>
        <v>68.720797667982509</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68.720797667982509</v>
      </c>
    </row>
    <row r="25" spans="1:17">
      <c r="A25" s="442" t="s">
        <v>105</v>
      </c>
      <c r="B25" s="443">
        <f t="shared" ca="1" si="2"/>
        <v>7.7334403767026645</v>
      </c>
      <c r="C25" s="443">
        <f t="shared" ca="1" si="3"/>
        <v>0</v>
      </c>
      <c r="D25" s="443">
        <f t="shared" si="4"/>
        <v>11.949302727999999</v>
      </c>
      <c r="E25" s="443">
        <f t="shared" si="5"/>
        <v>0.23871880658789835</v>
      </c>
      <c r="F25" s="443">
        <f t="shared" si="6"/>
        <v>39.796140313781223</v>
      </c>
      <c r="G25" s="443">
        <f t="shared" si="7"/>
        <v>0</v>
      </c>
      <c r="H25" s="443">
        <f t="shared" si="8"/>
        <v>0</v>
      </c>
      <c r="I25" s="443">
        <f t="shared" si="9"/>
        <v>0</v>
      </c>
      <c r="J25" s="443">
        <f t="shared" si="10"/>
        <v>1.8349462059638288</v>
      </c>
      <c r="K25" s="443">
        <f t="shared" si="11"/>
        <v>0</v>
      </c>
      <c r="L25" s="443">
        <f t="shared" si="12"/>
        <v>0</v>
      </c>
      <c r="M25" s="443">
        <f t="shared" si="13"/>
        <v>0</v>
      </c>
      <c r="N25" s="443">
        <f t="shared" si="14"/>
        <v>0</v>
      </c>
      <c r="O25" s="443">
        <f t="shared" si="15"/>
        <v>0</v>
      </c>
      <c r="P25" s="444">
        <f t="shared" si="16"/>
        <v>0</v>
      </c>
      <c r="Q25" s="442">
        <f t="shared" ca="1" si="17"/>
        <v>61.552548431035618</v>
      </c>
    </row>
    <row r="26" spans="1:17">
      <c r="A26" s="442" t="s">
        <v>621</v>
      </c>
      <c r="B26" s="443">
        <f t="shared" ca="1" si="2"/>
        <v>5929.4770723774618</v>
      </c>
      <c r="C26" s="443">
        <f t="shared" ca="1" si="3"/>
        <v>0</v>
      </c>
      <c r="D26" s="443">
        <f t="shared" si="4"/>
        <v>10097.217164865689</v>
      </c>
      <c r="E26" s="443">
        <f t="shared" si="5"/>
        <v>366.79869580200119</v>
      </c>
      <c r="F26" s="443">
        <f t="shared" si="6"/>
        <v>1521.4823042164642</v>
      </c>
      <c r="G26" s="443">
        <f t="shared" si="7"/>
        <v>0</v>
      </c>
      <c r="H26" s="443">
        <f t="shared" si="8"/>
        <v>0</v>
      </c>
      <c r="I26" s="443">
        <f t="shared" si="9"/>
        <v>0</v>
      </c>
      <c r="J26" s="443">
        <f t="shared" si="10"/>
        <v>33.21706016420039</v>
      </c>
      <c r="K26" s="443">
        <f t="shared" si="11"/>
        <v>0</v>
      </c>
      <c r="L26" s="443">
        <f t="shared" si="12"/>
        <v>0</v>
      </c>
      <c r="M26" s="443">
        <f t="shared" si="13"/>
        <v>0</v>
      </c>
      <c r="N26" s="443">
        <f t="shared" si="14"/>
        <v>0</v>
      </c>
      <c r="O26" s="443">
        <f t="shared" si="15"/>
        <v>0</v>
      </c>
      <c r="P26" s="444">
        <f t="shared" si="16"/>
        <v>0</v>
      </c>
      <c r="Q26" s="442">
        <f t="shared" ca="1" si="17"/>
        <v>17948.192297425816</v>
      </c>
    </row>
    <row r="27" spans="1:17" s="448" customFormat="1">
      <c r="A27" s="446" t="s">
        <v>547</v>
      </c>
      <c r="B27" s="746">
        <f t="shared" ca="1" si="2"/>
        <v>3.7927257477623417</v>
      </c>
      <c r="C27" s="447">
        <f t="shared" ca="1" si="3"/>
        <v>0</v>
      </c>
      <c r="D27" s="447">
        <f t="shared" si="4"/>
        <v>5.9756725473972345</v>
      </c>
      <c r="E27" s="447">
        <f t="shared" si="5"/>
        <v>11.777973879418775</v>
      </c>
      <c r="F27" s="447">
        <f t="shared" si="6"/>
        <v>0</v>
      </c>
      <c r="G27" s="447">
        <f t="shared" si="7"/>
        <v>6185.0822967809654</v>
      </c>
      <c r="H27" s="447">
        <f t="shared" si="8"/>
        <v>1188.2844649923677</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7394.9131339479118</v>
      </c>
    </row>
    <row r="28" spans="1:17">
      <c r="A28" s="442" t="s">
        <v>537</v>
      </c>
      <c r="B28" s="443">
        <f t="shared" ca="1" si="2"/>
        <v>2.3981563532605952</v>
      </c>
      <c r="C28" s="443">
        <f t="shared" ca="1" si="3"/>
        <v>0</v>
      </c>
      <c r="D28" s="443">
        <f t="shared" si="4"/>
        <v>0</v>
      </c>
      <c r="E28" s="443">
        <f t="shared" si="5"/>
        <v>0</v>
      </c>
      <c r="F28" s="443">
        <f t="shared" si="6"/>
        <v>0</v>
      </c>
      <c r="G28" s="443">
        <f t="shared" si="7"/>
        <v>278.2806265357205</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280.67878288898112</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207.33988484597634</v>
      </c>
      <c r="C32" s="443">
        <f t="shared" ca="1" si="3"/>
        <v>0</v>
      </c>
      <c r="D32" s="443">
        <f t="shared" si="4"/>
        <v>191.40229220000001</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398.74217704597635</v>
      </c>
    </row>
    <row r="33" spans="1:17" s="452" customFormat="1">
      <c r="A33" s="997" t="s">
        <v>541</v>
      </c>
      <c r="B33" s="945">
        <f ca="1">SUM(B22:B32)</f>
        <v>11409.74696114262</v>
      </c>
      <c r="C33" s="945">
        <f t="shared" ref="C33:Q33" ca="1" si="18">SUM(C22:C32)</f>
        <v>0</v>
      </c>
      <c r="D33" s="945">
        <f t="shared" ca="1" si="18"/>
        <v>24855.897719784258</v>
      </c>
      <c r="E33" s="945">
        <f t="shared" si="18"/>
        <v>481.8269285502069</v>
      </c>
      <c r="F33" s="945">
        <f t="shared" ca="1" si="18"/>
        <v>4253.6668180128181</v>
      </c>
      <c r="G33" s="945">
        <f t="shared" si="18"/>
        <v>6463.3629233166857</v>
      </c>
      <c r="H33" s="945">
        <f t="shared" si="18"/>
        <v>1188.2844649923677</v>
      </c>
      <c r="I33" s="945">
        <f t="shared" si="18"/>
        <v>0</v>
      </c>
      <c r="J33" s="945">
        <f t="shared" si="18"/>
        <v>49.842563876609674</v>
      </c>
      <c r="K33" s="945">
        <f t="shared" si="18"/>
        <v>0</v>
      </c>
      <c r="L33" s="945">
        <f t="shared" ca="1" si="18"/>
        <v>0</v>
      </c>
      <c r="M33" s="945">
        <f t="shared" si="18"/>
        <v>0</v>
      </c>
      <c r="N33" s="945">
        <f t="shared" ca="1" si="18"/>
        <v>0</v>
      </c>
      <c r="O33" s="945">
        <f t="shared" si="18"/>
        <v>0</v>
      </c>
      <c r="P33" s="945">
        <f t="shared" si="18"/>
        <v>0</v>
      </c>
      <c r="Q33" s="945">
        <f t="shared" ca="1" si="18"/>
        <v>48702.628379675567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1158.2559173446239</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1158.2559173446239</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0.21615071766735605</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0.21615071766735605</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1</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1.5633333333333335</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0.21615071766735605</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0.21615071766735605</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4579</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4.75</v>
      </c>
      <c r="C14" s="324"/>
      <c r="D14" s="324"/>
      <c r="E14" s="324"/>
      <c r="F14" s="324"/>
    </row>
    <row r="15" spans="1:6">
      <c r="A15" s="1289" t="s">
        <v>177</v>
      </c>
      <c r="B15" s="1290">
        <v>0</v>
      </c>
      <c r="C15" s="324"/>
      <c r="D15" s="324"/>
      <c r="E15" s="324"/>
      <c r="F15" s="324"/>
    </row>
    <row r="16" spans="1:6">
      <c r="A16" s="1289" t="s">
        <v>6</v>
      </c>
      <c r="B16" s="1290">
        <v>0</v>
      </c>
      <c r="C16" s="324"/>
      <c r="D16" s="324"/>
      <c r="E16" s="324"/>
      <c r="F16" s="324"/>
    </row>
    <row r="17" spans="1:6">
      <c r="A17" s="1289" t="s">
        <v>7</v>
      </c>
      <c r="B17" s="1290">
        <v>0</v>
      </c>
      <c r="C17" s="324"/>
      <c r="D17" s="324"/>
      <c r="E17" s="324"/>
      <c r="F17" s="324"/>
    </row>
    <row r="18" spans="1:6">
      <c r="A18" s="1289" t="s">
        <v>8</v>
      </c>
      <c r="B18" s="1290">
        <v>0</v>
      </c>
      <c r="C18" s="324"/>
      <c r="D18" s="324"/>
      <c r="E18" s="324"/>
      <c r="F18" s="324"/>
    </row>
    <row r="19" spans="1:6">
      <c r="A19" s="1289" t="s">
        <v>9</v>
      </c>
      <c r="B19" s="1290">
        <v>0</v>
      </c>
      <c r="C19" s="324"/>
      <c r="D19" s="324"/>
      <c r="E19" s="324"/>
      <c r="F19" s="324"/>
    </row>
    <row r="20" spans="1:6">
      <c r="A20" s="1289" t="s">
        <v>10</v>
      </c>
      <c r="B20" s="1290">
        <v>0</v>
      </c>
      <c r="C20" s="324"/>
      <c r="D20" s="324"/>
      <c r="E20" s="324"/>
      <c r="F20" s="324"/>
    </row>
    <row r="21" spans="1:6">
      <c r="A21" s="1289" t="s">
        <v>11</v>
      </c>
      <c r="B21" s="1290">
        <v>0</v>
      </c>
      <c r="C21" s="324"/>
      <c r="D21" s="324"/>
      <c r="E21" s="324"/>
      <c r="F21" s="324"/>
    </row>
    <row r="22" spans="1:6">
      <c r="A22" s="1289" t="s">
        <v>12</v>
      </c>
      <c r="B22" s="1290">
        <v>0</v>
      </c>
      <c r="C22" s="324"/>
      <c r="D22" s="324"/>
      <c r="E22" s="324"/>
      <c r="F22" s="324"/>
    </row>
    <row r="23" spans="1:6">
      <c r="A23" s="1289" t="s">
        <v>13</v>
      </c>
      <c r="B23" s="1290">
        <v>0</v>
      </c>
      <c r="C23" s="324"/>
      <c r="D23" s="324"/>
      <c r="E23" s="324"/>
      <c r="F23" s="324"/>
    </row>
    <row r="24" spans="1:6">
      <c r="A24" s="1289" t="s">
        <v>14</v>
      </c>
      <c r="B24" s="1290">
        <v>0</v>
      </c>
      <c r="C24" s="324"/>
      <c r="D24" s="324"/>
      <c r="E24" s="324"/>
      <c r="F24" s="324"/>
    </row>
    <row r="25" spans="1:6">
      <c r="A25" s="1289" t="s">
        <v>15</v>
      </c>
      <c r="B25" s="1290">
        <v>0</v>
      </c>
      <c r="C25" s="324"/>
      <c r="D25" s="324"/>
      <c r="E25" s="324"/>
      <c r="F25" s="324"/>
    </row>
    <row r="26" spans="1:6">
      <c r="A26" s="1289" t="s">
        <v>16</v>
      </c>
      <c r="B26" s="1290">
        <v>0</v>
      </c>
      <c r="C26" s="324"/>
      <c r="D26" s="324"/>
      <c r="E26" s="324"/>
      <c r="F26" s="324"/>
    </row>
    <row r="27" spans="1:6">
      <c r="A27" s="1289" t="s">
        <v>17</v>
      </c>
      <c r="B27" s="1290">
        <v>0</v>
      </c>
      <c r="C27" s="324"/>
      <c r="D27" s="324"/>
      <c r="E27" s="324"/>
      <c r="F27" s="324"/>
    </row>
    <row r="28" spans="1:6">
      <c r="A28" s="1289" t="s">
        <v>18</v>
      </c>
      <c r="B28" s="1291">
        <v>0</v>
      </c>
      <c r="C28" s="324"/>
      <c r="D28" s="324"/>
      <c r="E28" s="324"/>
      <c r="F28" s="324"/>
    </row>
    <row r="29" spans="1:6">
      <c r="A29" s="1289" t="s">
        <v>716</v>
      </c>
      <c r="B29" s="1291">
        <v>0</v>
      </c>
      <c r="C29" s="324"/>
      <c r="D29" s="324"/>
      <c r="E29" s="324"/>
      <c r="F29" s="324"/>
    </row>
    <row r="30" spans="1:6">
      <c r="A30" s="1284" t="s">
        <v>717</v>
      </c>
      <c r="B30" s="1292">
        <v>0</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1</v>
      </c>
      <c r="D38" s="1290">
        <v>10276</v>
      </c>
      <c r="E38" s="1290">
        <v>3</v>
      </c>
      <c r="F38" s="1290">
        <v>1620572</v>
      </c>
    </row>
    <row r="39" spans="1:6">
      <c r="A39" s="1289" t="s">
        <v>29</v>
      </c>
      <c r="B39" s="1289" t="s">
        <v>30</v>
      </c>
      <c r="C39" s="1290">
        <v>4181</v>
      </c>
      <c r="D39" s="1290">
        <v>58487083.600000001</v>
      </c>
      <c r="E39" s="1290">
        <v>4762</v>
      </c>
      <c r="F39" s="1290">
        <v>14511458.85</v>
      </c>
    </row>
    <row r="40" spans="1:6">
      <c r="A40" s="1289" t="s">
        <v>29</v>
      </c>
      <c r="B40" s="1289" t="s">
        <v>28</v>
      </c>
      <c r="C40" s="1290">
        <v>0</v>
      </c>
      <c r="D40" s="1290">
        <v>0</v>
      </c>
      <c r="E40" s="1290">
        <v>0</v>
      </c>
      <c r="F40" s="1290">
        <v>0</v>
      </c>
    </row>
    <row r="41" spans="1:6">
      <c r="A41" s="1289" t="s">
        <v>31</v>
      </c>
      <c r="B41" s="1289" t="s">
        <v>32</v>
      </c>
      <c r="C41" s="1290">
        <v>42</v>
      </c>
      <c r="D41" s="1290">
        <v>878319.7</v>
      </c>
      <c r="E41" s="1290">
        <v>74</v>
      </c>
      <c r="F41" s="1290">
        <v>560278.5</v>
      </c>
    </row>
    <row r="42" spans="1:6">
      <c r="A42" s="1289" t="s">
        <v>31</v>
      </c>
      <c r="B42" s="1289" t="s">
        <v>33</v>
      </c>
      <c r="C42" s="1290">
        <v>3</v>
      </c>
      <c r="D42" s="1290">
        <v>394403</v>
      </c>
      <c r="E42" s="1290">
        <v>0</v>
      </c>
      <c r="F42" s="1290">
        <v>0</v>
      </c>
    </row>
    <row r="43" spans="1:6">
      <c r="A43" s="1289" t="s">
        <v>31</v>
      </c>
      <c r="B43" s="1289" t="s">
        <v>34</v>
      </c>
      <c r="C43" s="1290">
        <v>0</v>
      </c>
      <c r="D43" s="1290">
        <v>0</v>
      </c>
      <c r="E43" s="1290">
        <v>0</v>
      </c>
      <c r="F43" s="1290">
        <v>0</v>
      </c>
    </row>
    <row r="44" spans="1:6">
      <c r="A44" s="1289" t="s">
        <v>31</v>
      </c>
      <c r="B44" s="1289" t="s">
        <v>35</v>
      </c>
      <c r="C44" s="1290">
        <v>3</v>
      </c>
      <c r="D44" s="1290">
        <v>2874232.622</v>
      </c>
      <c r="E44" s="1290">
        <v>8</v>
      </c>
      <c r="F44" s="1290">
        <v>484609</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0</v>
      </c>
      <c r="F47" s="1290">
        <v>0</v>
      </c>
    </row>
    <row r="48" spans="1:6">
      <c r="A48" s="1289" t="s">
        <v>31</v>
      </c>
      <c r="B48" s="1289" t="s">
        <v>28</v>
      </c>
      <c r="C48" s="1290">
        <v>3</v>
      </c>
      <c r="D48" s="1290">
        <v>50882943</v>
      </c>
      <c r="E48" s="1290">
        <v>7</v>
      </c>
      <c r="F48" s="1290">
        <v>26210615</v>
      </c>
    </row>
    <row r="49" spans="1:6">
      <c r="A49" s="1289" t="s">
        <v>31</v>
      </c>
      <c r="B49" s="1289" t="s">
        <v>39</v>
      </c>
      <c r="C49" s="1290">
        <v>0</v>
      </c>
      <c r="D49" s="1290">
        <v>0</v>
      </c>
      <c r="E49" s="1290">
        <v>0</v>
      </c>
      <c r="F49" s="1290">
        <v>0</v>
      </c>
    </row>
    <row r="50" spans="1:6">
      <c r="A50" s="1289" t="s">
        <v>31</v>
      </c>
      <c r="B50" s="1289" t="s">
        <v>40</v>
      </c>
      <c r="C50" s="1290">
        <v>6</v>
      </c>
      <c r="D50" s="1290">
        <v>387201</v>
      </c>
      <c r="E50" s="1290">
        <v>6</v>
      </c>
      <c r="F50" s="1290">
        <v>176639</v>
      </c>
    </row>
    <row r="51" spans="1:6">
      <c r="A51" s="1289" t="s">
        <v>41</v>
      </c>
      <c r="B51" s="1289" t="s">
        <v>42</v>
      </c>
      <c r="C51" s="1290">
        <v>4</v>
      </c>
      <c r="D51" s="1290">
        <v>65582</v>
      </c>
      <c r="E51" s="1290">
        <v>6</v>
      </c>
      <c r="F51" s="1290">
        <v>35778</v>
      </c>
    </row>
    <row r="52" spans="1:6">
      <c r="A52" s="1289" t="s">
        <v>41</v>
      </c>
      <c r="B52" s="1289" t="s">
        <v>28</v>
      </c>
      <c r="C52" s="1290">
        <v>0</v>
      </c>
      <c r="D52" s="1290">
        <v>0</v>
      </c>
      <c r="E52" s="1290">
        <v>0</v>
      </c>
      <c r="F52" s="1290">
        <v>0</v>
      </c>
    </row>
    <row r="53" spans="1:6">
      <c r="A53" s="1289" t="s">
        <v>43</v>
      </c>
      <c r="B53" s="1289" t="s">
        <v>44</v>
      </c>
      <c r="C53" s="1290">
        <v>45</v>
      </c>
      <c r="D53" s="1290">
        <v>947536.1</v>
      </c>
      <c r="E53" s="1290">
        <v>114</v>
      </c>
      <c r="F53" s="1290">
        <v>959237.55</v>
      </c>
    </row>
    <row r="54" spans="1:6">
      <c r="A54" s="1289" t="s">
        <v>45</v>
      </c>
      <c r="B54" s="1289" t="s">
        <v>46</v>
      </c>
      <c r="C54" s="1290">
        <v>0</v>
      </c>
      <c r="D54" s="1290">
        <v>0</v>
      </c>
      <c r="E54" s="1290">
        <v>1</v>
      </c>
      <c r="F54" s="1290">
        <v>317930</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22</v>
      </c>
      <c r="D57" s="1290">
        <v>1119008</v>
      </c>
      <c r="E57" s="1290">
        <v>35</v>
      </c>
      <c r="F57" s="1290">
        <v>478141</v>
      </c>
    </row>
    <row r="58" spans="1:6">
      <c r="A58" s="1289" t="s">
        <v>48</v>
      </c>
      <c r="B58" s="1289" t="s">
        <v>50</v>
      </c>
      <c r="C58" s="1290">
        <v>17</v>
      </c>
      <c r="D58" s="1290">
        <v>379025.7</v>
      </c>
      <c r="E58" s="1290">
        <v>20</v>
      </c>
      <c r="F58" s="1290">
        <v>156339.25</v>
      </c>
    </row>
    <row r="59" spans="1:6">
      <c r="A59" s="1289" t="s">
        <v>48</v>
      </c>
      <c r="B59" s="1289" t="s">
        <v>51</v>
      </c>
      <c r="C59" s="1290">
        <v>47</v>
      </c>
      <c r="D59" s="1290">
        <v>1189327</v>
      </c>
      <c r="E59" s="1290">
        <v>65</v>
      </c>
      <c r="F59" s="1290">
        <v>2637355.15</v>
      </c>
    </row>
    <row r="60" spans="1:6">
      <c r="A60" s="1289" t="s">
        <v>48</v>
      </c>
      <c r="B60" s="1289" t="s">
        <v>52</v>
      </c>
      <c r="C60" s="1290">
        <v>30</v>
      </c>
      <c r="D60" s="1290">
        <v>945750</v>
      </c>
      <c r="E60" s="1290">
        <v>53</v>
      </c>
      <c r="F60" s="1290">
        <v>1029512</v>
      </c>
    </row>
    <row r="61" spans="1:6">
      <c r="A61" s="1289" t="s">
        <v>48</v>
      </c>
      <c r="B61" s="1289" t="s">
        <v>53</v>
      </c>
      <c r="C61" s="1290">
        <v>132</v>
      </c>
      <c r="D61" s="1290">
        <v>17414224.842999998</v>
      </c>
      <c r="E61" s="1290">
        <v>199</v>
      </c>
      <c r="F61" s="1290">
        <v>4087255.7</v>
      </c>
    </row>
    <row r="62" spans="1:6">
      <c r="A62" s="1289" t="s">
        <v>48</v>
      </c>
      <c r="B62" s="1289" t="s">
        <v>54</v>
      </c>
      <c r="C62" s="1290">
        <v>4</v>
      </c>
      <c r="D62" s="1290">
        <v>317578</v>
      </c>
      <c r="E62" s="1290">
        <v>0</v>
      </c>
      <c r="F62" s="1290">
        <v>0</v>
      </c>
    </row>
    <row r="63" spans="1:6">
      <c r="A63" s="1289" t="s">
        <v>48</v>
      </c>
      <c r="B63" s="1289" t="s">
        <v>28</v>
      </c>
      <c r="C63" s="1290">
        <v>0</v>
      </c>
      <c r="D63" s="1290">
        <v>0</v>
      </c>
      <c r="E63" s="1290">
        <v>2</v>
      </c>
      <c r="F63" s="1290">
        <v>12813</v>
      </c>
    </row>
    <row r="64" spans="1:6">
      <c r="A64" s="1289" t="s">
        <v>55</v>
      </c>
      <c r="B64" s="1289" t="s">
        <v>56</v>
      </c>
      <c r="C64" s="1290">
        <v>0</v>
      </c>
      <c r="D64" s="1290">
        <v>0</v>
      </c>
      <c r="E64" s="1290">
        <v>0</v>
      </c>
      <c r="F64" s="1290">
        <v>0</v>
      </c>
    </row>
    <row r="65" spans="1:6">
      <c r="A65" s="1289" t="s">
        <v>55</v>
      </c>
      <c r="B65" s="1289" t="s">
        <v>28</v>
      </c>
      <c r="C65" s="1290">
        <v>1</v>
      </c>
      <c r="D65" s="1290">
        <v>9725</v>
      </c>
      <c r="E65" s="1290">
        <v>2</v>
      </c>
      <c r="F65" s="1290">
        <v>4781</v>
      </c>
    </row>
    <row r="66" spans="1:6">
      <c r="A66" s="1289" t="s">
        <v>55</v>
      </c>
      <c r="B66" s="1289" t="s">
        <v>57</v>
      </c>
      <c r="C66" s="1290">
        <v>0</v>
      </c>
      <c r="D66" s="1290">
        <v>0</v>
      </c>
      <c r="E66" s="1290">
        <v>0</v>
      </c>
      <c r="F66" s="1290">
        <v>0</v>
      </c>
    </row>
    <row r="67" spans="1:6">
      <c r="A67" s="1289" t="s">
        <v>55</v>
      </c>
      <c r="B67" s="1289" t="s">
        <v>58</v>
      </c>
      <c r="C67" s="1290">
        <v>0</v>
      </c>
      <c r="D67" s="1290">
        <v>0</v>
      </c>
      <c r="E67" s="1290">
        <v>0</v>
      </c>
      <c r="F67" s="1290">
        <v>0</v>
      </c>
    </row>
    <row r="68" spans="1:6">
      <c r="A68" s="1284" t="s">
        <v>55</v>
      </c>
      <c r="B68" s="1284" t="s">
        <v>59</v>
      </c>
      <c r="C68" s="1292">
        <v>0</v>
      </c>
      <c r="D68" s="1292">
        <v>0</v>
      </c>
      <c r="E68" s="1292">
        <v>0</v>
      </c>
      <c r="F68" s="1292">
        <v>0</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33409055</v>
      </c>
      <c r="E73" s="441"/>
      <c r="F73" s="324"/>
    </row>
    <row r="74" spans="1:6">
      <c r="A74" s="1289" t="s">
        <v>63</v>
      </c>
      <c r="B74" s="1289" t="s">
        <v>642</v>
      </c>
      <c r="C74" s="1302" t="s">
        <v>644</v>
      </c>
      <c r="D74" s="1290">
        <v>2792394</v>
      </c>
      <c r="E74" s="441"/>
      <c r="F74" s="324"/>
    </row>
    <row r="75" spans="1:6">
      <c r="A75" s="1289" t="s">
        <v>64</v>
      </c>
      <c r="B75" s="1289" t="s">
        <v>641</v>
      </c>
      <c r="C75" s="1302" t="s">
        <v>645</v>
      </c>
      <c r="D75" s="1290">
        <v>1595636</v>
      </c>
      <c r="E75" s="441"/>
      <c r="F75" s="324"/>
    </row>
    <row r="76" spans="1:6">
      <c r="A76" s="1289" t="s">
        <v>64</v>
      </c>
      <c r="B76" s="1289" t="s">
        <v>642</v>
      </c>
      <c r="C76" s="1302" t="s">
        <v>646</v>
      </c>
      <c r="D76" s="1290">
        <v>167638</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302820</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1099.466715046121</v>
      </c>
      <c r="C91" s="324"/>
      <c r="D91" s="324"/>
      <c r="E91" s="324"/>
      <c r="F91" s="324"/>
    </row>
    <row r="92" spans="1:6">
      <c r="A92" s="1284" t="s">
        <v>68</v>
      </c>
      <c r="B92" s="1285">
        <v>58.78920229850295</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2975</v>
      </c>
      <c r="C97" s="324"/>
      <c r="D97" s="324"/>
      <c r="E97" s="324"/>
      <c r="F97" s="324"/>
    </row>
    <row r="98" spans="1:6">
      <c r="A98" s="1289" t="s">
        <v>71</v>
      </c>
      <c r="B98" s="1290">
        <v>3</v>
      </c>
      <c r="C98" s="324"/>
      <c r="D98" s="324"/>
      <c r="E98" s="324"/>
      <c r="F98" s="324"/>
    </row>
    <row r="99" spans="1:6">
      <c r="A99" s="1289" t="s">
        <v>72</v>
      </c>
      <c r="B99" s="1290">
        <v>8</v>
      </c>
      <c r="C99" s="324"/>
      <c r="D99" s="324"/>
      <c r="E99" s="324"/>
      <c r="F99" s="324"/>
    </row>
    <row r="100" spans="1:6">
      <c r="A100" s="1289" t="s">
        <v>73</v>
      </c>
      <c r="B100" s="1290">
        <v>268</v>
      </c>
      <c r="C100" s="324"/>
      <c r="D100" s="324"/>
      <c r="E100" s="324"/>
      <c r="F100" s="324"/>
    </row>
    <row r="101" spans="1:6">
      <c r="A101" s="1289" t="s">
        <v>74</v>
      </c>
      <c r="B101" s="1290">
        <v>38</v>
      </c>
      <c r="C101" s="324"/>
      <c r="D101" s="324"/>
      <c r="E101" s="324"/>
      <c r="F101" s="324"/>
    </row>
    <row r="102" spans="1:6">
      <c r="A102" s="1289" t="s">
        <v>75</v>
      </c>
      <c r="B102" s="1290">
        <v>57</v>
      </c>
      <c r="C102" s="324"/>
      <c r="D102" s="324"/>
      <c r="E102" s="324"/>
      <c r="F102" s="324"/>
    </row>
    <row r="103" spans="1:6">
      <c r="A103" s="1289" t="s">
        <v>76</v>
      </c>
      <c r="B103" s="1290">
        <v>91</v>
      </c>
      <c r="C103" s="324"/>
      <c r="D103" s="324"/>
      <c r="E103" s="324"/>
      <c r="F103" s="324"/>
    </row>
    <row r="104" spans="1:6">
      <c r="A104" s="1289" t="s">
        <v>77</v>
      </c>
      <c r="B104" s="1290">
        <v>409</v>
      </c>
      <c r="C104" s="324"/>
      <c r="D104" s="324"/>
      <c r="E104" s="324"/>
      <c r="F104" s="324"/>
    </row>
    <row r="105" spans="1:6">
      <c r="A105" s="1284" t="s">
        <v>78</v>
      </c>
      <c r="B105" s="1292">
        <v>2</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1</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10</v>
      </c>
      <c r="C123" s="1290">
        <v>7</v>
      </c>
      <c r="D123" s="324"/>
      <c r="E123" s="324"/>
      <c r="F123" s="324"/>
    </row>
    <row r="124" spans="1:6">
      <c r="A124" s="1289" t="s">
        <v>88</v>
      </c>
      <c r="B124" s="1290">
        <v>0</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30</v>
      </c>
      <c r="C129" s="324"/>
      <c r="D129" s="324"/>
      <c r="E129" s="324"/>
      <c r="F129" s="324"/>
    </row>
    <row r="130" spans="1:6">
      <c r="A130" s="1289" t="s">
        <v>283</v>
      </c>
      <c r="B130" s="1290">
        <v>1</v>
      </c>
      <c r="C130" s="324"/>
      <c r="D130" s="324"/>
      <c r="E130" s="324"/>
      <c r="F130" s="324"/>
    </row>
    <row r="131" spans="1:6">
      <c r="A131" s="1289" t="s">
        <v>284</v>
      </c>
      <c r="B131" s="1290">
        <v>2</v>
      </c>
      <c r="C131" s="324"/>
      <c r="D131" s="324"/>
      <c r="E131" s="324"/>
      <c r="F131" s="324"/>
    </row>
    <row r="132" spans="1:6">
      <c r="A132" s="1284" t="s">
        <v>285</v>
      </c>
      <c r="B132" s="1285">
        <v>8</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52786.070221157381</v>
      </c>
      <c r="C3" s="43" t="s">
        <v>163</v>
      </c>
      <c r="D3" s="43"/>
      <c r="E3" s="154"/>
      <c r="F3" s="43"/>
      <c r="G3" s="43"/>
      <c r="H3" s="43"/>
      <c r="I3" s="43"/>
      <c r="J3" s="43"/>
      <c r="K3" s="96"/>
    </row>
    <row r="4" spans="1:11">
      <c r="A4" s="350" t="s">
        <v>164</v>
      </c>
      <c r="B4" s="49">
        <f>IF(ISERROR('SEAP template'!B78+'SEAP template'!C78),0,'SEAP template'!B78+'SEAP template'!C78)</f>
        <v>1158.2559173446239</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0.21615071766735605</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317.93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317.93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0.21615071766735605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68.720797667982509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14511.458849999999</v>
      </c>
      <c r="C5" s="17">
        <f>IF(ISERROR('Eigen informatie GS &amp; warmtenet'!B57),0,'Eigen informatie GS &amp; warmtenet'!B57)</f>
        <v>0</v>
      </c>
      <c r="D5" s="30">
        <f>(SUM(HH_hh_gas_kWh,HH_rest_gas_kWh)/1000)*0.902</f>
        <v>52755.349407200003</v>
      </c>
      <c r="E5" s="17">
        <f>B32*B41</f>
        <v>342.63189971391375</v>
      </c>
      <c r="F5" s="17">
        <f>B36*B45</f>
        <v>8680.7564847404719</v>
      </c>
      <c r="G5" s="18"/>
      <c r="H5" s="17"/>
      <c r="I5" s="17"/>
      <c r="J5" s="17">
        <f>B35*B44+C35*C44</f>
        <v>41.770826300061842</v>
      </c>
      <c r="K5" s="17"/>
      <c r="L5" s="17"/>
      <c r="M5" s="17"/>
      <c r="N5" s="17">
        <f>B34*B43+C34*C43</f>
        <v>6127.9926919182672</v>
      </c>
      <c r="O5" s="17">
        <f>B52*B53*B54</f>
        <v>57.843333333333334</v>
      </c>
      <c r="P5" s="17">
        <f>B60*B61*B62/1000-B60*B61*B62/1000/B63</f>
        <v>343.2</v>
      </c>
    </row>
    <row r="6" spans="1:16">
      <c r="A6" s="16" t="s">
        <v>607</v>
      </c>
      <c r="B6" s="754">
        <f>kWh_PV_kleiner_dan_10kW</f>
        <v>1099.466715046121</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15610.92556504612</v>
      </c>
      <c r="C8" s="21">
        <f>C5</f>
        <v>0</v>
      </c>
      <c r="D8" s="21">
        <f>D5</f>
        <v>52755.349407200003</v>
      </c>
      <c r="E8" s="21">
        <f>E5</f>
        <v>342.63189971391375</v>
      </c>
      <c r="F8" s="21">
        <f>F5</f>
        <v>8680.7564847404719</v>
      </c>
      <c r="G8" s="21"/>
      <c r="H8" s="21"/>
      <c r="I8" s="21"/>
      <c r="J8" s="21">
        <f>J5</f>
        <v>41.770826300061842</v>
      </c>
      <c r="K8" s="21"/>
      <c r="L8" s="21">
        <f>L5</f>
        <v>0</v>
      </c>
      <c r="M8" s="21">
        <f>M5</f>
        <v>0</v>
      </c>
      <c r="N8" s="21">
        <f>N5</f>
        <v>6127.9926919182672</v>
      </c>
      <c r="O8" s="21">
        <f>O5</f>
        <v>57.843333333333334</v>
      </c>
      <c r="P8" s="21">
        <f>P5</f>
        <v>343.2</v>
      </c>
    </row>
    <row r="9" spans="1:16">
      <c r="B9" s="19"/>
      <c r="C9" s="19"/>
      <c r="D9" s="254"/>
      <c r="E9" s="19"/>
      <c r="F9" s="19"/>
      <c r="G9" s="19"/>
      <c r="H9" s="19"/>
      <c r="I9" s="19"/>
      <c r="J9" s="19"/>
      <c r="K9" s="19"/>
      <c r="L9" s="19"/>
      <c r="M9" s="19"/>
      <c r="N9" s="19"/>
      <c r="O9" s="19"/>
      <c r="P9" s="19"/>
    </row>
    <row r="10" spans="1:16">
      <c r="A10" s="24" t="s">
        <v>207</v>
      </c>
      <c r="B10" s="25">
        <f ca="1">'EF ele_warmte'!B12</f>
        <v>0.21615071766735605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3374.3127643363946</v>
      </c>
      <c r="C12" s="23">
        <f ca="1">C10*C8</f>
        <v>0</v>
      </c>
      <c r="D12" s="23">
        <f>D8*D10</f>
        <v>10656.580580254402</v>
      </c>
      <c r="E12" s="23">
        <f>E10*E8</f>
        <v>77.777441235058419</v>
      </c>
      <c r="F12" s="23">
        <f>F10*F8</f>
        <v>2317.7619814257059</v>
      </c>
      <c r="G12" s="23"/>
      <c r="H12" s="23"/>
      <c r="I12" s="23"/>
      <c r="J12" s="23">
        <f>J10*J8</f>
        <v>14.78687251022189</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4579</v>
      </c>
      <c r="C26" s="36"/>
      <c r="D26" s="225"/>
    </row>
    <row r="27" spans="1:5" s="15" customFormat="1">
      <c r="A27" s="227" t="s">
        <v>762</v>
      </c>
      <c r="B27" s="37">
        <f>SUM(HH_hh_gas_aantal,HH_rest_gas_aantal)</f>
        <v>4181</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3971.95</v>
      </c>
      <c r="C31" s="34" t="s">
        <v>104</v>
      </c>
      <c r="D31" s="171"/>
    </row>
    <row r="32" spans="1:5">
      <c r="A32" s="168" t="s">
        <v>72</v>
      </c>
      <c r="B32" s="33">
        <f>IF((B21*($B$26-($B$27-0.05*$B$27)-$B$60))&lt;0,0,B21*($B$26-($B$27-0.05*$B$27)-$B$60))</f>
        <v>6.4798411670547003</v>
      </c>
      <c r="C32" s="34" t="s">
        <v>104</v>
      </c>
      <c r="D32" s="171"/>
    </row>
    <row r="33" spans="1:6">
      <c r="A33" s="168" t="s">
        <v>73</v>
      </c>
      <c r="B33" s="33">
        <f>IF((B22*($B$26-($B$27-0.05*$B$27)-$B$60))&lt;0,0,B22*($B$26-($B$27-0.05*$B$27)-$B$60))</f>
        <v>134.7213394346407</v>
      </c>
      <c r="C33" s="34" t="s">
        <v>104</v>
      </c>
      <c r="D33" s="171"/>
    </row>
    <row r="34" spans="1:6">
      <c r="A34" s="168" t="s">
        <v>74</v>
      </c>
      <c r="B34" s="33">
        <f>IF((B24*($B$26-($B$27-0.05*$B$27)-$B$60))&lt;0,0,B24*($B$26-($B$27-0.05*$B$27)-$B$60))</f>
        <v>26.791285157944124</v>
      </c>
      <c r="C34" s="33">
        <f>B26*C24</f>
        <v>937.30093320993092</v>
      </c>
      <c r="D34" s="230"/>
    </row>
    <row r="35" spans="1:6">
      <c r="A35" s="168" t="s">
        <v>76</v>
      </c>
      <c r="B35" s="33">
        <f>IF((B19*($B$26-($B$27-0.05*$B$27)-$B$60))&lt;0,0,B19*($B$26-($B$27-0.05*$B$27)-$B$60))</f>
        <v>4.9045410377973662</v>
      </c>
      <c r="C35" s="33">
        <f>B35/2</f>
        <v>2.4522705188986831</v>
      </c>
      <c r="D35" s="230"/>
    </row>
    <row r="36" spans="1:6">
      <c r="A36" s="168" t="s">
        <v>77</v>
      </c>
      <c r="B36" s="33">
        <f>IF((B18*($B$26-($B$27-0.05*$B$27)-$B$60))&lt;0,0,B18*($B$26-($B$27-0.05*$B$27)-$B$60))</f>
        <v>416.15299320256332</v>
      </c>
      <c r="C36" s="34" t="s">
        <v>104</v>
      </c>
      <c r="D36" s="171"/>
    </row>
    <row r="37" spans="1:6">
      <c r="A37" s="168" t="s">
        <v>78</v>
      </c>
      <c r="B37" s="33">
        <f>B60</f>
        <v>18</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37</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18</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8401.4161000000004</v>
      </c>
      <c r="C5" s="17">
        <f>IF(ISERROR('Eigen informatie GS &amp; warmtenet'!B58),0,'Eigen informatie GS &amp; warmtenet'!B58)</f>
        <v>0</v>
      </c>
      <c r="D5" s="30">
        <f>SUM(D6:D12)</f>
        <v>19271.152015786</v>
      </c>
      <c r="E5" s="17">
        <f>SUM(E6:E12)</f>
        <v>111.16343095656653</v>
      </c>
      <c r="F5" s="17">
        <f>SUM(F6:F12)</f>
        <v>1403.0951013365814</v>
      </c>
      <c r="G5" s="18"/>
      <c r="H5" s="17"/>
      <c r="I5" s="17"/>
      <c r="J5" s="17">
        <f>SUM(J6:J12)</f>
        <v>1.0409593851887524E-2</v>
      </c>
      <c r="K5" s="17"/>
      <c r="L5" s="17"/>
      <c r="M5" s="17"/>
      <c r="N5" s="17">
        <f>SUM(N6:N12)</f>
        <v>417.54275882348691</v>
      </c>
      <c r="O5" s="17">
        <f>B38*B39*B40</f>
        <v>1.5633333333333335</v>
      </c>
      <c r="P5" s="17">
        <f>B46*B47*B48/1000-B46*B47*B48/1000/B49</f>
        <v>38.133333333333333</v>
      </c>
      <c r="R5" s="32"/>
    </row>
    <row r="6" spans="1:18">
      <c r="A6" s="32" t="s">
        <v>53</v>
      </c>
      <c r="B6" s="37">
        <f>B26</f>
        <v>4087.2557000000002</v>
      </c>
      <c r="C6" s="33"/>
      <c r="D6" s="37">
        <f>IF(ISERROR(TER_kantoor_gas_kWh/1000),0,TER_kantoor_gas_kWh/1000)*0.902</f>
        <v>15707.630808386</v>
      </c>
      <c r="E6" s="33">
        <f>$C$26*'E Balans VL '!I12/100/3.6*1000000</f>
        <v>2.5617559327651102E-2</v>
      </c>
      <c r="F6" s="33">
        <f>$C$26*('E Balans VL '!L12+'E Balans VL '!N12)/100/3.6*1000000</f>
        <v>614.2003228932175</v>
      </c>
      <c r="G6" s="34"/>
      <c r="H6" s="33"/>
      <c r="I6" s="33"/>
      <c r="J6" s="33">
        <f>$C$26*('E Balans VL '!D12+'E Balans VL '!E12)/100/3.6*1000000</f>
        <v>0</v>
      </c>
      <c r="K6" s="33"/>
      <c r="L6" s="33"/>
      <c r="M6" s="33"/>
      <c r="N6" s="33">
        <f>$C$26*'E Balans VL '!Y12/100/3.6*1000000</f>
        <v>3.908854074887274</v>
      </c>
      <c r="O6" s="33"/>
      <c r="P6" s="33"/>
      <c r="R6" s="32"/>
    </row>
    <row r="7" spans="1:18">
      <c r="A7" s="32" t="s">
        <v>52</v>
      </c>
      <c r="B7" s="37">
        <f t="shared" ref="B7:B12" si="0">B27</f>
        <v>1029.5119999999999</v>
      </c>
      <c r="C7" s="33"/>
      <c r="D7" s="37">
        <f>IF(ISERROR(TER_horeca_gas_kWh/1000),0,TER_horeca_gas_kWh/1000)*0.902</f>
        <v>853.06650000000002</v>
      </c>
      <c r="E7" s="33">
        <f>$C$27*'E Balans VL '!I9/100/3.6*1000000</f>
        <v>14.742440356036759</v>
      </c>
      <c r="F7" s="33">
        <f>$C$27*('E Balans VL '!L9+'E Balans VL '!N9)/100/3.6*1000000</f>
        <v>130.3701738138908</v>
      </c>
      <c r="G7" s="34"/>
      <c r="H7" s="33"/>
      <c r="I7" s="33"/>
      <c r="J7" s="33">
        <f>$C$27*('E Balans VL '!D9+'E Balans VL '!E9)/100/3.6*1000000</f>
        <v>0</v>
      </c>
      <c r="K7" s="33"/>
      <c r="L7" s="33"/>
      <c r="M7" s="33"/>
      <c r="N7" s="33">
        <f>$C$27*'E Balans VL '!Y9/100/3.6*1000000</f>
        <v>0.29596200120885663</v>
      </c>
      <c r="O7" s="33"/>
      <c r="P7" s="33"/>
      <c r="R7" s="32"/>
    </row>
    <row r="8" spans="1:18">
      <c r="A8" s="6" t="s">
        <v>51</v>
      </c>
      <c r="B8" s="37">
        <f t="shared" si="0"/>
        <v>2637.3551499999999</v>
      </c>
      <c r="C8" s="33"/>
      <c r="D8" s="37">
        <f>IF(ISERROR(TER_handel_gas_kWh/1000),0,TER_handel_gas_kWh/1000)*0.902</f>
        <v>1072.772954</v>
      </c>
      <c r="E8" s="33">
        <f>$C$28*'E Balans VL '!I13/100/3.6*1000000</f>
        <v>95.656546066433435</v>
      </c>
      <c r="F8" s="33">
        <f>$C$28*('E Balans VL '!L13+'E Balans VL '!N13)/100/3.6*1000000</f>
        <v>507.98130680873959</v>
      </c>
      <c r="G8" s="34"/>
      <c r="H8" s="33"/>
      <c r="I8" s="33"/>
      <c r="J8" s="33">
        <f>$C$28*('E Balans VL '!D13+'E Balans VL '!E13)/100/3.6*1000000</f>
        <v>0</v>
      </c>
      <c r="K8" s="33"/>
      <c r="L8" s="33"/>
      <c r="M8" s="33"/>
      <c r="N8" s="33">
        <f>$C$28*'E Balans VL '!Y13/100/3.6*1000000</f>
        <v>3.6533437111062814</v>
      </c>
      <c r="O8" s="33"/>
      <c r="P8" s="33"/>
      <c r="R8" s="32"/>
    </row>
    <row r="9" spans="1:18">
      <c r="A9" s="32" t="s">
        <v>50</v>
      </c>
      <c r="B9" s="37">
        <f t="shared" si="0"/>
        <v>156.33924999999999</v>
      </c>
      <c r="C9" s="33"/>
      <c r="D9" s="37">
        <f>IF(ISERROR(TER_gezond_gas_kWh/1000),0,TER_gezond_gas_kWh/1000)*0.902</f>
        <v>341.88118140000006</v>
      </c>
      <c r="E9" s="33">
        <f>$C$29*'E Balans VL '!I10/100/3.6*1000000</f>
        <v>9.7883806212314805E-3</v>
      </c>
      <c r="F9" s="33">
        <f>$C$29*('E Balans VL '!L10+'E Balans VL '!N10)/100/3.6*1000000</f>
        <v>23.224671595183668</v>
      </c>
      <c r="G9" s="34"/>
      <c r="H9" s="33"/>
      <c r="I9" s="33"/>
      <c r="J9" s="33">
        <f>$C$29*('E Balans VL '!D10+'E Balans VL '!E10)/100/3.6*1000000</f>
        <v>0</v>
      </c>
      <c r="K9" s="33"/>
      <c r="L9" s="33"/>
      <c r="M9" s="33"/>
      <c r="N9" s="33">
        <f>$C$29*'E Balans VL '!Y10/100/3.6*1000000</f>
        <v>2.4182706044481175</v>
      </c>
      <c r="O9" s="33"/>
      <c r="P9" s="33"/>
      <c r="R9" s="32"/>
    </row>
    <row r="10" spans="1:18">
      <c r="A10" s="32" t="s">
        <v>49</v>
      </c>
      <c r="B10" s="37">
        <f t="shared" si="0"/>
        <v>478.14100000000002</v>
      </c>
      <c r="C10" s="33"/>
      <c r="D10" s="37">
        <f>IF(ISERROR(TER_ander_gas_kWh/1000),0,TER_ander_gas_kWh/1000)*0.902</f>
        <v>1009.3452160000001</v>
      </c>
      <c r="E10" s="33">
        <f>$C$30*'E Balans VL '!I14/100/3.6*1000000</f>
        <v>0.56992698612766513</v>
      </c>
      <c r="F10" s="33">
        <f>$C$30*('E Balans VL '!L14+'E Balans VL '!N14)/100/3.6*1000000</f>
        <v>125.10294207930932</v>
      </c>
      <c r="G10" s="34"/>
      <c r="H10" s="33"/>
      <c r="I10" s="33"/>
      <c r="J10" s="33">
        <f>$C$30*('E Balans VL '!D14+'E Balans VL '!E14)/100/3.6*1000000</f>
        <v>1.0378566849032017E-2</v>
      </c>
      <c r="K10" s="33"/>
      <c r="L10" s="33"/>
      <c r="M10" s="33"/>
      <c r="N10" s="33">
        <f>$C$30*'E Balans VL '!Y14/100/3.6*1000000</f>
        <v>406.02563725441848</v>
      </c>
      <c r="O10" s="33"/>
      <c r="P10" s="33"/>
      <c r="R10" s="32"/>
    </row>
    <row r="11" spans="1:18">
      <c r="A11" s="32" t="s">
        <v>54</v>
      </c>
      <c r="B11" s="37">
        <f t="shared" si="0"/>
        <v>0</v>
      </c>
      <c r="C11" s="33"/>
      <c r="D11" s="37">
        <f>IF(ISERROR(TER_onderwijs_gas_kWh/1000),0,TER_onderwijs_gas_kWh/1000)*0.902</f>
        <v>286.45535599999999</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248</v>
      </c>
      <c r="B12" s="37">
        <f t="shared" si="0"/>
        <v>12.813000000000001</v>
      </c>
      <c r="C12" s="33"/>
      <c r="D12" s="37">
        <f>IF(ISERROR(TER_rest_gas_kWh/1000),0,TER_rest_gas_kWh/1000)*0.902</f>
        <v>0</v>
      </c>
      <c r="E12" s="33">
        <f>$C$32*'E Balans VL '!I8/100/3.6*1000000</f>
        <v>0.15911160801978336</v>
      </c>
      <c r="F12" s="33">
        <f>$C$32*('E Balans VL '!L8+'E Balans VL '!N8)/100/3.6*1000000</f>
        <v>2.2156841462404295</v>
      </c>
      <c r="G12" s="34"/>
      <c r="H12" s="33"/>
      <c r="I12" s="33"/>
      <c r="J12" s="33">
        <f>$C$32*('E Balans VL '!D8+'E Balans VL '!E8)/100/3.6*1000000</f>
        <v>3.1027002855506839E-5</v>
      </c>
      <c r="K12" s="33"/>
      <c r="L12" s="33"/>
      <c r="M12" s="33"/>
      <c r="N12" s="33">
        <f>$C$32*'E Balans VL '!Y8/100/3.6*1000000</f>
        <v>1.2406911774178948</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8401.4161000000004</v>
      </c>
      <c r="C16" s="21">
        <f t="shared" ca="1" si="1"/>
        <v>0</v>
      </c>
      <c r="D16" s="21">
        <f t="shared" ca="1" si="1"/>
        <v>19271.152015786</v>
      </c>
      <c r="E16" s="21">
        <f t="shared" si="1"/>
        <v>111.16343095656653</v>
      </c>
      <c r="F16" s="21">
        <f t="shared" ca="1" si="1"/>
        <v>1403.0951013365814</v>
      </c>
      <c r="G16" s="21">
        <f t="shared" si="1"/>
        <v>0</v>
      </c>
      <c r="H16" s="21">
        <f t="shared" si="1"/>
        <v>0</v>
      </c>
      <c r="I16" s="21">
        <f t="shared" si="1"/>
        <v>0</v>
      </c>
      <c r="J16" s="21">
        <f t="shared" si="1"/>
        <v>1.0409593851887524E-2</v>
      </c>
      <c r="K16" s="21">
        <f t="shared" si="1"/>
        <v>0</v>
      </c>
      <c r="L16" s="21">
        <f t="shared" ca="1" si="1"/>
        <v>0</v>
      </c>
      <c r="M16" s="21">
        <f t="shared" si="1"/>
        <v>0</v>
      </c>
      <c r="N16" s="21">
        <f t="shared" ca="1" si="1"/>
        <v>417.54275882348691</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0.21615071766735605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1815.9721194370798</v>
      </c>
      <c r="C20" s="23">
        <f t="shared" ref="C20:P20" ca="1" si="2">C16*C18</f>
        <v>0</v>
      </c>
      <c r="D20" s="23">
        <f t="shared" ca="1" si="2"/>
        <v>3892.7727071887721</v>
      </c>
      <c r="E20" s="23">
        <f t="shared" si="2"/>
        <v>25.234098827140603</v>
      </c>
      <c r="F20" s="23">
        <f t="shared" ca="1" si="2"/>
        <v>374.62639205686725</v>
      </c>
      <c r="G20" s="23">
        <f t="shared" si="2"/>
        <v>0</v>
      </c>
      <c r="H20" s="23">
        <f t="shared" si="2"/>
        <v>0</v>
      </c>
      <c r="I20" s="23">
        <f t="shared" si="2"/>
        <v>0</v>
      </c>
      <c r="J20" s="23">
        <f t="shared" si="2"/>
        <v>3.6849962235681833E-3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4087.2557000000002</v>
      </c>
      <c r="C26" s="39">
        <f>IF(ISERROR(B26*3.6/1000000/'E Balans VL '!Z12*100),0,B26*3.6/1000000/'E Balans VL '!Z12*100)</f>
        <v>8.6398110761973956E-2</v>
      </c>
      <c r="D26" s="233" t="s">
        <v>726</v>
      </c>
      <c r="F26" s="6"/>
    </row>
    <row r="27" spans="1:18">
      <c r="A27" s="228" t="s">
        <v>52</v>
      </c>
      <c r="B27" s="33">
        <f>IF(ISERROR(TER_horeca_ele_kWh/1000),0,TER_horeca_ele_kWh/1000)</f>
        <v>1029.5119999999999</v>
      </c>
      <c r="C27" s="39">
        <f>IF(ISERROR(B27*3.6/1000000/'E Balans VL '!Z9*100),0,B27*3.6/1000000/'E Balans VL '!Z9*100)</f>
        <v>8.115604724128804E-2</v>
      </c>
      <c r="D27" s="233" t="s">
        <v>726</v>
      </c>
      <c r="F27" s="6"/>
    </row>
    <row r="28" spans="1:18">
      <c r="A28" s="168" t="s">
        <v>51</v>
      </c>
      <c r="B28" s="33">
        <f>IF(ISERROR(TER_handel_ele_kWh/1000),0,TER_handel_ele_kWh/1000)</f>
        <v>2637.3551499999999</v>
      </c>
      <c r="C28" s="39">
        <f>IF(ISERROR(B28*3.6/1000000/'E Balans VL '!Z13*100),0,B28*3.6/1000000/'E Balans VL '!Z13*100)</f>
        <v>7.6546702561888058E-2</v>
      </c>
      <c r="D28" s="233" t="s">
        <v>726</v>
      </c>
      <c r="F28" s="6"/>
    </row>
    <row r="29" spans="1:18">
      <c r="A29" s="228" t="s">
        <v>50</v>
      </c>
      <c r="B29" s="33">
        <f>IF(ISERROR(TER_gezond_ele_kWh/1000),0,TER_gezond_ele_kWh/1000)</f>
        <v>156.33924999999999</v>
      </c>
      <c r="C29" s="39">
        <f>IF(ISERROR(B29*3.6/1000000/'E Balans VL '!Z10*100),0,B29*3.6/1000000/'E Balans VL '!Z10*100)</f>
        <v>1.646509018324805E-2</v>
      </c>
      <c r="D29" s="233" t="s">
        <v>726</v>
      </c>
      <c r="F29" s="6"/>
    </row>
    <row r="30" spans="1:18">
      <c r="A30" s="228" t="s">
        <v>49</v>
      </c>
      <c r="B30" s="33">
        <f>IF(ISERROR(TER_ander_ele_kWh/1000),0,TER_ander_ele_kWh/1000)</f>
        <v>478.14100000000002</v>
      </c>
      <c r="C30" s="39">
        <f>IF(ISERROR(B30*3.6/1000000/'E Balans VL '!Z14*100),0,B30*3.6/1000000/'E Balans VL '!Z14*100)</f>
        <v>3.5267784011708603E-2</v>
      </c>
      <c r="D30" s="233" t="s">
        <v>726</v>
      </c>
      <c r="F30" s="6"/>
    </row>
    <row r="31" spans="1:18">
      <c r="A31" s="228" t="s">
        <v>54</v>
      </c>
      <c r="B31" s="33">
        <f>IF(ISERROR(TER_onderwijs_ele_kWh/1000),0,TER_onderwijs_ele_kWh/1000)</f>
        <v>0</v>
      </c>
      <c r="C31" s="39">
        <f>IF(ISERROR(B31*3.6/1000000/'E Balans VL '!Z11*100),0,B31*3.6/1000000/'E Balans VL '!Z11*100)</f>
        <v>0</v>
      </c>
      <c r="D31" s="233" t="s">
        <v>726</v>
      </c>
    </row>
    <row r="32" spans="1:18">
      <c r="A32" s="228" t="s">
        <v>248</v>
      </c>
      <c r="B32" s="33">
        <f>IF(ISERROR(TER_rest_ele_kWh/1000),0,TER_rest_ele_kWh/1000)</f>
        <v>12.813000000000001</v>
      </c>
      <c r="C32" s="39">
        <f>IF(ISERROR(B32*3.6/1000000/'E Balans VL '!Z8*100),0,B32*3.6/1000000/'E Balans VL '!Z8*100)</f>
        <v>1.0543398247136016E-4</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1</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2</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27432.141500000002</v>
      </c>
      <c r="C5" s="17">
        <f>IF(ISERROR('Eigen informatie GS &amp; warmtenet'!B59),0,'Eigen informatie GS &amp; warmtenet'!B59)</f>
        <v>0</v>
      </c>
      <c r="D5" s="30">
        <f>SUM(D6:D15)</f>
        <v>49986.223588444002</v>
      </c>
      <c r="E5" s="17">
        <f>SUM(E6:E15)</f>
        <v>1615.8532854713708</v>
      </c>
      <c r="F5" s="17">
        <f>SUM(F6:F15)</f>
        <v>5698.4355963163453</v>
      </c>
      <c r="G5" s="18"/>
      <c r="H5" s="17"/>
      <c r="I5" s="17"/>
      <c r="J5" s="17">
        <f>SUM(J6:J15)</f>
        <v>93.833503288701678</v>
      </c>
      <c r="K5" s="17"/>
      <c r="L5" s="17"/>
      <c r="M5" s="17"/>
      <c r="N5" s="17">
        <f>SUM(N6:N15)</f>
        <v>1902.8945537859006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484.60899999999998</v>
      </c>
      <c r="C8" s="33"/>
      <c r="D8" s="37">
        <f>IF( ISERROR(IND_metaal_Gas_kWH/1000),0,IND_metaal_Gas_kWH/1000)*0.902</f>
        <v>2592.5578250439999</v>
      </c>
      <c r="E8" s="33">
        <f>C30*'E Balans VL '!I18/100/3.6*1000000</f>
        <v>4.4555117151767289</v>
      </c>
      <c r="F8" s="33">
        <f>C30*'E Balans VL '!L18/100/3.6*1000000+C30*'E Balans VL '!N18/100/3.6*1000000</f>
        <v>45.440189933205552</v>
      </c>
      <c r="G8" s="34"/>
      <c r="H8" s="33"/>
      <c r="I8" s="33"/>
      <c r="J8" s="40">
        <f>C30*'E Balans VL '!D18/100/3.6*1000000+C30*'E Balans VL '!E18/100/3.6*1000000</f>
        <v>0</v>
      </c>
      <c r="K8" s="33"/>
      <c r="L8" s="33"/>
      <c r="M8" s="33"/>
      <c r="N8" s="33">
        <f>C30*'E Balans VL '!Y18/100/3.6*1000000</f>
        <v>6.9137482350971382</v>
      </c>
      <c r="O8" s="33"/>
      <c r="P8" s="33"/>
      <c r="R8" s="32"/>
    </row>
    <row r="9" spans="1:18">
      <c r="A9" s="6" t="s">
        <v>32</v>
      </c>
      <c r="B9" s="37">
        <f t="shared" si="0"/>
        <v>560.27850000000001</v>
      </c>
      <c r="C9" s="33"/>
      <c r="D9" s="37">
        <f>IF( ISERROR(IND_andere_gas_kWh/1000),0,IND_andere_gas_kWh/1000)*0.902</f>
        <v>792.24436939999998</v>
      </c>
      <c r="E9" s="33">
        <f>C31*'E Balans VL '!I19/100/3.6*1000000</f>
        <v>163.78031288588215</v>
      </c>
      <c r="F9" s="33">
        <f>C31*'E Balans VL '!L19/100/3.6*1000000+C31*'E Balans VL '!N19/100/3.6*1000000</f>
        <v>450.22618393564284</v>
      </c>
      <c r="G9" s="34"/>
      <c r="H9" s="33"/>
      <c r="I9" s="33"/>
      <c r="J9" s="40">
        <f>C31*'E Balans VL '!D19/100/3.6*1000000+C31*'E Balans VL '!E19/100/3.6*1000000</f>
        <v>0</v>
      </c>
      <c r="K9" s="33"/>
      <c r="L9" s="33"/>
      <c r="M9" s="33"/>
      <c r="N9" s="33">
        <f>C31*'E Balans VL '!Y19/100/3.6*1000000</f>
        <v>43.947484587182679</v>
      </c>
      <c r="O9" s="33"/>
      <c r="P9" s="33"/>
      <c r="R9" s="32"/>
    </row>
    <row r="10" spans="1:18">
      <c r="A10" s="6" t="s">
        <v>40</v>
      </c>
      <c r="B10" s="37">
        <f t="shared" si="0"/>
        <v>176.63900000000001</v>
      </c>
      <c r="C10" s="33"/>
      <c r="D10" s="37">
        <f>IF( ISERROR(IND_voed_gas_kWh/1000),0,IND_voed_gas_kWh/1000)*0.902</f>
        <v>349.25530200000003</v>
      </c>
      <c r="E10" s="33">
        <f>C32*'E Balans VL '!I20/100/3.6*1000000</f>
        <v>0.37368254332013323</v>
      </c>
      <c r="F10" s="33">
        <f>C32*'E Balans VL '!L20/100/3.6*1000000+C32*'E Balans VL '!N20/100/3.6*1000000</f>
        <v>11.230888051447431</v>
      </c>
      <c r="G10" s="34"/>
      <c r="H10" s="33"/>
      <c r="I10" s="33"/>
      <c r="J10" s="40">
        <f>C32*'E Balans VL '!D20/100/3.6*1000000+C32*'E Balans VL '!E20/100/3.6*1000000</f>
        <v>0</v>
      </c>
      <c r="K10" s="33"/>
      <c r="L10" s="33"/>
      <c r="M10" s="33"/>
      <c r="N10" s="33">
        <f>C32*'E Balans VL '!Y20/100/3.6*1000000</f>
        <v>12.189834116244318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355.75150600000001</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26210.615000000002</v>
      </c>
      <c r="C15" s="33"/>
      <c r="D15" s="37">
        <f>IF( ISERROR(IND_rest_gas_kWh/1000),0,IND_rest_gas_kWh/1000)*0.902</f>
        <v>45896.414585999999</v>
      </c>
      <c r="E15" s="33">
        <f>C37*'E Balans VL '!I15/100/3.6*1000000</f>
        <v>1447.2437783269918</v>
      </c>
      <c r="F15" s="33">
        <f>C37*'E Balans VL '!L15/100/3.6*1000000+C37*'E Balans VL '!N15/100/3.6*1000000</f>
        <v>5191.5383343960493</v>
      </c>
      <c r="G15" s="34"/>
      <c r="H15" s="33"/>
      <c r="I15" s="33"/>
      <c r="J15" s="40">
        <f>C37*'E Balans VL '!D15/100/3.6*1000000+C37*'E Balans VL '!E15/100/3.6*1000000</f>
        <v>93.833503288701678</v>
      </c>
      <c r="K15" s="33"/>
      <c r="L15" s="33"/>
      <c r="M15" s="33"/>
      <c r="N15" s="33">
        <f>C37*'E Balans VL '!Y15/100/3.6*1000000</f>
        <v>1839.8434868473764</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27432.141500000002</v>
      </c>
      <c r="C18" s="21">
        <f>C5+C16</f>
        <v>0</v>
      </c>
      <c r="D18" s="21">
        <f>MAX((D5+D16),0)</f>
        <v>49986.223588444002</v>
      </c>
      <c r="E18" s="21">
        <f>MAX((E5+E16),0)</f>
        <v>1615.8532854713708</v>
      </c>
      <c r="F18" s="21">
        <f>MAX((F5+F16),0)</f>
        <v>5698.4355963163453</v>
      </c>
      <c r="G18" s="21"/>
      <c r="H18" s="21"/>
      <c r="I18" s="21"/>
      <c r="J18" s="21">
        <f>MAX((J5+J16),0)</f>
        <v>93.833503288701678</v>
      </c>
      <c r="K18" s="21"/>
      <c r="L18" s="21">
        <f>MAX((L5+L16),0)</f>
        <v>0</v>
      </c>
      <c r="M18" s="21"/>
      <c r="N18" s="21">
        <f>MAX((N5+N16),0)</f>
        <v>1902.8945537859006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0.21615071766735605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5929.4770723774618</v>
      </c>
      <c r="C22" s="23">
        <f ca="1">C18*C20</f>
        <v>0</v>
      </c>
      <c r="D22" s="23">
        <f>D18*D20</f>
        <v>10097.217164865689</v>
      </c>
      <c r="E22" s="23">
        <f>E18*E20</f>
        <v>366.79869580200119</v>
      </c>
      <c r="F22" s="23">
        <f>F18*F20</f>
        <v>1521.4823042164642</v>
      </c>
      <c r="G22" s="23"/>
      <c r="H22" s="23"/>
      <c r="I22" s="23"/>
      <c r="J22" s="23">
        <f>J18*J20</f>
        <v>33.21706016420039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484.60899999999998</v>
      </c>
      <c r="C30" s="39">
        <f>IF(ISERROR(B30*3.6/1000000/'E Balans VL '!Z18*100),0,B30*3.6/1000000/'E Balans VL '!Z18*100)</f>
        <v>2.7464034648749282E-2</v>
      </c>
      <c r="D30" s="233" t="s">
        <v>726</v>
      </c>
    </row>
    <row r="31" spans="1:18">
      <c r="A31" s="6" t="s">
        <v>32</v>
      </c>
      <c r="B31" s="37">
        <f>IF( ISERROR(IND_ander_ele_kWh/1000),0,IND_ander_ele_kWh/1000)</f>
        <v>560.27850000000001</v>
      </c>
      <c r="C31" s="39">
        <f>IF(ISERROR(B31*3.6/1000000/'E Balans VL '!Z19*100),0,B31*3.6/1000000/'E Balans VL '!Z19*100)</f>
        <v>2.5411899800930438E-2</v>
      </c>
      <c r="D31" s="233" t="s">
        <v>726</v>
      </c>
    </row>
    <row r="32" spans="1:18">
      <c r="A32" s="168" t="s">
        <v>40</v>
      </c>
      <c r="B32" s="37">
        <f>IF( ISERROR(IND_voed_ele_kWh/1000),0,IND_voed_ele_kWh/1000)</f>
        <v>176.63900000000001</v>
      </c>
      <c r="C32" s="39">
        <f>IF(ISERROR(B32*3.6/1000000/'E Balans VL '!Z20*100),0,B32*3.6/1000000/'E Balans VL '!Z20*100)</f>
        <v>5.4642461433534288E-3</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0</v>
      </c>
      <c r="C35" s="39">
        <f>IF(ISERROR(B35*3.6/1000000/'E Balans VL '!Z22*100),0,B35*3.6/1000000/'E Balans VL '!Z22*100)</f>
        <v>0</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26210.615000000002</v>
      </c>
      <c r="C37" s="39">
        <f>IF(ISERROR(B37*3.6/1000000/'E Balans VL '!Z15*100),0,B37*3.6/1000000/'E Balans VL '!Z15*100)</f>
        <v>0.20775131357161511</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35.777999999999999</v>
      </c>
      <c r="C5" s="17">
        <f>'Eigen informatie GS &amp; warmtenet'!B60</f>
        <v>0</v>
      </c>
      <c r="D5" s="30">
        <f>IF(ISERROR(SUM(LB_lb_gas_kWh,LB_rest_gas_kWh)/1000),0,SUM(LB_lb_gas_kWh,LB_rest_gas_kWh)/1000)*0.902</f>
        <v>59.154963999999993</v>
      </c>
      <c r="E5" s="17">
        <f>B17*'E Balans VL '!I25/3.6*1000000/100</f>
        <v>1.0516246986251028</v>
      </c>
      <c r="F5" s="17">
        <f>B17*('E Balans VL '!L25/3.6*1000000+'E Balans VL '!N25/3.6*1000000)/100</f>
        <v>149.04921465835662</v>
      </c>
      <c r="G5" s="18"/>
      <c r="H5" s="17"/>
      <c r="I5" s="17"/>
      <c r="J5" s="17">
        <f>('E Balans VL '!D25+'E Balans VL '!E25)/3.6*1000000*landbouw!B17/100</f>
        <v>5.1834638586548838</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35.777999999999999</v>
      </c>
      <c r="C8" s="21">
        <f>C5+C6</f>
        <v>0</v>
      </c>
      <c r="D8" s="21">
        <f>MAX((D5+D6),0)</f>
        <v>59.154963999999993</v>
      </c>
      <c r="E8" s="21">
        <f>MAX((E5+E6),0)</f>
        <v>1.0516246986251028</v>
      </c>
      <c r="F8" s="21">
        <f>MAX((F5+F6),0)</f>
        <v>149.04921465835662</v>
      </c>
      <c r="G8" s="21"/>
      <c r="H8" s="21"/>
      <c r="I8" s="21"/>
      <c r="J8" s="21">
        <f>MAX((J5+J6),0)</f>
        <v>5.1834638586548838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0.21615071766735605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7.7334403767026645</v>
      </c>
      <c r="C12" s="23">
        <f ca="1">C8*C10</f>
        <v>0</v>
      </c>
      <c r="D12" s="23">
        <f>D8*D10</f>
        <v>11.949302727999999</v>
      </c>
      <c r="E12" s="23">
        <f>E8*E10</f>
        <v>0.23871880658789835</v>
      </c>
      <c r="F12" s="23">
        <f>F8*F10</f>
        <v>39.796140313781223</v>
      </c>
      <c r="G12" s="23"/>
      <c r="H12" s="23"/>
      <c r="I12" s="23"/>
      <c r="J12" s="23">
        <f>J8*J10</f>
        <v>1.8349462059638288</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5.0770104500517232E-3</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3">
        <f>B26*'GWP N2O_CH4'!B5</f>
        <v>0</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3">
        <f>B27*'GWP N2O_CH4'!B5</f>
        <v>0</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3">
        <f>B28*'GWP N2O_CH4'!B4</f>
        <v>0</v>
      </c>
      <c r="D28" s="50"/>
    </row>
    <row r="29" spans="1:4">
      <c r="A29" s="41" t="s">
        <v>265</v>
      </c>
      <c r="B29" s="243">
        <f>B34*'ha_N2O bodem landbouw'!B4</f>
        <v>3.090464182884144E-2</v>
      </c>
      <c r="C29" s="243">
        <f>B29*'GWP N2O_CH4'!B4</f>
        <v>9.5804389669408465</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7.0523327632079057E-6</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6.3168019238117408E-5</v>
      </c>
      <c r="C5" s="429" t="s">
        <v>204</v>
      </c>
      <c r="D5" s="414">
        <f>SUM(D6:D11)</f>
        <v>1.0649713450806953E-4</v>
      </c>
      <c r="E5" s="414">
        <f>SUM(E6:E11)</f>
        <v>1.8678725095113474E-4</v>
      </c>
      <c r="F5" s="427" t="s">
        <v>204</v>
      </c>
      <c r="G5" s="414">
        <f>SUM(G6:G11)</f>
        <v>8.3394368046484937E-2</v>
      </c>
      <c r="H5" s="414">
        <f>SUM(H6:H11)</f>
        <v>1.7180016361335437E-2</v>
      </c>
      <c r="I5" s="429" t="s">
        <v>204</v>
      </c>
      <c r="J5" s="429" t="s">
        <v>204</v>
      </c>
      <c r="K5" s="429" t="s">
        <v>204</v>
      </c>
      <c r="L5" s="429" t="s">
        <v>204</v>
      </c>
      <c r="M5" s="414">
        <f>SUM(M6:M11)</f>
        <v>5.3781360194839209E-3</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5.8601023765669341E-5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9.8518625899438433E-5</v>
      </c>
      <c r="E6" s="857">
        <f>vkm_GW_PW*SUMIFS(TableVerdeelsleutelVkm[LPG],TableVerdeelsleutelVkm[Voertuigtype],"Lichte voertuigen")*SUMIFS(TableECFTransport[EnergieConsumptieFactor (PJ per km)],TableECFTransport[Index],CONCATENATE($A6,"_LPG_LPG"))</f>
        <v>1.7334436625938765E-4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5.1430771576710804E-2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1.591702415152605E-2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3.4734757956645579E-3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8.1673455139980985E-7</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2.6233855678320026E-2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4.2802074730788377E-7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1.5327272858050649E-3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3.7012292490393802E-6</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7.9785086086310944E-6</v>
      </c>
      <c r="E8" s="417">
        <f>vkm_NGW_PW*SUMIFS(TableVerdeelsleutelVkm[LPG],TableVerdeelsleutelVkm[Voertuigtype],"Lichte voertuigen")*SUMIFS(TableECFTransport[EnergieConsumptieFactor (PJ per km)],TableECFTransport[Index],CONCATENATE($A8,"_LPG_LPG"))</f>
        <v>1.3442884691747079E-5</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3.7090169467358827E-3</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1.2625331736866958E-3</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2.5387110590355234E-4</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4.9031672008878884E-8</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2.0207238447182327E-3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3.1015375383283931E-8</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1.1806183211074606E-4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17.546672010588168</v>
      </c>
      <c r="C14" s="21"/>
      <c r="D14" s="21">
        <f t="shared" ref="D14:M14" si="0">((D5)*10^9/3600)+D12</f>
        <v>29.582537363352646</v>
      </c>
      <c r="E14" s="21">
        <f t="shared" si="0"/>
        <v>51.885347486426319</v>
      </c>
      <c r="F14" s="21"/>
      <c r="G14" s="21">
        <f t="shared" si="0"/>
        <v>23165.102235134702</v>
      </c>
      <c r="H14" s="21">
        <f t="shared" si="0"/>
        <v>4772.2267670376214</v>
      </c>
      <c r="I14" s="21"/>
      <c r="J14" s="21"/>
      <c r="K14" s="21"/>
      <c r="L14" s="21"/>
      <c r="M14" s="21">
        <f t="shared" si="0"/>
        <v>1493.9266720788669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0.21615071766735605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3.7927257477623417</v>
      </c>
      <c r="C18" s="23"/>
      <c r="D18" s="23">
        <f t="shared" ref="D18:M18" si="1">D14*D16</f>
        <v>5.9756725473972345</v>
      </c>
      <c r="E18" s="23">
        <f t="shared" si="1"/>
        <v>11.777973879418775</v>
      </c>
      <c r="F18" s="23"/>
      <c r="G18" s="23">
        <f t="shared" si="1"/>
        <v>6185.0822967809654</v>
      </c>
      <c r="H18" s="23">
        <f t="shared" si="1"/>
        <v>1188.2844649923677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3.994140276242066E-5</v>
      </c>
      <c r="C50" s="313">
        <f t="shared" ref="C50:P50" si="2">SUM(C51:C52)</f>
        <v>0</v>
      </c>
      <c r="D50" s="313">
        <f t="shared" si="2"/>
        <v>0</v>
      </c>
      <c r="E50" s="313">
        <f t="shared" si="2"/>
        <v>0</v>
      </c>
      <c r="F50" s="313">
        <f t="shared" si="2"/>
        <v>0</v>
      </c>
      <c r="G50" s="313">
        <f t="shared" si="2"/>
        <v>3.7520983353130843E-3</v>
      </c>
      <c r="H50" s="313">
        <f t="shared" si="2"/>
        <v>0</v>
      </c>
      <c r="I50" s="313">
        <f t="shared" si="2"/>
        <v>0</v>
      </c>
      <c r="J50" s="313">
        <f t="shared" si="2"/>
        <v>0</v>
      </c>
      <c r="K50" s="313">
        <f t="shared" si="2"/>
        <v>0</v>
      </c>
      <c r="L50" s="313">
        <f t="shared" si="2"/>
        <v>0</v>
      </c>
      <c r="M50" s="313">
        <f t="shared" si="2"/>
        <v>2.160720773952977E-4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3.994140276242066E-5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3.7520983353130843E-3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2.160720773952977E-4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11.094834100672404</v>
      </c>
      <c r="C54" s="21">
        <f t="shared" ref="C54:P54" si="3">(C50)*10^9/3600</f>
        <v>0</v>
      </c>
      <c r="D54" s="21">
        <f t="shared" si="3"/>
        <v>0</v>
      </c>
      <c r="E54" s="21">
        <f t="shared" si="3"/>
        <v>0</v>
      </c>
      <c r="F54" s="21">
        <f t="shared" si="3"/>
        <v>0</v>
      </c>
      <c r="G54" s="21">
        <f t="shared" si="3"/>
        <v>1042.249537586968</v>
      </c>
      <c r="H54" s="21">
        <f t="shared" si="3"/>
        <v>0</v>
      </c>
      <c r="I54" s="21">
        <f t="shared" si="3"/>
        <v>0</v>
      </c>
      <c r="J54" s="21">
        <f t="shared" si="3"/>
        <v>0</v>
      </c>
      <c r="K54" s="21">
        <f t="shared" si="3"/>
        <v>0</v>
      </c>
      <c r="L54" s="21">
        <f t="shared" si="3"/>
        <v>0</v>
      </c>
      <c r="M54" s="21">
        <f t="shared" si="3"/>
        <v>60.020021498693808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0.21615071766735605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2.3981563532605952</v>
      </c>
      <c r="C58" s="23">
        <f t="shared" ref="C58:P58" ca="1" si="4">C54*C56</f>
        <v>0</v>
      </c>
      <c r="D58" s="23">
        <f t="shared" si="4"/>
        <v>0</v>
      </c>
      <c r="E58" s="23">
        <f t="shared" si="4"/>
        <v>0</v>
      </c>
      <c r="F58" s="23">
        <f t="shared" si="4"/>
        <v>0</v>
      </c>
      <c r="G58" s="23">
        <f t="shared" si="4"/>
        <v>278.2806265357205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1158.2559173446239</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0</v>
      </c>
      <c r="C8" s="536">
        <f>B48</f>
        <v>0</v>
      </c>
      <c r="D8" s="1002"/>
      <c r="E8" s="1002">
        <f>E48</f>
        <v>0</v>
      </c>
      <c r="F8" s="1003"/>
      <c r="G8" s="537"/>
      <c r="H8" s="1002">
        <f>I48</f>
        <v>0</v>
      </c>
      <c r="I8" s="1002">
        <f>G48+F48</f>
        <v>0</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1158.2559173446239</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0</v>
      </c>
      <c r="C17" s="561">
        <f>B49</f>
        <v>0</v>
      </c>
      <c r="D17" s="562"/>
      <c r="E17" s="562">
        <f>E49</f>
        <v>0</v>
      </c>
      <c r="F17" s="1008"/>
      <c r="G17" s="563"/>
      <c r="H17" s="561">
        <f>I49</f>
        <v>0</v>
      </c>
      <c r="I17" s="562">
        <f>G49+F49</f>
        <v>0</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268</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2021-11-11T12:44:33Z</dcterms:modified>
</cp:coreProperties>
</file>