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2D4BBCB8-7238-4A1D-B9E0-FCE5566C610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<sst xmlns="http://schemas.openxmlformats.org/spreadsheetml/2006/main" count="2464" uniqueCount="896">
  <si>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</si>
  <si>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</si>
  <si>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</si>
  <si>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</si>
  <si>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</si>
  <si>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</si>
  <si>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</si>
  <si>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</si>
  <si>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</si>
  <si>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</si>
  <si>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</si>
  <si>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</si>
  <si>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</si>
  <si>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</si>
  <si>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</si>
  <si>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</si>
  <si>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</si>
  <si>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</si>
  <si>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</si>
  <si>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</si>
  <si>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</si>
  <si>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</si>
  <si>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</si>
  <si>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</si>
  <si>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</si>
  <si>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</si>
  <si>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</si>
  <si>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</si>
  <si>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</si>
  <si>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</si>
  <si>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</si>
  <si>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</si>
  <si>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</si>
  <si>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</si>
  <si>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</si>
  <si>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</si>
  <si>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</si>
  <si>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</si>
  <si>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</si>
  <si>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</si>
  <si>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</si>
  <si>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</si>
  <si>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</si>
  <si>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</si>
  <si>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</si>
  <si>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</si>
  <si>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</si>
  <si>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</si>
  <si>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</si>
  <si>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</si>
  <si>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</si>
  <si>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</si>
  <si>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</si>
  <si>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</si>
  <si>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</si>
  <si>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</si>
  <si>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</si>
  <si>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</si>
  <si>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</si>
  <si>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</si>
  <si>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</si>
  <si>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</si>
  <si>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</si>
  <si>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</si>
  <si>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</si>
  <si>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</si>
  <si>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</si>
  <si>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</si>
  <si>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</si>
  <si>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</si>
  <si>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</si>
  <si>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</si>
  <si>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</si>
  <si>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</si>
  <si>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</si>
  <si>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</si>
  <si>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</si>
  <si>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</si>
  <si>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</si>
  <si>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</si>
  <si>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</si>
  <si>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</si>
  <si>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</si>
  <si>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</si>
  <si>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</si>
  <si>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</si>
  <si>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</si>
  <si>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</si>
  <si>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</si>
  <si>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</si>
  <si>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</si>
  <si>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</si>
  <si>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</si>
  <si>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</si>
  <si>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</si>
  <si>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</si>
  <si>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</si>
  <si>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</si>
  <si>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</si>
  <si>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</si>
  <si>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</si>
  <si>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</si>
  <si>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</si>
  <si>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</si>
  <si>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</si>
  <si>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</si>
  <si>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</si>
  <si>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</si>
  <si>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</si>
  <si>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</si>
  <si>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</si>
  <si>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</si>
  <si>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</si>
  <si>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</si>
  <si>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</si>
  <si>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</si>
  <si>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</si>
  <si>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</si>
  <si>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</si>
  <si>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</si>
  <si>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</si>
  <si>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</si>
  <si>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</si>
  <si>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</si>
  <si>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</si>
  <si>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</si>
  <si>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</si>
  <si>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</si>
  <si>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</si>
  <si>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</si>
  <si>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</si>
  <si>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</si>
  <si>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</si>
  <si>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</si>
  <si>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</si>
  <si>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</si>
  <si>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</si>
  <si>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</si>
  <si>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</si>
  <si>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</si>
  <si>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</si>
  <si>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</si>
  <si>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</si>
  <si>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</si>
  <si>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</si>
  <si>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</si>
  <si>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</si>
  <si>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</si>
  <si>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</si>
  <si>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</si>
  <si>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</si>
  <si>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</si>
  <si>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</si>
  <si>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</si>
  <si>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</si>
  <si>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</si>
  <si>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</si>
  <si>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</si>
  <si>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</si>
  <si>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</si>
  <si>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</si>
  <si>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</si>
  <si>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</si>
  <si>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</si>
  <si>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</si>
  <si>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</si>
  <si>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</si>
  <si>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</si>
  <si>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</si>
  <si>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</si>
  <si>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</si>
  <si>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</si>
  <si>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</si>
  <si>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</si>
  <si>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</si>
  <si>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</si>
  <si>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</si>
  <si>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</si>
  <si>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</si>
  <si>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</si>
  <si>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</si>
  <si>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</si>
  <si>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</si>
  <si>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</si>
  <si>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</si>
  <si>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</si>
  <si>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</si>
  <si>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</si>
  <si>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</si>
  <si>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</si>
  <si>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</si>
  <si>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</si>
  <si>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</si>
  <si>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</si>
  <si>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</si>
  <si>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</si>
  <si>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</si>
  <si>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</si>
  <si>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</si>
  <si>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</si>
  <si>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</si>
  <si>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</si>
  <si>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</si>
  <si>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</si>
  <si>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</si>
  <si>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</si>
  <si>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</si>
  <si>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</si>
  <si>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</si>
  <si>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</si>
  <si>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</si>
  <si>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</si>
  <si>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</si>
  <si>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</si>
  <si>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</si>
  <si>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</si>
  <si>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</si>
  <si>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</si>
  <si>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</si>
  <si>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</si>
  <si>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</si>
  <si>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</si>
  <si>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</si>
  <si>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</si>
  <si>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</si>
  <si>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</si>
  <si>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</si>
  <si>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</si>
  <si>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</si>
  <si>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</si>
  <si>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</si>
  <si>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</si>
  <si>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</si>
  <si>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</si>
  <si>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</si>
  <si>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</si>
  <si>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</si>
  <si>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</si>
  <si>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</si>
  <si>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</si>
  <si>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</si>
  <si>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</si>
  <si>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</si>
  <si>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</si>
  <si>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</si>
  <si>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</si>
  <si>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</si>
  <si>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</si>
  <si>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</si>
  <si>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</si>
  <si>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</si>
  <si>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</si>
  <si>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</si>
  <si>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</si>
  <si>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</si>
  <si>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</si>
  <si>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</si>
  <si>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</si>
  <si>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</si>
  <si>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</si>
  <si>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</si>
  <si>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</si>
  <si>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</si>
  <si>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</si>
  <si>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</si>
  <si>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</si>
  <si>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</si>
  <si>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</si>
  <si>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</si>
  <si>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</si>
  <si>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</si>
  <si>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</si>
  <si>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</si>
  <si>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</si>
  <si>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</si>
  <si>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</si>
  <si>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</si>
  <si>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</si>
  <si>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</si>
  <si>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</si>
  <si>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</si>
  <si>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</si>
  <si>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</si>
  <si>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</si>
  <si>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</si>
  <si>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</si>
  <si>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</si>
  <si>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</si>
  <si>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</si>
  <si>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</si>
  <si>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</si>
  <si>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</si>
  <si>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</si>
  <si>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</si>
  <si>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</si>
  <si>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</si>
  <si>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</si>
  <si>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</si>
  <si>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</si>
  <si>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</si>
  <si>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</si>
  <si>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</si>
  <si>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</si>
  <si>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</si>
  <si>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</si>
  <si>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</si>
  <si>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</si>
  <si>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</si>
  <si>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</si>
  <si>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</si>
  <si>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</si>
  <si>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</si>
  <si>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</si>
  <si>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</si>
  <si>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</si>
  <si>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</si>
  <si>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</si>
  <si>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</si>
  <si>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</si>
  <si>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</si>
  <si>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</si>
  <si>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</si>
  <si>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</si>
  <si>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</si>
  <si>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</si>
  <si>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</si>
  <si>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</si>
  <si>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</si>
  <si>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</si>
  <si>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</si>
  <si>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</si>
  <si>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</si>
  <si>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</si>
  <si>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</si>
  <si>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</si>
  <si>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</si>
  <si>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</si>
  <si>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</si>
  <si>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</si>
  <si>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</si>
  <si>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</si>
  <si>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</si>
  <si>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</si>
  <si>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</si>
  <si>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</si>
  <si>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</si>
  <si>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</si>
  <si>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</si>
  <si>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</si>
  <si>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</si>
  <si>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</si>
  <si>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</si>
  <si>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</si>
  <si>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</si>
  <si>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</si>
  <si>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</si>
  <si>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</si>
  <si>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</si>
  <si>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</si>
  <si>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</si>
  <si>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</si>
  <si>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</si>
  <si>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</si>
  <si>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</si>
  <si>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</si>
  <si>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</si>
  <si>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</si>
  <si>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</si>
  <si>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</si>
  <si>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</si>
  <si>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</si>
  <si>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</si>
  <si>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</si>
  <si>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</si>
  <si>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</si>
  <si>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</si>
  <si>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</si>
  <si>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</si>
  <si>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</si>
  <si>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</si>
  <si>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</si>
  <si>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</si>
  <si>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</si>
  <si>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</si>
  <si>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</si>
  <si>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</si>
  <si>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</si>
  <si>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</si>
  <si>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</si>
  <si>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</si>
  <si>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</si>
  <si>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</si>
  <si>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</si>
  <si>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</si>
  <si>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</si>
  <si>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</si>
  <si>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</si>
  <si>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</si>
  <si>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</si>
  <si>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</si>
  <si>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</si>
  <si>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</si>
  <si>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</si>
  <si>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</si>
  <si>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</si>
  <si>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</si>
  <si>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</si>
  <si>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</si>
  <si>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</si>
  <si>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</si>
  <si>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</si>
  <si>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</si>
  <si>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</si>
  <si>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</si>
  <si>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</si>
  <si>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</si>
  <si>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</si>
  <si>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</si>
  <si>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</si>
  <si>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</si>
  <si>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</si>
  <si>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</si>
  <si>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</si>
  <si>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</si>
  <si>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</si>
  <si>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</si>
  <si>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</si>
  <si>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</si>
  <si>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</si>
  <si>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</si>
  <si>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</si>
  <si>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</si>
  <si>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</si>
  <si>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</si>
  <si>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</si>
  <si>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</si>
  <si>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</si>
  <si>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</si>
  <si>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</si>
  <si>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</si>
  <si>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</si>
  <si>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</si>
  <si>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</si>
  <si>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</si>
  <si>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</si>
  <si>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</si>
  <si>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</si>
  <si>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</si>
  <si>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</si>
  <si>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</si>
  <si>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</si>
  <si>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</si>
  <si>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</si>
  <si>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</si>
  <si>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</si>
  <si>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</si>
  <si>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</si>
  <si>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</si>
  <si>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</si>
  <si>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</si>
  <si>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</si>
  <si>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</si>
  <si>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</si>
  <si>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</si>
  <si>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</si>
  <si>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</si>
  <si>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</si>
  <si>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</si>
  <si>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</si>
  <si>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</si>
  <si>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</si>
  <si>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</si>
  <si>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</si>
  <si>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</si>
  <si>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</si>
  <si>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</si>
  <si>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</si>
  <si>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</si>
  <si>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</si>
  <si>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</si>
  <si>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</si>
  <si>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</si>
  <si>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</si>
  <si>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</si>
  <si>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</si>
  <si>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</si>
  <si>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</si>
  <si>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</si>
  <si>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</si>
  <si>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</si>
  <si>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</si>
  <si>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</si>
  <si>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</si>
  <si>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</si>
  <si>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</si>
  <si>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</si>
  <si>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</si>
  <si>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</si>
  <si>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</si>
  <si>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</si>
  <si>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</si>
  <si>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</si>
  <si>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</si>
  <si>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</si>
  <si>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</si>
  <si>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</si>
  <si>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</si>
  <si>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</si>
  <si>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</si>
  <si>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</si>
  <si>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</si>
  <si>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</si>
  <si>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</si>
  <si>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</si>
  <si>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</si>
  <si>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</si>
  <si>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</si>
  <si>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</si>
  <si>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</si>
  <si>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</si>
  <si>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</si>
  <si>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</si>
  <si>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</si>
  <si>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</si>
  <si>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</si>
  <si>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</si>
  <si>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</si>
  <si>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</si>
  <si>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</si>
  <si>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</si>
  <si>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</si>
  <si>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</si>
  <si>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</si>
  <si>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</si>
  <si>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</si>
  <si>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</si>
  <si>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</si>
  <si>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</si>
  <si>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</si>
  <si>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</si>
  <si>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</si>
  <si>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</si>
  <si>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</si>
  <si>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</si>
  <si>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</si>
  <si>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</si>
  <si>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</si>
  <si>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</si>
  <si>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</si>
  <si>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</si>
  <si>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</si>
  <si>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</si>
  <si>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</si>
  <si>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</si>
  <si>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</si>
  <si>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</si>
  <si>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</si>
  <si>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</si>
  <si>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</si>
  <si>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</si>
  <si>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</si>
  <si>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</si>
  <si>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</si>
  <si>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</si>
  <si>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</si>
  <si>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</si>
  <si>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</si>
  <si>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</si>
  <si>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</si>
  <si>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</si>
  <si>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</si>
  <si>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</si>
  <si>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</si>
  <si>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</si>
  <si>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</si>
  <si>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</si>
  <si>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</si>
  <si>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</si>
  <si>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</si>
  <si>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</si>
  <si>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</si>
  <si>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</si>
  <si>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</si>
  <si>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</si>
  <si>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</si>
  <si>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</si>
  <si>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</si>
  <si>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</si>
  <si>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</si>
  <si>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</si>
  <si>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</si>
  <si>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</si>
  <si>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</si>
  <si>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</si>
  <si>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</si>
  <si>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</si>
  <si>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</si>
  <si>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</si>
  <si>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</si>
  <si>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</si>
  <si>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</si>
  <si>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</si>
  <si>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</si>
  <si>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</si>
  <si>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</si>
  <si>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</si>
  <si>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</si>
  <si>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</si>
  <si>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</si>
  <si>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</si>
  <si>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</si>
  <si>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</si>
  <si>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</si>
  <si>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</si>
  <si>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</si>
  <si>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</si>
  <si>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</si>
  <si>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</si>
  <si>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</si>
  <si>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</si>
  <si>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</si>
  <si>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</si>
  <si>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</si>
  <si>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</si>
  <si>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</si>
  <si>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</si>
  <si>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</si>
  <si>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</si>
  <si>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</si>
  <si>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</si>
  <si>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</si>
  <si>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</si>
  <si>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</si>
  <si>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</si>
  <si>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</si>
  <si>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</si>
  <si>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</si>
  <si>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</si>
  <si>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</si>
  <si>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</si>
  <si>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</si>
  <si>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</si>
  <si>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</si>
  <si>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</si>
  <si>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</si>
  <si>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</si>
  <si>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</si>
  <si>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</si>
  <si>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</si>
  <si>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</si>
  <si>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</si>
  <si>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</si>
  <si>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</si>
  <si>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</si>
  <si>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</si>
  <si>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</si>
  <si>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</si>
  <si>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</si>
  <si>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</si>
  <si>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</si>
  <si>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</si>
  <si>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</si>
  <si>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</si>
  <si>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</si>
  <si>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</si>
  <si>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</si>
  <si>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</si>
  <si>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</si>
  <si>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</si>
  <si>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</si>
  <si>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</si>
  <si>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</si>
  <si>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</si>
  <si>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</si>
  <si>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</si>
  <si>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</si>
  <si>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</si>
  <si>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</si>
  <si>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</si>
  <si>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</si>
  <si>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</si>
  <si>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</si>
  <si>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</si>
  <si>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</si>
  <si>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</si>
  <si>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</si>
  <si>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</si>
  <si>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</si>
  <si>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</si>
  <si>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</si>
  <si>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</si>
  <si>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</si>
  <si>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</si>
  <si>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</si>
  <si>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</si>
  <si>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</si>
  <si>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</si>
  <si>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</si>
  <si>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</si>
  <si>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</si>
  <si>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</si>
  <si>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</si>
  <si>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</si>
  <si>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</si>
  <si>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</si>
  <si>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</si>
  <si>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</si>
  <si>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</si>
  <si>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</si>
  <si>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</si>
  <si>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</si>
  <si>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</si>
  <si>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</si>
  <si>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</si>
  <si>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</si>
  <si>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</si>
  <si>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</si>
  <si>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</si>
  <si>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</si>
  <si>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</si>
  <si>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</si>
  <si>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</si>
  <si>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</si>
  <si>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</si>
  <si>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</si>
  <si>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</si>
  <si>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</si>
  <si>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</si>
  <si>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</si>
  <si>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</si>
  <si>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</si>
  <si>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</si>
  <si>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</si>
  <si>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</si>
  <si>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</si>
  <si>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</si>
  <si>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</si>
  <si>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</si>
  <si>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</si>
  <si>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</si>
  <si>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</si>
  <si>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</si>
  <si>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</si>
  <si>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</si>
  <si>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</si>
  <si>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</si>
  <si>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</si>
  <si>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</si>
  <si>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</si>
  <si>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</si>
  <si>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</si>
  <si>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</si>
  <si>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</si>
  <si>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</si>
  <si>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</si>
  <si>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</si>
  <si>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</si>
  <si>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</si>
  <si>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</si>
  <si>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</si>
  <si>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</si>
  <si>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</si>
  <si>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</si>
  <si>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</si>
  <si>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</si>
  <si>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</si>
  <si>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</si>
  <si>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</si>
  <si>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</si>
  <si>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</si>
  <si>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</si>
  <si>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</si>
  <si>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</si>
  <si>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</si>
  <si>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</si>
  <si>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</si>
  <si>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</si>
  <si>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</si>
  <si>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</si>
  <si>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</si>
  <si>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</si>
  <si>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</si>
  <si>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</si>
  <si>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</si>
  <si>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</si>
  <si>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</si>
  <si>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</si>
  <si>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</si>
  <si>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</si>
  <si>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</si>
  <si>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</si>
  <si>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</si>
  <si>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</si>
  <si>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</si>
  <si>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</si>
  <si>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</si>
  <si>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</si>
  <si>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</si>
  <si>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</si>
  <si>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</si>
  <si>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</si>
  <si>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</si>
  <si>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</si>
  <si>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</si>
  <si>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</si>
  <si>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</si>
  <si>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</si>
  <si>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</si>
  <si>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</si>
  <si>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</si>
  <si>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</si>
  <si>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</si>
  <si>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</si>
  <si>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</si>
  <si>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</si>
  <si>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</si>
  <si>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</si>
  <si>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</si>
  <si>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</si>
  <si>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</si>
  <si>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</si>
  <si>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</si>
  <si>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</si>
  <si>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</si>
  <si>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</si>
  <si>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</si>
  <si>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</si>
  <si>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</si>
  <si>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</si>
  <si>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</si>
  <si>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</si>
  <si>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</si>
  <si>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</si>
  <si>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</si>
  <si>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</si>
  <si>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</si>
  <si>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</si>
  <si>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</si>
  <si>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</si>
  <si>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</si>
  <si>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</si>
  <si>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</si>
  <si>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</si>
  <si>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</si>
  <si>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</si>
  <si>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</si>
  <si>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</si>
  <si>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</si>
  <si>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</si>
  <si>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</si>
  <si>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</si>
  <si>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</si>
  <si>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</si>
  <si>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</si>
  <si>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</si>
  <si>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</si>
  <si>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</si>
  <si>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</si>
  <si>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</si>
  <si>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</si>
  <si>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</si>
  <si>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</si>
  <si>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</si>
  <si>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</si>
  <si>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</si>
  <si>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</si>
  <si>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</si>
  <si>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</si>
  <si>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</si>
  <si>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</si>
  <si>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</si>
  <si>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</si>
  <si>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</si>
  <si>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</si>
  <si>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</si>
  <si>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</si>
  <si>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</si>
  <si>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</si>
  <si>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</si>
  <si>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</si>
  <si>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</si>
  <si>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</si>
  <si>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</si>
  <si>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</si>
  <si>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</si>
  <si>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</si>
  <si>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</si>
  <si>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</si>
  <si>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</si>
  <si>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</si>
  <si>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</si>
  <si>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</si>
  <si>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11001</t>
  </si>
  <si>
    <t>AARTSELAAR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</si>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</sst>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BF568F7-4933-4D9E-ACB3-02ED43D4CD2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122133.17042174039</c:v>
                </c:pt>
                <c:pt idx="1">
                  <c:v>80468.036769052967</c:v>
                </c:pt>
                <c:pt idx="2">
                  <c:v>937.57500000000005</c:v>
                </c:pt>
                <c:pt idx="3">
                  <c:v>5521.0058127425264</c:v>
                </c:pt>
                <c:pt idx="4">
                  <c:v>45904.341204307362</c:v>
                </c:pt>
                <c:pt idx="5">
                  <c:v>298733.8597702604</c:v>
                </c:pt>
                <c:pt idx="6">
                  <c:v>1589.8072908002443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122133.17042174039</c:v>
                </c:pt>
                <c:pt idx="1">
                  <c:v>80468.036769052967</c:v>
                </c:pt>
                <c:pt idx="2">
                  <c:v>937.57500000000005</c:v>
                </c:pt>
                <c:pt idx="3">
                  <c:v>5521.0058127425264</c:v>
                </c:pt>
                <c:pt idx="4">
                  <c:v>45904.341204307362</c:v>
                </c:pt>
                <c:pt idx="5">
                  <c:v>298733.8597702604</c:v>
                </c:pt>
                <c:pt idx="6">
                  <c:v>1589.8072908002443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24389.993834370369</c:v>
                </c:pt>
                <c:pt idx="2">
                  <c:v>16455.816232575544</c:v>
                </c:pt>
                <c:pt idx="3">
                  <c:v>197.69816647394347</c:v>
                </c:pt>
                <c:pt idx="4">
                  <c:v>1276.6199033256612</c:v>
                </c:pt>
                <c:pt idx="5">
                  <c:v>9447.3108569030956</c:v>
                </c:pt>
                <c:pt idx="6">
                  <c:v>74993.814421327101</c:v>
                </c:pt>
                <c:pt idx="7">
                  <c:v>400.70607409779893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24389.993834370369</c:v>
                </c:pt>
                <c:pt idx="2">
                  <c:v>16455.816232575544</c:v>
                </c:pt>
                <c:pt idx="3">
                  <c:v>197.69816647394347</c:v>
                </c:pt>
                <c:pt idx="4">
                  <c:v>1276.6199033256612</c:v>
                </c:pt>
                <c:pt idx="5">
                  <c:v>9447.3108569030956</c:v>
                </c:pt>
                <c:pt idx="6">
                  <c:v>74993.814421327101</c:v>
                </c:pt>
                <c:pt idx="7">
                  <c:v>400.70607409779893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11001</v>
      </c>
      <c r="B6" s="382"/>
      <c r="C6" s="383"/>
    </row>
    <row r="7" spans="1:7" s="380" customFormat="1" ht="15.75" customHeight="1">
      <c r="A7" s="384" t="str">
        <f>txtMunicipality</f>
        <v>AARTSELAAR</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34465.887179491147</v>
      </c>
      <c r="D10" s="971">
        <f ca="1">tertiair!C16</f>
        <v>0</v>
      </c>
      <c r="E10" s="971">
        <f ca="1">tertiair!D16</f>
        <v>38128.920060000004</v>
      </c>
      <c r="F10" s="971">
        <f>tertiair!E16</f>
        <v>543.89767083506104</v>
      </c>
      <c r="G10" s="971">
        <f ca="1">tertiair!F16</f>
        <v>5844.4534789259433</v>
      </c>
      <c r="H10" s="971">
        <f>tertiair!G16</f>
        <v>0</v>
      </c>
      <c r="I10" s="971">
        <f>tertiair!H16</f>
        <v>0</v>
      </c>
      <c r="J10" s="971">
        <f>tertiair!I16</f>
        <v>0</v>
      </c>
      <c r="K10" s="971">
        <f>tertiair!J16</f>
        <v>5.9934481232299927E-2</v>
      </c>
      <c r="L10" s="971">
        <f>tertiair!K16</f>
        <v>0</v>
      </c>
      <c r="M10" s="971">
        <f ca="1">tertiair!L16</f>
        <v>0</v>
      </c>
      <c r="N10" s="971">
        <f>tertiair!M16</f>
        <v>0</v>
      </c>
      <c r="O10" s="971">
        <f ca="1">tertiair!N16</f>
        <v>2384.2601119862202</v>
      </c>
      <c r="P10" s="971">
        <f>tertiair!O16</f>
        <v>0</v>
      </c>
      <c r="Q10" s="972">
        <f>tertiair!P16</f>
        <v>38.133333333333333</v>
      </c>
      <c r="R10" s="666">
        <f ca="1">SUM(C10:Q10)</f>
        <v>81405.61176905295</v>
      </c>
      <c r="S10" s="67"/>
    </row>
    <row r="11" spans="1:19" s="439" customFormat="1">
      <c r="A11" s="775" t="s">
        <v>213</v>
      </c>
      <c r="B11" s="780"/>
      <c r="C11" s="971">
        <f>huishoudens!B8</f>
        <v>24312.993170841655</v>
      </c>
      <c r="D11" s="971">
        <f>huishoudens!C8</f>
        <v>0</v>
      </c>
      <c r="E11" s="971">
        <f>huishoudens!D8</f>
        <v>68993.628941600095</v>
      </c>
      <c r="F11" s="971">
        <f>huishoudens!E8</f>
        <v>757.18712410251612</v>
      </c>
      <c r="G11" s="971">
        <f>huishoudens!F8</f>
        <v>19183.727619066132</v>
      </c>
      <c r="H11" s="971">
        <f>huishoudens!G8</f>
        <v>0</v>
      </c>
      <c r="I11" s="971">
        <f>huishoudens!H8</f>
        <v>0</v>
      </c>
      <c r="J11" s="971">
        <f>huishoudens!I8</f>
        <v>0</v>
      </c>
      <c r="K11" s="971">
        <f>huishoudens!J8</f>
        <v>92.309945057474735</v>
      </c>
      <c r="L11" s="971">
        <f>huishoudens!K8</f>
        <v>0</v>
      </c>
      <c r="M11" s="971">
        <f>huishoudens!L8</f>
        <v>0</v>
      </c>
      <c r="N11" s="971">
        <f>huishoudens!M8</f>
        <v>0</v>
      </c>
      <c r="O11" s="971">
        <f>huishoudens!N8</f>
        <v>8181.903621072498</v>
      </c>
      <c r="P11" s="971">
        <f>huishoudens!O8</f>
        <v>115.68666666666667</v>
      </c>
      <c r="Q11" s="972">
        <f>huishoudens!P8</f>
        <v>495.73333333333335</v>
      </c>
      <c r="R11" s="666">
        <f>SUM(C11:Q11)</f>
        <v>122133.17042174039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17758.105999502484</v>
      </c>
      <c r="D13" s="971">
        <f>industrie!C18</f>
        <v>0</v>
      </c>
      <c r="E13" s="971">
        <f>industrie!D18</f>
        <v>21745.960608658002</v>
      </c>
      <c r="F13" s="971">
        <f>industrie!E18</f>
        <v>1124.3365672580292</v>
      </c>
      <c r="G13" s="971">
        <f>industrie!F18</f>
        <v>3888.5640909000986</v>
      </c>
      <c r="H13" s="971">
        <f>industrie!G18</f>
        <v>0</v>
      </c>
      <c r="I13" s="971">
        <f>industrie!H18</f>
        <v>0</v>
      </c>
      <c r="J13" s="971">
        <f>industrie!I18</f>
        <v>0</v>
      </c>
      <c r="K13" s="971">
        <f>industrie!J18</f>
        <v>47.064118539082962</v>
      </c>
      <c r="L13" s="971">
        <f>industrie!K18</f>
        <v>0</v>
      </c>
      <c r="M13" s="971">
        <f>industrie!L18</f>
        <v>0</v>
      </c>
      <c r="N13" s="971">
        <f>industrie!M18</f>
        <v>0</v>
      </c>
      <c r="O13" s="971">
        <f>industrie!N18</f>
        <v>1340.3098194496645</v>
      </c>
      <c r="P13" s="971">
        <f>industrie!O18</f>
        <v>0</v>
      </c>
      <c r="Q13" s="972">
        <f>industrie!P18</f>
        <v>0</v>
      </c>
      <c r="R13" s="666">
        <f>SUM(C13:Q13)</f>
        <v>45904.341204307362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76536.986349835293</v>
      </c>
      <c r="D16" s="698">
        <f t="shared" ref="D16:R16" ca="1" si="0">SUM(D9:D15)</f>
        <v>0</v>
      </c>
      <c r="E16" s="698">
        <f t="shared" ca="1" si="0"/>
        <v>128868.5096102581</v>
      </c>
      <c r="F16" s="698">
        <f t="shared" si="0"/>
        <v>2425.421362195606</v>
      </c>
      <c r="G16" s="698">
        <f t="shared" ca="1" si="0"/>
        <v>28916.745188892175</v>
      </c>
      <c r="H16" s="698">
        <f t="shared" si="0"/>
        <v>0</v>
      </c>
      <c r="I16" s="698">
        <f t="shared" si="0"/>
        <v>0</v>
      </c>
      <c r="J16" s="698">
        <f t="shared" si="0"/>
        <v>0</v>
      </c>
      <c r="K16" s="698">
        <f t="shared" si="0"/>
        <v>139.43399807778999</v>
      </c>
      <c r="L16" s="698">
        <f t="shared" si="0"/>
        <v>0</v>
      </c>
      <c r="M16" s="698">
        <f t="shared" ca="1" si="0"/>
        <v>0</v>
      </c>
      <c r="N16" s="698">
        <f t="shared" si="0"/>
        <v>0</v>
      </c>
      <c r="O16" s="698">
        <f t="shared" ca="1" si="0"/>
        <v>11906.473552508383</v>
      </c>
      <c r="P16" s="698">
        <f t="shared" si="0"/>
        <v>115.68666666666667</v>
      </c>
      <c r="Q16" s="698">
        <f t="shared" si="0"/>
        <v>533.86666666666667</v>
      </c>
      <c r="R16" s="698">
        <f t="shared" ca="1" si="0"/>
        <v>249443.1233951007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15.842655155324456</v>
      </c>
      <c r="D19" s="971">
        <f>transport!C54</f>
        <v>0</v>
      </c>
      <c r="E19" s="971">
        <f>transport!D54</f>
        <v>0</v>
      </c>
      <c r="F19" s="971">
        <f>transport!E54</f>
        <v>0</v>
      </c>
      <c r="G19" s="971">
        <f>transport!F54</f>
        <v>0</v>
      </c>
      <c r="H19" s="971">
        <f>transport!G54</f>
        <v>1488.2601992927496</v>
      </c>
      <c r="I19" s="971">
        <f>transport!H54</f>
        <v>0</v>
      </c>
      <c r="J19" s="971">
        <f>transport!I54</f>
        <v>0</v>
      </c>
      <c r="K19" s="971">
        <f>transport!J54</f>
        <v>0</v>
      </c>
      <c r="L19" s="971">
        <f>transport!K54</f>
        <v>0</v>
      </c>
      <c r="M19" s="971">
        <f>transport!L54</f>
        <v>0</v>
      </c>
      <c r="N19" s="971">
        <f>transport!M54</f>
        <v>85.704436352170262</v>
      </c>
      <c r="O19" s="971">
        <f>transport!N54</f>
        <v>0</v>
      </c>
      <c r="P19" s="971">
        <f>transport!O54</f>
        <v>0</v>
      </c>
      <c r="Q19" s="972">
        <f>transport!P54</f>
        <v>0</v>
      </c>
      <c r="R19" s="666">
        <f>SUM(C19:Q19)</f>
        <v>1589.8072908002443</v>
      </c>
      <c r="S19" s="67"/>
    </row>
    <row r="20" spans="1:19" s="439" customFormat="1">
      <c r="A20" s="775" t="s">
        <v>295</v>
      </c>
      <c r="B20" s="780"/>
      <c r="C20" s="971">
        <f>transport!B14</f>
        <v>119.2517933357385</v>
      </c>
      <c r="D20" s="971">
        <f>transport!C14</f>
        <v>0</v>
      </c>
      <c r="E20" s="971">
        <f>transport!D14</f>
        <v>198.06363796836069</v>
      </c>
      <c r="F20" s="971">
        <f>transport!E14</f>
        <v>349.35217192071218</v>
      </c>
      <c r="G20" s="971">
        <f>transport!F14</f>
        <v>0</v>
      </c>
      <c r="H20" s="971">
        <f>transport!G14</f>
        <v>250534.59903657975</v>
      </c>
      <c r="I20" s="971">
        <f>transport!H14</f>
        <v>31954.293603855192</v>
      </c>
      <c r="J20" s="971">
        <f>transport!I14</f>
        <v>0</v>
      </c>
      <c r="K20" s="971">
        <f>transport!J14</f>
        <v>0</v>
      </c>
      <c r="L20" s="971">
        <f>transport!K14</f>
        <v>0</v>
      </c>
      <c r="M20" s="971">
        <f>transport!L14</f>
        <v>0</v>
      </c>
      <c r="N20" s="971">
        <f>transport!M14</f>
        <v>15578.299526600656</v>
      </c>
      <c r="O20" s="971">
        <f>transport!N14</f>
        <v>0</v>
      </c>
      <c r="P20" s="971">
        <f>transport!O14</f>
        <v>0</v>
      </c>
      <c r="Q20" s="972">
        <f>transport!P14</f>
        <v>0</v>
      </c>
      <c r="R20" s="666">
        <f>SUM(C20:Q20)</f>
        <v>298733.8597702604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135.09444849106296</v>
      </c>
      <c r="D22" s="778">
        <f t="shared" ref="D22:R22" si="1">SUM(D18:D21)</f>
        <v>0</v>
      </c>
      <c r="E22" s="778">
        <f t="shared" si="1"/>
        <v>198.06363796836069</v>
      </c>
      <c r="F22" s="778">
        <f t="shared" si="1"/>
        <v>349.35217192071218</v>
      </c>
      <c r="G22" s="778">
        <f t="shared" si="1"/>
        <v>0</v>
      </c>
      <c r="H22" s="778">
        <f t="shared" si="1"/>
        <v>252022.85923587249</v>
      </c>
      <c r="I22" s="778">
        <f t="shared" si="1"/>
        <v>31954.293603855192</v>
      </c>
      <c r="J22" s="778">
        <f t="shared" si="1"/>
        <v>0</v>
      </c>
      <c r="K22" s="778">
        <f t="shared" si="1"/>
        <v>0</v>
      </c>
      <c r="L22" s="778">
        <f t="shared" si="1"/>
        <v>0</v>
      </c>
      <c r="M22" s="778">
        <f t="shared" si="1"/>
        <v>0</v>
      </c>
      <c r="N22" s="778">
        <f t="shared" si="1"/>
        <v>15664.003962952827</v>
      </c>
      <c r="O22" s="778">
        <f t="shared" si="1"/>
        <v>0</v>
      </c>
      <c r="P22" s="778">
        <f t="shared" si="1"/>
        <v>0</v>
      </c>
      <c r="Q22" s="778">
        <f t="shared" si="1"/>
        <v>0</v>
      </c>
      <c r="R22" s="778">
        <f t="shared" si="1"/>
        <v>300323.66706106067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533.64610184881201</v>
      </c>
      <c r="D24" s="971">
        <f>+landbouw!C8</f>
        <v>0</v>
      </c>
      <c r="E24" s="971">
        <f>+landbouw!D8</f>
        <v>2671.21953846</v>
      </c>
      <c r="F24" s="971">
        <f>+landbouw!E8</f>
        <v>15.685488876662134</v>
      </c>
      <c r="G24" s="971">
        <f>+landbouw!F8</f>
        <v>2223.1408235803792</v>
      </c>
      <c r="H24" s="971">
        <f>+landbouw!G8</f>
        <v>0</v>
      </c>
      <c r="I24" s="971">
        <f>+landbouw!H8</f>
        <v>0</v>
      </c>
      <c r="J24" s="971">
        <f>+landbouw!I8</f>
        <v>0</v>
      </c>
      <c r="K24" s="971">
        <f>+landbouw!J8</f>
        <v>77.313859976672262</v>
      </c>
      <c r="L24" s="971">
        <f>+landbouw!K8</f>
        <v>0</v>
      </c>
      <c r="M24" s="971">
        <f>+landbouw!L8</f>
        <v>0</v>
      </c>
      <c r="N24" s="971">
        <f>+landbouw!M8</f>
        <v>0</v>
      </c>
      <c r="O24" s="971">
        <f>+landbouw!N8</f>
        <v>0</v>
      </c>
      <c r="P24" s="971">
        <f>+landbouw!O8</f>
        <v>0</v>
      </c>
      <c r="Q24" s="972">
        <f>+landbouw!P8</f>
        <v>0</v>
      </c>
      <c r="R24" s="666">
        <f>SUM(C24:Q24)</f>
        <v>5521.0058127425264</v>
      </c>
      <c r="S24" s="67"/>
    </row>
    <row r="25" spans="1:19" s="439" customFormat="1" ht="15" thickBot="1">
      <c r="A25" s="797" t="s">
        <v>802</v>
      </c>
      <c r="B25" s="974"/>
      <c r="C25" s="975">
        <f>IF(Onbekend_ele_kWh="---",0,Onbekend_ele_kWh)/1000+IF(REST_rest_ele_kWh="---",0,REST_rest_ele_kWh)/1000</f>
        <v>831.71007308597802</v>
      </c>
      <c r="D25" s="975"/>
      <c r="E25" s="975">
        <f>IF(onbekend_gas_kWh="---",0,onbekend_gas_kWh)/1000+IF(REST_rest_gas_kWh="---",0,REST_rest_gas_kWh)/1000</f>
        <v>1711.5656999999999</v>
      </c>
      <c r="F25" s="975"/>
      <c r="G25" s="975"/>
      <c r="H25" s="975"/>
      <c r="I25" s="975"/>
      <c r="J25" s="975"/>
      <c r="K25" s="975"/>
      <c r="L25" s="975"/>
      <c r="M25" s="975"/>
      <c r="N25" s="975"/>
      <c r="O25" s="975"/>
      <c r="P25" s="975"/>
      <c r="Q25" s="976"/>
      <c r="R25" s="666">
        <f>SUM(C25:Q25)</f>
        <v>2543.275773085978</v>
      </c>
      <c r="S25" s="67"/>
    </row>
    <row r="26" spans="1:19" s="439" customFormat="1" ht="15.75" thickBot="1">
      <c r="A26" s="671" t="s">
        <v>803</v>
      </c>
      <c r="B26" s="783"/>
      <c r="C26" s="778">
        <f>SUM(C24:C25)</f>
        <v>1365.35617493479</v>
      </c>
      <c r="D26" s="778">
        <f t="shared" ref="D26:R26" si="2">SUM(D24:D25)</f>
        <v>0</v>
      </c>
      <c r="E26" s="778">
        <f t="shared" si="2"/>
        <v>4382.7852384600001</v>
      </c>
      <c r="F26" s="778">
        <f t="shared" si="2"/>
        <v>15.685488876662134</v>
      </c>
      <c r="G26" s="778">
        <f t="shared" si="2"/>
        <v>2223.1408235803792</v>
      </c>
      <c r="H26" s="778">
        <f t="shared" si="2"/>
        <v>0</v>
      </c>
      <c r="I26" s="778">
        <f t="shared" si="2"/>
        <v>0</v>
      </c>
      <c r="J26" s="778">
        <f t="shared" si="2"/>
        <v>0</v>
      </c>
      <c r="K26" s="778">
        <f t="shared" si="2"/>
        <v>77.313859976672262</v>
      </c>
      <c r="L26" s="778">
        <f t="shared" si="2"/>
        <v>0</v>
      </c>
      <c r="M26" s="778">
        <f t="shared" si="2"/>
        <v>0</v>
      </c>
      <c r="N26" s="778">
        <f t="shared" si="2"/>
        <v>0</v>
      </c>
      <c r="O26" s="778">
        <f t="shared" si="2"/>
        <v>0</v>
      </c>
      <c r="P26" s="778">
        <f t="shared" si="2"/>
        <v>0</v>
      </c>
      <c r="Q26" s="778">
        <f t="shared" si="2"/>
        <v>0</v>
      </c>
      <c r="R26" s="778">
        <f t="shared" si="2"/>
        <v>8064.2815858285048</v>
      </c>
      <c r="S26" s="67"/>
    </row>
    <row r="27" spans="1:19" s="439" customFormat="1" ht="17.25" thickTop="1" thickBot="1">
      <c r="A27" s="672" t="s">
        <v>109</v>
      </c>
      <c r="B27" s="771"/>
      <c r="C27" s="673">
        <f ca="1">C22+C16+C26</f>
        <v>78037.436973261138</v>
      </c>
      <c r="D27" s="673">
        <f t="shared" ref="D27:R27" ca="1" si="3">D22+D16+D26</f>
        <v>0</v>
      </c>
      <c r="E27" s="673">
        <f t="shared" ca="1" si="3"/>
        <v>133449.35848668645</v>
      </c>
      <c r="F27" s="673">
        <f t="shared" si="3"/>
        <v>2790.45902299298</v>
      </c>
      <c r="G27" s="673">
        <f t="shared" ca="1" si="3"/>
        <v>31139.886012472554</v>
      </c>
      <c r="H27" s="673">
        <f t="shared" si="3"/>
        <v>252022.85923587249</v>
      </c>
      <c r="I27" s="673">
        <f t="shared" si="3"/>
        <v>31954.293603855192</v>
      </c>
      <c r="J27" s="673">
        <f t="shared" si="3"/>
        <v>0</v>
      </c>
      <c r="K27" s="673">
        <f t="shared" si="3"/>
        <v>216.74785805446226</v>
      </c>
      <c r="L27" s="673">
        <f t="shared" si="3"/>
        <v>0</v>
      </c>
      <c r="M27" s="673">
        <f t="shared" ca="1" si="3"/>
        <v>0</v>
      </c>
      <c r="N27" s="673">
        <f t="shared" si="3"/>
        <v>15664.003962952827</v>
      </c>
      <c r="O27" s="673">
        <f t="shared" ca="1" si="3"/>
        <v>11906.473552508383</v>
      </c>
      <c r="P27" s="673">
        <f t="shared" si="3"/>
        <v>115.68666666666667</v>
      </c>
      <c r="Q27" s="673">
        <f t="shared" si="3"/>
        <v>533.86666666666667</v>
      </c>
      <c r="R27" s="673">
        <f t="shared" ca="1" si="3"/>
        <v>557831.07204198989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7267.5174799703436</v>
      </c>
      <c r="D40" s="971">
        <f ca="1">tertiair!C20</f>
        <v>0</v>
      </c>
      <c r="E40" s="971">
        <f ca="1">tertiair!D20</f>
        <v>7702.0418521200017</v>
      </c>
      <c r="F40" s="971">
        <f>tertiair!E20</f>
        <v>123.46477127955886</v>
      </c>
      <c r="G40" s="971">
        <f ca="1">tertiair!F20</f>
        <v>1560.4690788732269</v>
      </c>
      <c r="H40" s="971">
        <f>tertiair!G20</f>
        <v>0</v>
      </c>
      <c r="I40" s="971">
        <f>tertiair!H20</f>
        <v>0</v>
      </c>
      <c r="J40" s="971">
        <f>tertiair!I20</f>
        <v>0</v>
      </c>
      <c r="K40" s="971">
        <f>tertiair!J20</f>
        <v>2.1216806356234172E-2</v>
      </c>
      <c r="L40" s="971">
        <f>tertiair!K20</f>
        <v>0</v>
      </c>
      <c r="M40" s="971">
        <f ca="1">tertiair!L20</f>
        <v>0</v>
      </c>
      <c r="N40" s="971">
        <f>tertiair!M20</f>
        <v>0</v>
      </c>
      <c r="O40" s="971">
        <f ca="1">tertiair!N20</f>
        <v>0</v>
      </c>
      <c r="P40" s="971">
        <f>tertiair!O20</f>
        <v>0</v>
      </c>
      <c r="Q40" s="740">
        <f>tertiair!P20</f>
        <v>0</v>
      </c>
      <c r="R40" s="816">
        <f t="shared" ca="1" si="4"/>
        <v>16653.514399049487</v>
      </c>
    </row>
    <row r="41" spans="1:18">
      <c r="A41" s="788" t="s">
        <v>213</v>
      </c>
      <c r="B41" s="795"/>
      <c r="C41" s="971">
        <f ca="1">huishoudens!B12</f>
        <v>5126.6663161548722</v>
      </c>
      <c r="D41" s="971">
        <f ca="1">huishoudens!C12</f>
        <v>0</v>
      </c>
      <c r="E41" s="971">
        <f>huishoudens!D12</f>
        <v>13936.71304620322</v>
      </c>
      <c r="F41" s="971">
        <f>huishoudens!E12</f>
        <v>171.88147717127117</v>
      </c>
      <c r="G41" s="971">
        <f>huishoudens!F12</f>
        <v>5122.0552742906575</v>
      </c>
      <c r="H41" s="971">
        <f>huishoudens!G12</f>
        <v>0</v>
      </c>
      <c r="I41" s="971">
        <f>huishoudens!H12</f>
        <v>0</v>
      </c>
      <c r="J41" s="971">
        <f>huishoudens!I12</f>
        <v>0</v>
      </c>
      <c r="K41" s="971">
        <f>huishoudens!J12</f>
        <v>32.677720550346052</v>
      </c>
      <c r="L41" s="971">
        <f>huishoudens!K12</f>
        <v>0</v>
      </c>
      <c r="M41" s="971">
        <f>huishoudens!L12</f>
        <v>0</v>
      </c>
      <c r="N41" s="971">
        <f>huishoudens!M12</f>
        <v>0</v>
      </c>
      <c r="O41" s="971">
        <f>huishoudens!N12</f>
        <v>0</v>
      </c>
      <c r="P41" s="971">
        <f>huishoudens!O12</f>
        <v>0</v>
      </c>
      <c r="Q41" s="740">
        <f>huishoudens!P12</f>
        <v>0</v>
      </c>
      <c r="R41" s="816">
        <f t="shared" ca="1" si="4"/>
        <v>24389.993834370369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3744.495102953445</v>
      </c>
      <c r="D43" s="971">
        <f ca="1">industrie!C22</f>
        <v>0</v>
      </c>
      <c r="E43" s="971">
        <f>industrie!D22</f>
        <v>4392.6840429489166</v>
      </c>
      <c r="F43" s="971">
        <f>industrie!E22</f>
        <v>255.22440076757263</v>
      </c>
      <c r="G43" s="971">
        <f>industrie!F22</f>
        <v>1038.2466122703263</v>
      </c>
      <c r="H43" s="971">
        <f>industrie!G22</f>
        <v>0</v>
      </c>
      <c r="I43" s="971">
        <f>industrie!H22</f>
        <v>0</v>
      </c>
      <c r="J43" s="971">
        <f>industrie!I22</f>
        <v>0</v>
      </c>
      <c r="K43" s="971">
        <f>industrie!J22</f>
        <v>16.660697962835368</v>
      </c>
      <c r="L43" s="971">
        <f>industrie!K22</f>
        <v>0</v>
      </c>
      <c r="M43" s="971">
        <f>industrie!L22</f>
        <v>0</v>
      </c>
      <c r="N43" s="971">
        <f>industrie!M22</f>
        <v>0</v>
      </c>
      <c r="O43" s="971">
        <f>industrie!N22</f>
        <v>0</v>
      </c>
      <c r="P43" s="971">
        <f>industrie!O22</f>
        <v>0</v>
      </c>
      <c r="Q43" s="740">
        <f>industrie!P22</f>
        <v>0</v>
      </c>
      <c r="R43" s="815">
        <f t="shared" ca="1" si="4"/>
        <v>9447.3108569030956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16138.678899078663</v>
      </c>
      <c r="D46" s="698">
        <f t="shared" ref="D46:Q46" ca="1" si="5">SUM(D39:D45)</f>
        <v>0</v>
      </c>
      <c r="E46" s="698">
        <f t="shared" ca="1" si="5"/>
        <v>26031.438941272139</v>
      </c>
      <c r="F46" s="698">
        <f t="shared" si="5"/>
        <v>550.57064921840265</v>
      </c>
      <c r="G46" s="698">
        <f t="shared" ca="1" si="5"/>
        <v>7720.7709654342107</v>
      </c>
      <c r="H46" s="698">
        <f t="shared" si="5"/>
        <v>0</v>
      </c>
      <c r="I46" s="698">
        <f t="shared" si="5"/>
        <v>0</v>
      </c>
      <c r="J46" s="698">
        <f t="shared" si="5"/>
        <v>0</v>
      </c>
      <c r="K46" s="698">
        <f t="shared" si="5"/>
        <v>49.359635319537659</v>
      </c>
      <c r="L46" s="698">
        <f t="shared" si="5"/>
        <v>0</v>
      </c>
      <c r="M46" s="698">
        <f t="shared" ca="1" si="5"/>
        <v>0</v>
      </c>
      <c r="N46" s="698">
        <f t="shared" si="5"/>
        <v>0</v>
      </c>
      <c r="O46" s="698">
        <f t="shared" ca="1" si="5"/>
        <v>0</v>
      </c>
      <c r="P46" s="698">
        <f t="shared" si="5"/>
        <v>0</v>
      </c>
      <c r="Q46" s="698">
        <f t="shared" si="5"/>
        <v>0</v>
      </c>
      <c r="R46" s="698">
        <f ca="1">SUM(R39:R45)</f>
        <v>50490.819090322948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3.3406008866347898</v>
      </c>
      <c r="D49" s="971">
        <f ca="1">transport!C58</f>
        <v>0</v>
      </c>
      <c r="E49" s="971">
        <f>transport!D58</f>
        <v>0</v>
      </c>
      <c r="F49" s="971">
        <f>transport!E58</f>
        <v>0</v>
      </c>
      <c r="G49" s="971">
        <f>transport!F58</f>
        <v>0</v>
      </c>
      <c r="H49" s="971">
        <f>transport!G58</f>
        <v>397.36547321116416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400.70607409779893</v>
      </c>
    </row>
    <row r="50" spans="1:18">
      <c r="A50" s="791" t="s">
        <v>295</v>
      </c>
      <c r="B50" s="801"/>
      <c r="C50" s="669">
        <f ca="1">transport!B18</f>
        <v>25.145573304754425</v>
      </c>
      <c r="D50" s="669">
        <f>transport!C18</f>
        <v>0</v>
      </c>
      <c r="E50" s="669">
        <f>transport!D18</f>
        <v>40.008854869608861</v>
      </c>
      <c r="F50" s="669">
        <f>transport!E18</f>
        <v>79.302943026001671</v>
      </c>
      <c r="G50" s="669">
        <f>transport!F18</f>
        <v>0</v>
      </c>
      <c r="H50" s="669">
        <f>transport!G18</f>
        <v>66892.737942766791</v>
      </c>
      <c r="I50" s="669">
        <f>transport!H18</f>
        <v>7956.619107359943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74993.814421327101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28.486174191389214</v>
      </c>
      <c r="D52" s="698">
        <f t="shared" ref="D52:Q52" ca="1" si="6">SUM(D48:D51)</f>
        <v>0</v>
      </c>
      <c r="E52" s="698">
        <f t="shared" si="6"/>
        <v>40.008854869608861</v>
      </c>
      <c r="F52" s="698">
        <f t="shared" si="6"/>
        <v>79.302943026001671</v>
      </c>
      <c r="G52" s="698">
        <f t="shared" si="6"/>
        <v>0</v>
      </c>
      <c r="H52" s="698">
        <f t="shared" si="6"/>
        <v>67290.103415977952</v>
      </c>
      <c r="I52" s="698">
        <f t="shared" si="6"/>
        <v>7956.619107359943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75394.520495424906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112.5252442540356</v>
      </c>
      <c r="D54" s="669">
        <f ca="1">+landbouw!C12</f>
        <v>0</v>
      </c>
      <c r="E54" s="669">
        <f>+landbouw!D12</f>
        <v>539.58634676892007</v>
      </c>
      <c r="F54" s="669">
        <f>+landbouw!E12</f>
        <v>3.5606059750023045</v>
      </c>
      <c r="G54" s="669">
        <f>+landbouw!F12</f>
        <v>593.57859989596125</v>
      </c>
      <c r="H54" s="669">
        <f>+landbouw!G12</f>
        <v>0</v>
      </c>
      <c r="I54" s="669">
        <f>+landbouw!H12</f>
        <v>0</v>
      </c>
      <c r="J54" s="669">
        <f>+landbouw!I12</f>
        <v>0</v>
      </c>
      <c r="K54" s="669">
        <f>+landbouw!J12</f>
        <v>27.369106431741979</v>
      </c>
      <c r="L54" s="669">
        <f>+landbouw!K12</f>
        <v>0</v>
      </c>
      <c r="M54" s="669">
        <f>+landbouw!L12</f>
        <v>0</v>
      </c>
      <c r="N54" s="669">
        <f>+landbouw!M12</f>
        <v>0</v>
      </c>
      <c r="O54" s="669">
        <f>+landbouw!N12</f>
        <v>0</v>
      </c>
      <c r="P54" s="669">
        <f>+landbouw!O12</f>
        <v>0</v>
      </c>
      <c r="Q54" s="670">
        <f>+landbouw!P12</f>
        <v>0</v>
      </c>
      <c r="R54" s="697">
        <f ca="1">SUM(C54:Q54)</f>
        <v>1276.6199033256612</v>
      </c>
    </row>
    <row r="55" spans="1:18" ht="15" thickBot="1">
      <c r="A55" s="791" t="s">
        <v>802</v>
      </c>
      <c r="B55" s="801"/>
      <c r="C55" s="669">
        <f ca="1">C25*'EF ele_warmte'!B12</f>
        <v>175.37536355705663</v>
      </c>
      <c r="D55" s="669"/>
      <c r="E55" s="669">
        <f>E25*EF_CO2_aardgas</f>
        <v>345.73627140000002</v>
      </c>
      <c r="F55" s="669"/>
      <c r="G55" s="669"/>
      <c r="H55" s="669"/>
      <c r="I55" s="669"/>
      <c r="J55" s="669"/>
      <c r="K55" s="669"/>
      <c r="L55" s="669"/>
      <c r="M55" s="669"/>
      <c r="N55" s="669"/>
      <c r="O55" s="669"/>
      <c r="P55" s="669"/>
      <c r="Q55" s="670"/>
      <c r="R55" s="697">
        <f ca="1">SUM(C55:Q55)</f>
        <v>521.11163495705659</v>
      </c>
    </row>
    <row r="56" spans="1:18" ht="15.75" thickBot="1">
      <c r="A56" s="789" t="s">
        <v>803</v>
      </c>
      <c r="B56" s="802"/>
      <c r="C56" s="698">
        <f ca="1">SUM(C54:C55)</f>
        <v>287.90060781109224</v>
      </c>
      <c r="D56" s="698">
        <f t="shared" ref="D56:Q56" ca="1" si="7">SUM(D54:D55)</f>
        <v>0</v>
      </c>
      <c r="E56" s="698">
        <f t="shared" si="7"/>
        <v>885.32261816892014</v>
      </c>
      <c r="F56" s="698">
        <f t="shared" si="7"/>
        <v>3.5606059750023045</v>
      </c>
      <c r="G56" s="698">
        <f t="shared" si="7"/>
        <v>593.57859989596125</v>
      </c>
      <c r="H56" s="698">
        <f t="shared" si="7"/>
        <v>0</v>
      </c>
      <c r="I56" s="698">
        <f t="shared" si="7"/>
        <v>0</v>
      </c>
      <c r="J56" s="698">
        <f t="shared" si="7"/>
        <v>0</v>
      </c>
      <c r="K56" s="698">
        <f t="shared" si="7"/>
        <v>27.369106431741979</v>
      </c>
      <c r="L56" s="698">
        <f t="shared" si="7"/>
        <v>0</v>
      </c>
      <c r="M56" s="698">
        <f t="shared" si="7"/>
        <v>0</v>
      </c>
      <c r="N56" s="698">
        <f t="shared" si="7"/>
        <v>0</v>
      </c>
      <c r="O56" s="698">
        <f t="shared" si="7"/>
        <v>0</v>
      </c>
      <c r="P56" s="698">
        <f t="shared" si="7"/>
        <v>0</v>
      </c>
      <c r="Q56" s="699">
        <f t="shared" si="7"/>
        <v>0</v>
      </c>
      <c r="R56" s="700">
        <f ca="1">SUM(R54:R55)</f>
        <v>1797.7315382827178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16455.065681081145</v>
      </c>
      <c r="D61" s="706">
        <f t="shared" ref="D61:Q61" ca="1" si="8">D46+D52+D56</f>
        <v>0</v>
      </c>
      <c r="E61" s="706">
        <f t="shared" ca="1" si="8"/>
        <v>26956.770414310668</v>
      </c>
      <c r="F61" s="706">
        <f t="shared" si="8"/>
        <v>633.43419821940665</v>
      </c>
      <c r="G61" s="706">
        <f t="shared" ca="1" si="8"/>
        <v>8314.3495653301725</v>
      </c>
      <c r="H61" s="706">
        <f t="shared" si="8"/>
        <v>67290.103415977952</v>
      </c>
      <c r="I61" s="706">
        <f t="shared" si="8"/>
        <v>7956.619107359943</v>
      </c>
      <c r="J61" s="706">
        <f t="shared" si="8"/>
        <v>0</v>
      </c>
      <c r="K61" s="706">
        <f t="shared" si="8"/>
        <v>76.728741751279642</v>
      </c>
      <c r="L61" s="706">
        <f t="shared" si="8"/>
        <v>0</v>
      </c>
      <c r="M61" s="706">
        <f t="shared" ca="1" si="8"/>
        <v>0</v>
      </c>
      <c r="N61" s="706">
        <f t="shared" si="8"/>
        <v>0</v>
      </c>
      <c r="O61" s="706">
        <f t="shared" ca="1" si="8"/>
        <v>0</v>
      </c>
      <c r="P61" s="706">
        <f t="shared" si="8"/>
        <v>0</v>
      </c>
      <c r="Q61" s="706">
        <f t="shared" si="8"/>
        <v>0</v>
      </c>
      <c r="R61" s="706">
        <f ca="1">R46+R52+R56</f>
        <v>127683.07112403058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0.2108611753448455</v>
      </c>
      <c r="D63" s="747">
        <f t="shared" ca="1" si="9"/>
        <v>0</v>
      </c>
      <c r="E63" s="982">
        <f t="shared" ca="1" si="9"/>
        <v>0.20200000000000004</v>
      </c>
      <c r="F63" s="747">
        <f t="shared" si="9"/>
        <v>0.22700000000000006</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3580.126199138328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3580.126199138328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24312.993170841655</v>
      </c>
      <c r="C4" s="443">
        <f>huishoudens!C8</f>
        <v>0</v>
      </c>
      <c r="D4" s="443">
        <f>huishoudens!D8</f>
        <v>68993.628941600095</v>
      </c>
      <c r="E4" s="443">
        <f>huishoudens!E8</f>
        <v>757.18712410251612</v>
      </c>
      <c r="F4" s="443">
        <f>huishoudens!F8</f>
        <v>19183.727619066132</v>
      </c>
      <c r="G4" s="443">
        <f>huishoudens!G8</f>
        <v>0</v>
      </c>
      <c r="H4" s="443">
        <f>huishoudens!H8</f>
        <v>0</v>
      </c>
      <c r="I4" s="443">
        <f>huishoudens!I8</f>
        <v>0</v>
      </c>
      <c r="J4" s="443">
        <f>huishoudens!J8</f>
        <v>92.309945057474735</v>
      </c>
      <c r="K4" s="443">
        <f>huishoudens!K8</f>
        <v>0</v>
      </c>
      <c r="L4" s="443">
        <f>huishoudens!L8</f>
        <v>0</v>
      </c>
      <c r="M4" s="443">
        <f>huishoudens!M8</f>
        <v>0</v>
      </c>
      <c r="N4" s="443">
        <f>huishoudens!N8</f>
        <v>8181.903621072498</v>
      </c>
      <c r="O4" s="443">
        <f>huishoudens!O8</f>
        <v>115.68666666666667</v>
      </c>
      <c r="P4" s="444">
        <f>huishoudens!P8</f>
        <v>495.73333333333335</v>
      </c>
      <c r="Q4" s="445">
        <f>SUM(B4:P4)</f>
        <v>122133.17042174039</v>
      </c>
    </row>
    <row r="5" spans="1:17">
      <c r="A5" s="442" t="s">
        <v>149</v>
      </c>
      <c r="B5" s="443">
        <f ca="1">tertiair!B16</f>
        <v>33528.312179491149</v>
      </c>
      <c r="C5" s="443">
        <f ca="1">tertiair!C16</f>
        <v>0</v>
      </c>
      <c r="D5" s="443">
        <f ca="1">tertiair!D16</f>
        <v>38128.920060000004</v>
      </c>
      <c r="E5" s="443">
        <f>tertiair!E16</f>
        <v>543.89767083506104</v>
      </c>
      <c r="F5" s="443">
        <f ca="1">tertiair!F16</f>
        <v>5844.4534789259433</v>
      </c>
      <c r="G5" s="443">
        <f>tertiair!G16</f>
        <v>0</v>
      </c>
      <c r="H5" s="443">
        <f>tertiair!H16</f>
        <v>0</v>
      </c>
      <c r="I5" s="443">
        <f>tertiair!I16</f>
        <v>0</v>
      </c>
      <c r="J5" s="443">
        <f>tertiair!J16</f>
        <v>5.9934481232299927E-2</v>
      </c>
      <c r="K5" s="443">
        <f>tertiair!K16</f>
        <v>0</v>
      </c>
      <c r="L5" s="443">
        <f ca="1">tertiair!L16</f>
        <v>0</v>
      </c>
      <c r="M5" s="443">
        <f>tertiair!M16</f>
        <v>0</v>
      </c>
      <c r="N5" s="443">
        <f ca="1">tertiair!N16</f>
        <v>2384.2601119862202</v>
      </c>
      <c r="O5" s="443">
        <f>tertiair!O16</f>
        <v>0</v>
      </c>
      <c r="P5" s="444">
        <f>tertiair!P16</f>
        <v>38.133333333333333</v>
      </c>
      <c r="Q5" s="442">
        <f t="shared" ref="Q5:Q14" ca="1" si="0">SUM(B5:P5)</f>
        <v>80468.036769052967</v>
      </c>
    </row>
    <row r="6" spans="1:17">
      <c r="A6" s="442" t="s">
        <v>187</v>
      </c>
      <c r="B6" s="443">
        <f>'openbare verlichting'!B8</f>
        <v>937.57500000000005</v>
      </c>
      <c r="C6" s="443"/>
      <c r="D6" s="443"/>
      <c r="E6" s="443"/>
      <c r="F6" s="443"/>
      <c r="G6" s="443"/>
      <c r="H6" s="443"/>
      <c r="I6" s="443"/>
      <c r="J6" s="443"/>
      <c r="K6" s="443"/>
      <c r="L6" s="443"/>
      <c r="M6" s="443"/>
      <c r="N6" s="443"/>
      <c r="O6" s="443"/>
      <c r="P6" s="444"/>
      <c r="Q6" s="442">
        <f t="shared" si="0"/>
        <v>937.57500000000005</v>
      </c>
    </row>
    <row r="7" spans="1:17">
      <c r="A7" s="442" t="s">
        <v>105</v>
      </c>
      <c r="B7" s="443">
        <f>landbouw!B8</f>
        <v>533.64610184881201</v>
      </c>
      <c r="C7" s="443">
        <f>landbouw!C8</f>
        <v>0</v>
      </c>
      <c r="D7" s="443">
        <f>landbouw!D8</f>
        <v>2671.21953846</v>
      </c>
      <c r="E7" s="443">
        <f>landbouw!E8</f>
        <v>15.685488876662134</v>
      </c>
      <c r="F7" s="443">
        <f>landbouw!F8</f>
        <v>2223.1408235803792</v>
      </c>
      <c r="G7" s="443">
        <f>landbouw!G8</f>
        <v>0</v>
      </c>
      <c r="H7" s="443">
        <f>landbouw!H8</f>
        <v>0</v>
      </c>
      <c r="I7" s="443">
        <f>landbouw!I8</f>
        <v>0</v>
      </c>
      <c r="J7" s="443">
        <f>landbouw!J8</f>
        <v>77.313859976672262</v>
      </c>
      <c r="K7" s="443">
        <f>landbouw!K8</f>
        <v>0</v>
      </c>
      <c r="L7" s="443">
        <f>landbouw!L8</f>
        <v>0</v>
      </c>
      <c r="M7" s="443">
        <f>landbouw!M8</f>
        <v>0</v>
      </c>
      <c r="N7" s="443">
        <f>landbouw!N8</f>
        <v>0</v>
      </c>
      <c r="O7" s="443">
        <f>landbouw!O8</f>
        <v>0</v>
      </c>
      <c r="P7" s="444">
        <f>landbouw!P8</f>
        <v>0</v>
      </c>
      <c r="Q7" s="442">
        <f t="shared" si="0"/>
        <v>5521.0058127425264</v>
      </c>
    </row>
    <row r="8" spans="1:17">
      <c r="A8" s="442" t="s">
        <v>621</v>
      </c>
      <c r="B8" s="443">
        <f>industrie!B18</f>
        <v>17758.105999502484</v>
      </c>
      <c r="C8" s="443">
        <f>industrie!C18</f>
        <v>0</v>
      </c>
      <c r="D8" s="443">
        <f>industrie!D18</f>
        <v>21745.960608658002</v>
      </c>
      <c r="E8" s="443">
        <f>industrie!E18</f>
        <v>1124.3365672580292</v>
      </c>
      <c r="F8" s="443">
        <f>industrie!F18</f>
        <v>3888.5640909000986</v>
      </c>
      <c r="G8" s="443">
        <f>industrie!G18</f>
        <v>0</v>
      </c>
      <c r="H8" s="443">
        <f>industrie!H18</f>
        <v>0</v>
      </c>
      <c r="I8" s="443">
        <f>industrie!I18</f>
        <v>0</v>
      </c>
      <c r="J8" s="443">
        <f>industrie!J18</f>
        <v>47.064118539082962</v>
      </c>
      <c r="K8" s="443">
        <f>industrie!K18</f>
        <v>0</v>
      </c>
      <c r="L8" s="443">
        <f>industrie!L18</f>
        <v>0</v>
      </c>
      <c r="M8" s="443">
        <f>industrie!M18</f>
        <v>0</v>
      </c>
      <c r="N8" s="443">
        <f>industrie!N18</f>
        <v>1340.3098194496645</v>
      </c>
      <c r="O8" s="443">
        <f>industrie!O18</f>
        <v>0</v>
      </c>
      <c r="P8" s="444">
        <f>industrie!P18</f>
        <v>0</v>
      </c>
      <c r="Q8" s="442">
        <f t="shared" si="0"/>
        <v>45904.341204307362</v>
      </c>
    </row>
    <row r="9" spans="1:17" s="448" customFormat="1">
      <c r="A9" s="446" t="s">
        <v>547</v>
      </c>
      <c r="B9" s="447">
        <f>transport!B14</f>
        <v>119.2517933357385</v>
      </c>
      <c r="C9" s="447">
        <f>transport!C14</f>
        <v>0</v>
      </c>
      <c r="D9" s="447">
        <f>transport!D14</f>
        <v>198.06363796836069</v>
      </c>
      <c r="E9" s="447">
        <f>transport!E14</f>
        <v>349.35217192071218</v>
      </c>
      <c r="F9" s="447">
        <f>transport!F14</f>
        <v>0</v>
      </c>
      <c r="G9" s="447">
        <f>transport!G14</f>
        <v>250534.59903657975</v>
      </c>
      <c r="H9" s="447">
        <f>transport!H14</f>
        <v>31954.293603855192</v>
      </c>
      <c r="I9" s="447">
        <f>transport!I14</f>
        <v>0</v>
      </c>
      <c r="J9" s="447">
        <f>transport!J14</f>
        <v>0</v>
      </c>
      <c r="K9" s="447">
        <f>transport!K14</f>
        <v>0</v>
      </c>
      <c r="L9" s="447">
        <f>transport!L14</f>
        <v>0</v>
      </c>
      <c r="M9" s="447">
        <f>transport!M14</f>
        <v>15578.299526600656</v>
      </c>
      <c r="N9" s="447">
        <f>transport!N14</f>
        <v>0</v>
      </c>
      <c r="O9" s="447">
        <f>transport!O14</f>
        <v>0</v>
      </c>
      <c r="P9" s="447">
        <f>transport!P14</f>
        <v>0</v>
      </c>
      <c r="Q9" s="446">
        <f>SUM(B9:P9)</f>
        <v>298733.8597702604</v>
      </c>
    </row>
    <row r="10" spans="1:17">
      <c r="A10" s="442" t="s">
        <v>537</v>
      </c>
      <c r="B10" s="443">
        <f>transport!B54</f>
        <v>15.842655155324456</v>
      </c>
      <c r="C10" s="443">
        <f>transport!C54</f>
        <v>0</v>
      </c>
      <c r="D10" s="443">
        <f>transport!D54</f>
        <v>0</v>
      </c>
      <c r="E10" s="443">
        <f>transport!E54</f>
        <v>0</v>
      </c>
      <c r="F10" s="443">
        <f>transport!F54</f>
        <v>0</v>
      </c>
      <c r="G10" s="443">
        <f>transport!G54</f>
        <v>1488.2601992927496</v>
      </c>
      <c r="H10" s="443">
        <f>transport!H54</f>
        <v>0</v>
      </c>
      <c r="I10" s="443">
        <f>transport!I54</f>
        <v>0</v>
      </c>
      <c r="J10" s="443">
        <f>transport!J54</f>
        <v>0</v>
      </c>
      <c r="K10" s="443">
        <f>transport!K54</f>
        <v>0</v>
      </c>
      <c r="L10" s="443">
        <f>transport!L54</f>
        <v>0</v>
      </c>
      <c r="M10" s="443">
        <f>transport!M54</f>
        <v>85.704436352170262</v>
      </c>
      <c r="N10" s="443">
        <f>transport!N54</f>
        <v>0</v>
      </c>
      <c r="O10" s="443">
        <f>transport!O54</f>
        <v>0</v>
      </c>
      <c r="P10" s="444">
        <f>transport!P54</f>
        <v>0</v>
      </c>
      <c r="Q10" s="442">
        <f t="shared" si="0"/>
        <v>1589.8072908002443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831.71007308597802</v>
      </c>
      <c r="C14" s="450"/>
      <c r="D14" s="450">
        <f>'SEAP template'!E25</f>
        <v>1711.5656999999999</v>
      </c>
      <c r="E14" s="450"/>
      <c r="F14" s="450"/>
      <c r="G14" s="450"/>
      <c r="H14" s="450"/>
      <c r="I14" s="450"/>
      <c r="J14" s="450"/>
      <c r="K14" s="450"/>
      <c r="L14" s="450"/>
      <c r="M14" s="450"/>
      <c r="N14" s="450"/>
      <c r="O14" s="450"/>
      <c r="P14" s="451"/>
      <c r="Q14" s="442">
        <f t="shared" si="0"/>
        <v>2543.275773085978</v>
      </c>
    </row>
    <row r="15" spans="1:17" s="452" customFormat="1">
      <c r="A15" s="997" t="s">
        <v>541</v>
      </c>
      <c r="B15" s="945">
        <f ca="1">SUM(B4:B14)</f>
        <v>78037.436973261152</v>
      </c>
      <c r="C15" s="945">
        <f t="shared" ref="C15:Q15" ca="1" si="1">SUM(C4:C14)</f>
        <v>0</v>
      </c>
      <c r="D15" s="945">
        <f t="shared" ca="1" si="1"/>
        <v>133449.35848668648</v>
      </c>
      <c r="E15" s="945">
        <f t="shared" si="1"/>
        <v>2790.45902299298</v>
      </c>
      <c r="F15" s="945">
        <f t="shared" ca="1" si="1"/>
        <v>31139.886012472554</v>
      </c>
      <c r="G15" s="945">
        <f t="shared" si="1"/>
        <v>252022.85923587249</v>
      </c>
      <c r="H15" s="945">
        <f t="shared" si="1"/>
        <v>31954.293603855192</v>
      </c>
      <c r="I15" s="945">
        <f t="shared" si="1"/>
        <v>0</v>
      </c>
      <c r="J15" s="945">
        <f t="shared" si="1"/>
        <v>216.74785805446226</v>
      </c>
      <c r="K15" s="945">
        <f t="shared" si="1"/>
        <v>0</v>
      </c>
      <c r="L15" s="945">
        <f t="shared" ca="1" si="1"/>
        <v>0</v>
      </c>
      <c r="M15" s="945">
        <f t="shared" si="1"/>
        <v>15664.003962952827</v>
      </c>
      <c r="N15" s="945">
        <f t="shared" ca="1" si="1"/>
        <v>11906.473552508383</v>
      </c>
      <c r="O15" s="945">
        <f t="shared" si="1"/>
        <v>115.68666666666667</v>
      </c>
      <c r="P15" s="945">
        <f t="shared" si="1"/>
        <v>533.86666666666667</v>
      </c>
      <c r="Q15" s="945">
        <f t="shared" ca="1" si="1"/>
        <v>557831.07204198989</v>
      </c>
    </row>
    <row r="17" spans="1:17">
      <c r="A17" s="453" t="s">
        <v>542</v>
      </c>
      <c r="B17" s="752">
        <f ca="1">huishoudens!B10</f>
        <v>0.21086117534484544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5126.6663161548722</v>
      </c>
      <c r="C22" s="443">
        <f t="shared" ref="C22:C32" ca="1" si="3">C4*$C$17</f>
        <v>0</v>
      </c>
      <c r="D22" s="443">
        <f t="shared" ref="D22:D32" si="4">D4*$D$17</f>
        <v>13936.71304620322</v>
      </c>
      <c r="E22" s="443">
        <f t="shared" ref="E22:E32" si="5">E4*$E$17</f>
        <v>171.88147717127117</v>
      </c>
      <c r="F22" s="443">
        <f t="shared" ref="F22:F32" si="6">F4*$F$17</f>
        <v>5122.0552742906575</v>
      </c>
      <c r="G22" s="443">
        <f t="shared" ref="G22:G32" si="7">G4*$G$17</f>
        <v>0</v>
      </c>
      <c r="H22" s="443">
        <f t="shared" ref="H22:H32" si="8">H4*$H$17</f>
        <v>0</v>
      </c>
      <c r="I22" s="443">
        <f t="shared" ref="I22:I32" si="9">I4*$I$17</f>
        <v>0</v>
      </c>
      <c r="J22" s="443">
        <f t="shared" ref="J22:J32" si="10">J4*$J$17</f>
        <v>32.677720550346052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24389.993834370369</v>
      </c>
    </row>
    <row r="23" spans="1:17">
      <c r="A23" s="442" t="s">
        <v>149</v>
      </c>
      <c r="B23" s="443">
        <f t="shared" ca="1" si="2"/>
        <v>7069.8193134964004</v>
      </c>
      <c r="C23" s="443">
        <f t="shared" ca="1" si="3"/>
        <v>0</v>
      </c>
      <c r="D23" s="443">
        <f t="shared" ca="1" si="4"/>
        <v>7702.0418521200017</v>
      </c>
      <c r="E23" s="443">
        <f t="shared" si="5"/>
        <v>123.46477127955886</v>
      </c>
      <c r="F23" s="443">
        <f t="shared" ca="1" si="6"/>
        <v>1560.4690788732269</v>
      </c>
      <c r="G23" s="443">
        <f t="shared" si="7"/>
        <v>0</v>
      </c>
      <c r="H23" s="443">
        <f t="shared" si="8"/>
        <v>0</v>
      </c>
      <c r="I23" s="443">
        <f t="shared" si="9"/>
        <v>0</v>
      </c>
      <c r="J23" s="443">
        <f t="shared" si="10"/>
        <v>2.1216806356234172E-2</v>
      </c>
      <c r="K23" s="443">
        <f t="shared" si="11"/>
        <v>0</v>
      </c>
      <c r="L23" s="443">
        <f t="shared" ca="1" si="12"/>
        <v>0</v>
      </c>
      <c r="M23" s="443">
        <f t="shared" si="13"/>
        <v>0</v>
      </c>
      <c r="N23" s="443">
        <f t="shared" ca="1" si="14"/>
        <v>0</v>
      </c>
      <c r="O23" s="443">
        <f t="shared" si="15"/>
        <v>0</v>
      </c>
      <c r="P23" s="444">
        <f t="shared" si="16"/>
        <v>0</v>
      </c>
      <c r="Q23" s="442">
        <f t="shared" ref="Q23:Q32" ca="1" si="17">SUM(B23:P23)</f>
        <v>16455.816232575544</v>
      </c>
    </row>
    <row r="24" spans="1:17">
      <c r="A24" s="442" t="s">
        <v>187</v>
      </c>
      <c r="B24" s="443">
        <f t="shared" ca="1" si="2"/>
        <v>197.69816647394347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197.69816647394347</v>
      </c>
    </row>
    <row r="25" spans="1:17">
      <c r="A25" s="442" t="s">
        <v>105</v>
      </c>
      <c r="B25" s="443">
        <f t="shared" ca="1" si="2"/>
        <v>112.5252442540356</v>
      </c>
      <c r="C25" s="443">
        <f t="shared" ca="1" si="3"/>
        <v>0</v>
      </c>
      <c r="D25" s="443">
        <f t="shared" si="4"/>
        <v>539.58634676892007</v>
      </c>
      <c r="E25" s="443">
        <f t="shared" si="5"/>
        <v>3.5606059750023045</v>
      </c>
      <c r="F25" s="443">
        <f t="shared" si="6"/>
        <v>593.57859989596125</v>
      </c>
      <c r="G25" s="443">
        <f t="shared" si="7"/>
        <v>0</v>
      </c>
      <c r="H25" s="443">
        <f t="shared" si="8"/>
        <v>0</v>
      </c>
      <c r="I25" s="443">
        <f t="shared" si="9"/>
        <v>0</v>
      </c>
      <c r="J25" s="443">
        <f t="shared" si="10"/>
        <v>27.369106431741979</v>
      </c>
      <c r="K25" s="443">
        <f t="shared" si="11"/>
        <v>0</v>
      </c>
      <c r="L25" s="443">
        <f t="shared" si="12"/>
        <v>0</v>
      </c>
      <c r="M25" s="443">
        <f t="shared" si="13"/>
        <v>0</v>
      </c>
      <c r="N25" s="443">
        <f t="shared" si="14"/>
        <v>0</v>
      </c>
      <c r="O25" s="443">
        <f t="shared" si="15"/>
        <v>0</v>
      </c>
      <c r="P25" s="444">
        <f t="shared" si="16"/>
        <v>0</v>
      </c>
      <c r="Q25" s="442">
        <f t="shared" ca="1" si="17"/>
        <v>1276.6199033256612</v>
      </c>
    </row>
    <row r="26" spans="1:17">
      <c r="A26" s="442" t="s">
        <v>621</v>
      </c>
      <c r="B26" s="443">
        <f t="shared" ca="1" si="2"/>
        <v>3744.495102953445</v>
      </c>
      <c r="C26" s="443">
        <f t="shared" ca="1" si="3"/>
        <v>0</v>
      </c>
      <c r="D26" s="443">
        <f t="shared" si="4"/>
        <v>4392.6840429489166</v>
      </c>
      <c r="E26" s="443">
        <f t="shared" si="5"/>
        <v>255.22440076757263</v>
      </c>
      <c r="F26" s="443">
        <f t="shared" si="6"/>
        <v>1038.2466122703263</v>
      </c>
      <c r="G26" s="443">
        <f t="shared" si="7"/>
        <v>0</v>
      </c>
      <c r="H26" s="443">
        <f t="shared" si="8"/>
        <v>0</v>
      </c>
      <c r="I26" s="443">
        <f t="shared" si="9"/>
        <v>0</v>
      </c>
      <c r="J26" s="443">
        <f t="shared" si="10"/>
        <v>16.660697962835368</v>
      </c>
      <c r="K26" s="443">
        <f t="shared" si="11"/>
        <v>0</v>
      </c>
      <c r="L26" s="443">
        <f t="shared" si="12"/>
        <v>0</v>
      </c>
      <c r="M26" s="443">
        <f t="shared" si="13"/>
        <v>0</v>
      </c>
      <c r="N26" s="443">
        <f t="shared" si="14"/>
        <v>0</v>
      </c>
      <c r="O26" s="443">
        <f t="shared" si="15"/>
        <v>0</v>
      </c>
      <c r="P26" s="444">
        <f t="shared" si="16"/>
        <v>0</v>
      </c>
      <c r="Q26" s="442">
        <f t="shared" ca="1" si="17"/>
        <v>9447.3108569030956</v>
      </c>
    </row>
    <row r="27" spans="1:17" s="448" customFormat="1">
      <c r="A27" s="446" t="s">
        <v>547</v>
      </c>
      <c r="B27" s="746">
        <f t="shared" ca="1" si="2"/>
        <v>25.145573304754425</v>
      </c>
      <c r="C27" s="447">
        <f t="shared" ca="1" si="3"/>
        <v>0</v>
      </c>
      <c r="D27" s="447">
        <f t="shared" si="4"/>
        <v>40.008854869608861</v>
      </c>
      <c r="E27" s="447">
        <f t="shared" si="5"/>
        <v>79.302943026001671</v>
      </c>
      <c r="F27" s="447">
        <f t="shared" si="6"/>
        <v>0</v>
      </c>
      <c r="G27" s="447">
        <f t="shared" si="7"/>
        <v>66892.737942766791</v>
      </c>
      <c r="H27" s="447">
        <f t="shared" si="8"/>
        <v>7956.619107359943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74993.814421327101</v>
      </c>
    </row>
    <row r="28" spans="1:17">
      <c r="A28" s="442" t="s">
        <v>537</v>
      </c>
      <c r="B28" s="443">
        <f t="shared" ca="1" si="2"/>
        <v>3.3406008866347898</v>
      </c>
      <c r="C28" s="443">
        <f t="shared" ca="1" si="3"/>
        <v>0</v>
      </c>
      <c r="D28" s="443">
        <f t="shared" si="4"/>
        <v>0</v>
      </c>
      <c r="E28" s="443">
        <f t="shared" si="5"/>
        <v>0</v>
      </c>
      <c r="F28" s="443">
        <f t="shared" si="6"/>
        <v>0</v>
      </c>
      <c r="G28" s="443">
        <f t="shared" si="7"/>
        <v>397.36547321116416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400.70607409779893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175.37536355705663</v>
      </c>
      <c r="C32" s="443">
        <f t="shared" ca="1" si="3"/>
        <v>0</v>
      </c>
      <c r="D32" s="443">
        <f t="shared" si="4"/>
        <v>345.73627140000002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521.11163495705659</v>
      </c>
    </row>
    <row r="33" spans="1:17" s="452" customFormat="1">
      <c r="A33" s="997" t="s">
        <v>541</v>
      </c>
      <c r="B33" s="945">
        <f ca="1">SUM(B22:B32)</f>
        <v>16455.065681081142</v>
      </c>
      <c r="C33" s="945">
        <f t="shared" ref="C33:Q33" ca="1" si="18">SUM(C22:C32)</f>
        <v>0</v>
      </c>
      <c r="D33" s="945">
        <f t="shared" ca="1" si="18"/>
        <v>26956.770414310668</v>
      </c>
      <c r="E33" s="945">
        <f t="shared" si="18"/>
        <v>633.43419821940665</v>
      </c>
      <c r="F33" s="945">
        <f t="shared" ca="1" si="18"/>
        <v>8314.3495653301725</v>
      </c>
      <c r="G33" s="945">
        <f t="shared" si="18"/>
        <v>67290.103415977952</v>
      </c>
      <c r="H33" s="945">
        <f t="shared" si="18"/>
        <v>7956.619107359943</v>
      </c>
      <c r="I33" s="945">
        <f t="shared" si="18"/>
        <v>0</v>
      </c>
      <c r="J33" s="945">
        <f t="shared" si="18"/>
        <v>76.728741751279642</v>
      </c>
      <c r="K33" s="945">
        <f t="shared" si="18"/>
        <v>0</v>
      </c>
      <c r="L33" s="945">
        <f t="shared" ca="1" si="18"/>
        <v>0</v>
      </c>
      <c r="M33" s="945">
        <f t="shared" si="18"/>
        <v>0</v>
      </c>
      <c r="N33" s="945">
        <f t="shared" ca="1" si="18"/>
        <v>0</v>
      </c>
      <c r="O33" s="945">
        <f t="shared" si="18"/>
        <v>0</v>
      </c>
      <c r="P33" s="945">
        <f t="shared" si="18"/>
        <v>0</v>
      </c>
      <c r="Q33" s="945">
        <f t="shared" ca="1" si="18"/>
        <v>127683.07112403057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3580.126199138328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3580.126199138328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0.21086117534484544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0.21086117534484544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0.21086117534484544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0.21086117534484544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5921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294.35000000000002</v>
      </c>
      <c r="C14" s="324"/>
      <c r="D14" s="324"/>
      <c r="E14" s="324"/>
      <c r="F14" s="324"/>
    </row>
    <row r="15" spans="1:6">
      <c r="A15" s="1289" t="s">
        <v>177</v>
      </c>
      <c r="B15" s="1290">
        <v>2</v>
      </c>
      <c r="C15" s="324"/>
      <c r="D15" s="324"/>
      <c r="E15" s="324"/>
      <c r="F15" s="324"/>
    </row>
    <row r="16" spans="1:6">
      <c r="A16" s="1289" t="s">
        <v>6</v>
      </c>
      <c r="B16" s="1290">
        <v>126</v>
      </c>
      <c r="C16" s="324"/>
      <c r="D16" s="324"/>
      <c r="E16" s="324"/>
      <c r="F16" s="324"/>
    </row>
    <row r="17" spans="1:6">
      <c r="A17" s="1289" t="s">
        <v>7</v>
      </c>
      <c r="B17" s="1290">
        <v>22</v>
      </c>
      <c r="C17" s="324"/>
      <c r="D17" s="324"/>
      <c r="E17" s="324"/>
      <c r="F17" s="324"/>
    </row>
    <row r="18" spans="1:6">
      <c r="A18" s="1289" t="s">
        <v>8</v>
      </c>
      <c r="B18" s="1290">
        <v>92</v>
      </c>
      <c r="C18" s="324"/>
      <c r="D18" s="324"/>
      <c r="E18" s="324"/>
      <c r="F18" s="324"/>
    </row>
    <row r="19" spans="1:6">
      <c r="A19" s="1289" t="s">
        <v>9</v>
      </c>
      <c r="B19" s="1290">
        <v>111</v>
      </c>
      <c r="C19" s="324"/>
      <c r="D19" s="324"/>
      <c r="E19" s="324"/>
      <c r="F19" s="324"/>
    </row>
    <row r="20" spans="1:6">
      <c r="A20" s="1289" t="s">
        <v>10</v>
      </c>
      <c r="B20" s="1290">
        <v>50</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68</v>
      </c>
      <c r="C26" s="324"/>
      <c r="D26" s="324"/>
      <c r="E26" s="324"/>
      <c r="F26" s="324"/>
    </row>
    <row r="27" spans="1:6">
      <c r="A27" s="1289" t="s">
        <v>17</v>
      </c>
      <c r="B27" s="1290">
        <v>12</v>
      </c>
      <c r="C27" s="324"/>
      <c r="D27" s="324"/>
      <c r="E27" s="324"/>
      <c r="F27" s="324"/>
    </row>
    <row r="28" spans="1:6">
      <c r="A28" s="1289" t="s">
        <v>18</v>
      </c>
      <c r="B28" s="1291">
        <v>0</v>
      </c>
      <c r="C28" s="324"/>
      <c r="D28" s="324"/>
      <c r="E28" s="324"/>
      <c r="F28" s="324"/>
    </row>
    <row r="29" spans="1:6">
      <c r="A29" s="1289" t="s">
        <v>716</v>
      </c>
      <c r="B29" s="1291">
        <v>17</v>
      </c>
      <c r="C29" s="324"/>
      <c r="D29" s="324"/>
      <c r="E29" s="324"/>
      <c r="F29" s="324"/>
    </row>
    <row r="30" spans="1:6">
      <c r="A30" s="1284" t="s">
        <v>717</v>
      </c>
      <c r="B30" s="1292">
        <v>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1182</v>
      </c>
    </row>
    <row r="39" spans="1:6">
      <c r="A39" s="1289" t="s">
        <v>29</v>
      </c>
      <c r="B39" s="1289" t="s">
        <v>30</v>
      </c>
      <c r="C39" s="1290">
        <v>4835</v>
      </c>
      <c r="D39" s="1290">
        <v>76489610.800000101</v>
      </c>
      <c r="E39" s="1290">
        <v>5906</v>
      </c>
      <c r="F39" s="1290">
        <v>22186213.1531155</v>
      </c>
    </row>
    <row r="40" spans="1:6">
      <c r="A40" s="1289" t="s">
        <v>29</v>
      </c>
      <c r="B40" s="1289" t="s">
        <v>28</v>
      </c>
      <c r="C40" s="1290">
        <v>0</v>
      </c>
      <c r="D40" s="1290">
        <v>0</v>
      </c>
      <c r="E40" s="1290">
        <v>0</v>
      </c>
      <c r="F40" s="1290">
        <v>0</v>
      </c>
    </row>
    <row r="41" spans="1:6">
      <c r="A41" s="1289" t="s">
        <v>31</v>
      </c>
      <c r="B41" s="1289" t="s">
        <v>32</v>
      </c>
      <c r="C41" s="1290">
        <v>58</v>
      </c>
      <c r="D41" s="1290">
        <v>1939092</v>
      </c>
      <c r="E41" s="1290">
        <v>85</v>
      </c>
      <c r="F41" s="1290">
        <v>1305264.1805444299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24</v>
      </c>
      <c r="D44" s="1290">
        <v>9180744.4000000004</v>
      </c>
      <c r="E44" s="1290">
        <v>18</v>
      </c>
      <c r="F44" s="1290">
        <v>1615874.64340524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5</v>
      </c>
      <c r="D47" s="1290">
        <v>53910</v>
      </c>
      <c r="E47" s="1290">
        <v>3</v>
      </c>
      <c r="F47" s="1290">
        <v>516609.12619812699</v>
      </c>
    </row>
    <row r="48" spans="1:6">
      <c r="A48" s="1289" t="s">
        <v>31</v>
      </c>
      <c r="B48" s="1289" t="s">
        <v>28</v>
      </c>
      <c r="C48" s="1290">
        <v>1</v>
      </c>
      <c r="D48" s="1290">
        <v>28258</v>
      </c>
      <c r="E48" s="1290">
        <v>49</v>
      </c>
      <c r="F48" s="1290">
        <v>13124153.5339421</v>
      </c>
    </row>
    <row r="49" spans="1:6">
      <c r="A49" s="1289" t="s">
        <v>31</v>
      </c>
      <c r="B49" s="1289" t="s">
        <v>39</v>
      </c>
      <c r="C49" s="1290">
        <v>3</v>
      </c>
      <c r="D49" s="1290">
        <v>273865</v>
      </c>
      <c r="E49" s="1290">
        <v>0</v>
      </c>
      <c r="F49" s="1290">
        <v>0</v>
      </c>
    </row>
    <row r="50" spans="1:6">
      <c r="A50" s="1289" t="s">
        <v>31</v>
      </c>
      <c r="B50" s="1289" t="s">
        <v>40</v>
      </c>
      <c r="C50" s="1290">
        <v>12</v>
      </c>
      <c r="D50" s="1290">
        <v>12632734.379000001</v>
      </c>
      <c r="E50" s="1290">
        <v>6</v>
      </c>
      <c r="F50" s="1290">
        <v>1196204.51541259</v>
      </c>
    </row>
    <row r="51" spans="1:6">
      <c r="A51" s="1289" t="s">
        <v>41</v>
      </c>
      <c r="B51" s="1289" t="s">
        <v>42</v>
      </c>
      <c r="C51" s="1290">
        <v>14</v>
      </c>
      <c r="D51" s="1290">
        <v>2961440.73</v>
      </c>
      <c r="E51" s="1290">
        <v>33</v>
      </c>
      <c r="F51" s="1290">
        <v>533646.10184881196</v>
      </c>
    </row>
    <row r="52" spans="1:6">
      <c r="A52" s="1289" t="s">
        <v>41</v>
      </c>
      <c r="B52" s="1289" t="s">
        <v>28</v>
      </c>
      <c r="C52" s="1290">
        <v>0</v>
      </c>
      <c r="D52" s="1290">
        <v>0</v>
      </c>
      <c r="E52" s="1290">
        <v>0</v>
      </c>
      <c r="F52" s="1290">
        <v>0</v>
      </c>
    </row>
    <row r="53" spans="1:6">
      <c r="A53" s="1289" t="s">
        <v>43</v>
      </c>
      <c r="B53" s="1289" t="s">
        <v>44</v>
      </c>
      <c r="C53" s="1290">
        <v>83</v>
      </c>
      <c r="D53" s="1290">
        <v>1711565.7</v>
      </c>
      <c r="E53" s="1290">
        <v>244</v>
      </c>
      <c r="F53" s="1290">
        <v>831710.07308597805</v>
      </c>
    </row>
    <row r="54" spans="1:6">
      <c r="A54" s="1289" t="s">
        <v>45</v>
      </c>
      <c r="B54" s="1289" t="s">
        <v>46</v>
      </c>
      <c r="C54" s="1290">
        <v>0</v>
      </c>
      <c r="D54" s="1290">
        <v>0</v>
      </c>
      <c r="E54" s="1290">
        <v>1</v>
      </c>
      <c r="F54" s="1290">
        <v>937575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44</v>
      </c>
      <c r="D57" s="1290">
        <v>3002956.4</v>
      </c>
      <c r="E57" s="1290">
        <v>63</v>
      </c>
      <c r="F57" s="1290">
        <v>2455628.9437249801</v>
      </c>
    </row>
    <row r="58" spans="1:6">
      <c r="A58" s="1289" t="s">
        <v>48</v>
      </c>
      <c r="B58" s="1289" t="s">
        <v>50</v>
      </c>
      <c r="C58" s="1290">
        <v>27</v>
      </c>
      <c r="D58" s="1290">
        <v>3014835</v>
      </c>
      <c r="E58" s="1290">
        <v>20</v>
      </c>
      <c r="F58" s="1290">
        <v>216921.43492008399</v>
      </c>
    </row>
    <row r="59" spans="1:6">
      <c r="A59" s="1289" t="s">
        <v>48</v>
      </c>
      <c r="B59" s="1289" t="s">
        <v>51</v>
      </c>
      <c r="C59" s="1290">
        <v>223</v>
      </c>
      <c r="D59" s="1290">
        <v>17041982.600000001</v>
      </c>
      <c r="E59" s="1290">
        <v>285</v>
      </c>
      <c r="F59" s="1290">
        <v>12775478.945797499</v>
      </c>
    </row>
    <row r="60" spans="1:6">
      <c r="A60" s="1289" t="s">
        <v>48</v>
      </c>
      <c r="B60" s="1289" t="s">
        <v>52</v>
      </c>
      <c r="C60" s="1290">
        <v>39</v>
      </c>
      <c r="D60" s="1290">
        <v>2955751</v>
      </c>
      <c r="E60" s="1290">
        <v>77</v>
      </c>
      <c r="F60" s="1290">
        <v>2998850.3337854198</v>
      </c>
    </row>
    <row r="61" spans="1:6">
      <c r="A61" s="1289" t="s">
        <v>48</v>
      </c>
      <c r="B61" s="1289" t="s">
        <v>53</v>
      </c>
      <c r="C61" s="1290">
        <v>232</v>
      </c>
      <c r="D61" s="1290">
        <v>15477999</v>
      </c>
      <c r="E61" s="1290">
        <v>405</v>
      </c>
      <c r="F61" s="1290">
        <v>12305395.1997215</v>
      </c>
    </row>
    <row r="62" spans="1:6">
      <c r="A62" s="1289" t="s">
        <v>48</v>
      </c>
      <c r="B62" s="1289" t="s">
        <v>54</v>
      </c>
      <c r="C62" s="1290">
        <v>9</v>
      </c>
      <c r="D62" s="1290">
        <v>778006</v>
      </c>
      <c r="E62" s="1290">
        <v>6</v>
      </c>
      <c r="F62" s="1290">
        <v>37101.313904005801</v>
      </c>
    </row>
    <row r="63" spans="1:6">
      <c r="A63" s="1289" t="s">
        <v>48</v>
      </c>
      <c r="B63" s="1289" t="s">
        <v>28</v>
      </c>
      <c r="C63" s="1290">
        <v>0</v>
      </c>
      <c r="D63" s="1290">
        <v>0</v>
      </c>
      <c r="E63" s="1290">
        <v>93</v>
      </c>
      <c r="F63" s="1290">
        <v>2738936.00763766</v>
      </c>
    </row>
    <row r="64" spans="1:6">
      <c r="A64" s="1289" t="s">
        <v>55</v>
      </c>
      <c r="B64" s="1289" t="s">
        <v>56</v>
      </c>
      <c r="C64" s="1290">
        <v>0</v>
      </c>
      <c r="D64" s="1290">
        <v>0</v>
      </c>
      <c r="E64" s="1290">
        <v>0</v>
      </c>
      <c r="F64" s="1290">
        <v>0</v>
      </c>
    </row>
    <row r="65" spans="1:6">
      <c r="A65" s="1289" t="s">
        <v>55</v>
      </c>
      <c r="B65" s="1289" t="s">
        <v>28</v>
      </c>
      <c r="C65" s="1290">
        <v>0</v>
      </c>
      <c r="D65" s="1290">
        <v>0</v>
      </c>
      <c r="E65" s="1290">
        <v>3</v>
      </c>
      <c r="F65" s="1290">
        <v>101488.60423516099</v>
      </c>
    </row>
    <row r="66" spans="1:6">
      <c r="A66" s="1289" t="s">
        <v>55</v>
      </c>
      <c r="B66" s="1289" t="s">
        <v>57</v>
      </c>
      <c r="C66" s="1290">
        <v>0</v>
      </c>
      <c r="D66" s="1290">
        <v>0</v>
      </c>
      <c r="E66" s="1290">
        <v>9</v>
      </c>
      <c r="F66" s="1290">
        <v>168448.05181598099</v>
      </c>
    </row>
    <row r="67" spans="1:6">
      <c r="A67" s="1289" t="s">
        <v>55</v>
      </c>
      <c r="B67" s="1289" t="s">
        <v>58</v>
      </c>
      <c r="C67" s="1290">
        <v>0</v>
      </c>
      <c r="D67" s="1290">
        <v>0</v>
      </c>
      <c r="E67" s="1290">
        <v>0</v>
      </c>
      <c r="F67" s="1290">
        <v>0</v>
      </c>
    </row>
    <row r="68" spans="1:6">
      <c r="A68" s="1284" t="s">
        <v>55</v>
      </c>
      <c r="B68" s="1284" t="s">
        <v>59</v>
      </c>
      <c r="C68" s="1292">
        <v>8</v>
      </c>
      <c r="D68" s="1292">
        <v>372257</v>
      </c>
      <c r="E68" s="1292">
        <v>12</v>
      </c>
      <c r="F68" s="1292">
        <v>249305.214346038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191494261</v>
      </c>
      <c r="E73" s="441"/>
      <c r="F73" s="324"/>
    </row>
    <row r="74" spans="1:6">
      <c r="A74" s="1289" t="s">
        <v>63</v>
      </c>
      <c r="B74" s="1289" t="s">
        <v>642</v>
      </c>
      <c r="C74" s="1302" t="s">
        <v>644</v>
      </c>
      <c r="D74" s="1290">
        <v>49209965</v>
      </c>
      <c r="E74" s="441"/>
      <c r="F74" s="324"/>
    </row>
    <row r="75" spans="1:6">
      <c r="A75" s="1289" t="s">
        <v>64</v>
      </c>
      <c r="B75" s="1289" t="s">
        <v>641</v>
      </c>
      <c r="C75" s="1302" t="s">
        <v>645</v>
      </c>
      <c r="D75" s="1290">
        <v>23461891</v>
      </c>
      <c r="E75" s="441"/>
      <c r="F75" s="324"/>
    </row>
    <row r="76" spans="1:6">
      <c r="A76" s="1289" t="s">
        <v>64</v>
      </c>
      <c r="B76" s="1289" t="s">
        <v>642</v>
      </c>
      <c r="C76" s="1302" t="s">
        <v>646</v>
      </c>
      <c r="D76" s="1290">
        <v>5077001</v>
      </c>
      <c r="E76" s="441"/>
      <c r="F76" s="324"/>
    </row>
    <row r="77" spans="1:6">
      <c r="A77" s="1289" t="s">
        <v>65</v>
      </c>
      <c r="B77" s="1289" t="s">
        <v>641</v>
      </c>
      <c r="C77" s="1302" t="s">
        <v>647</v>
      </c>
      <c r="D77" s="1290">
        <v>10503387</v>
      </c>
      <c r="E77" s="441"/>
      <c r="F77" s="324"/>
    </row>
    <row r="78" spans="1:6">
      <c r="A78" s="1284" t="s">
        <v>65</v>
      </c>
      <c r="B78" s="1284" t="s">
        <v>642</v>
      </c>
      <c r="C78" s="1284" t="s">
        <v>648</v>
      </c>
      <c r="D78" s="1292">
        <v>1234430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432406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2126.780017726157</v>
      </c>
      <c r="C91" s="324"/>
      <c r="D91" s="324"/>
      <c r="E91" s="324"/>
      <c r="F91" s="324"/>
    </row>
    <row r="92" spans="1:6">
      <c r="A92" s="1284" t="s">
        <v>68</v>
      </c>
      <c r="B92" s="1285">
        <v>1453.3461814121713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3801</v>
      </c>
      <c r="C97" s="324"/>
      <c r="D97" s="324"/>
      <c r="E97" s="324"/>
      <c r="F97" s="324"/>
    </row>
    <row r="98" spans="1:6">
      <c r="A98" s="1289" t="s">
        <v>71</v>
      </c>
      <c r="B98" s="1290">
        <v>4</v>
      </c>
      <c r="C98" s="324"/>
      <c r="D98" s="324"/>
      <c r="E98" s="324"/>
      <c r="F98" s="324"/>
    </row>
    <row r="99" spans="1:6">
      <c r="A99" s="1289" t="s">
        <v>72</v>
      </c>
      <c r="B99" s="1290">
        <v>11</v>
      </c>
      <c r="C99" s="324"/>
      <c r="D99" s="324"/>
      <c r="E99" s="324"/>
      <c r="F99" s="324"/>
    </row>
    <row r="100" spans="1:6">
      <c r="A100" s="1289" t="s">
        <v>73</v>
      </c>
      <c r="B100" s="1290">
        <v>478</v>
      </c>
      <c r="C100" s="324"/>
      <c r="D100" s="324"/>
      <c r="E100" s="324"/>
      <c r="F100" s="324"/>
    </row>
    <row r="101" spans="1:6">
      <c r="A101" s="1289" t="s">
        <v>74</v>
      </c>
      <c r="B101" s="1290">
        <v>26</v>
      </c>
      <c r="C101" s="324"/>
      <c r="D101" s="324"/>
      <c r="E101" s="324"/>
      <c r="F101" s="324"/>
    </row>
    <row r="102" spans="1:6">
      <c r="A102" s="1289" t="s">
        <v>75</v>
      </c>
      <c r="B102" s="1290">
        <v>64</v>
      </c>
      <c r="C102" s="324"/>
      <c r="D102" s="324"/>
      <c r="E102" s="324"/>
      <c r="F102" s="324"/>
    </row>
    <row r="103" spans="1:6">
      <c r="A103" s="1289" t="s">
        <v>76</v>
      </c>
      <c r="B103" s="1290">
        <v>37</v>
      </c>
      <c r="C103" s="324"/>
      <c r="D103" s="324"/>
      <c r="E103" s="324"/>
      <c r="F103" s="324"/>
    </row>
    <row r="104" spans="1:6">
      <c r="A104" s="1289" t="s">
        <v>77</v>
      </c>
      <c r="B104" s="1290">
        <v>1023</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15</v>
      </c>
      <c r="C123" s="1290">
        <v>13</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60</v>
      </c>
      <c r="C129" s="324"/>
      <c r="D129" s="324"/>
      <c r="E129" s="324"/>
      <c r="F129" s="324"/>
    </row>
    <row r="130" spans="1:6">
      <c r="A130" s="1289" t="s">
        <v>283</v>
      </c>
      <c r="B130" s="1290">
        <v>0</v>
      </c>
      <c r="C130" s="324"/>
      <c r="D130" s="324"/>
      <c r="E130" s="324"/>
      <c r="F130" s="324"/>
    </row>
    <row r="131" spans="1:6">
      <c r="A131" s="1289" t="s">
        <v>284</v>
      </c>
      <c r="B131" s="1290">
        <v>2</v>
      </c>
      <c r="C131" s="324"/>
      <c r="D131" s="324"/>
      <c r="E131" s="324"/>
      <c r="F131" s="324"/>
    </row>
    <row r="132" spans="1:6">
      <c r="A132" s="1284" t="s">
        <v>285</v>
      </c>
      <c r="B132" s="1285">
        <v>10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78037.436973261138</v>
      </c>
      <c r="C3" s="43" t="s">
        <v>163</v>
      </c>
      <c r="D3" s="43"/>
      <c r="E3" s="154"/>
      <c r="F3" s="43"/>
      <c r="G3" s="43"/>
      <c r="H3" s="43"/>
      <c r="I3" s="43"/>
      <c r="J3" s="43"/>
      <c r="K3" s="96"/>
    </row>
    <row r="4" spans="1:11">
      <c r="A4" s="350" t="s">
        <v>164</v>
      </c>
      <c r="B4" s="49">
        <f>IF(ISERROR('SEAP template'!B78+'SEAP template'!C78),0,'SEAP template'!B78+'SEAP template'!C78)</f>
        <v>3580.126199138328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0.21086117534484544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937.57500000000005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937.57500000000005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0.21086117534484544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197.69816647394347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22186.213153115499</v>
      </c>
      <c r="C5" s="17">
        <f>IF(ISERROR('Eigen informatie GS &amp; warmtenet'!B57),0,'Eigen informatie GS &amp; warmtenet'!B57)</f>
        <v>0</v>
      </c>
      <c r="D5" s="30">
        <f>(SUM(HH_hh_gas_kWh,HH_rest_gas_kWh)/1000)*0.902</f>
        <v>68993.628941600095</v>
      </c>
      <c r="E5" s="17">
        <f>B32*B41</f>
        <v>757.18712410251612</v>
      </c>
      <c r="F5" s="17">
        <f>B36*B45</f>
        <v>19183.727619066132</v>
      </c>
      <c r="G5" s="18"/>
      <c r="H5" s="17"/>
      <c r="I5" s="17"/>
      <c r="J5" s="17">
        <f>B35*B44+C35*C44</f>
        <v>92.309945057474735</v>
      </c>
      <c r="K5" s="17"/>
      <c r="L5" s="17"/>
      <c r="M5" s="17"/>
      <c r="N5" s="17">
        <f>B34*B43+C34*C43</f>
        <v>8181.903621072498</v>
      </c>
      <c r="O5" s="17">
        <f>B52*B53*B54</f>
        <v>115.68666666666667</v>
      </c>
      <c r="P5" s="17">
        <f>B60*B61*B62/1000-B60*B61*B62/1000/B63</f>
        <v>495.73333333333335</v>
      </c>
    </row>
    <row r="6" spans="1:16">
      <c r="A6" s="16" t="s">
        <v>607</v>
      </c>
      <c r="B6" s="754">
        <f>kWh_PV_kleiner_dan_10kW</f>
        <v>2126.780017726157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24312.993170841655</v>
      </c>
      <c r="C8" s="21">
        <f>C5</f>
        <v>0</v>
      </c>
      <c r="D8" s="21">
        <f>D5</f>
        <v>68993.628941600095</v>
      </c>
      <c r="E8" s="21">
        <f>E5</f>
        <v>757.18712410251612</v>
      </c>
      <c r="F8" s="21">
        <f>F5</f>
        <v>19183.727619066132</v>
      </c>
      <c r="G8" s="21"/>
      <c r="H8" s="21"/>
      <c r="I8" s="21"/>
      <c r="J8" s="21">
        <f>J5</f>
        <v>92.309945057474735</v>
      </c>
      <c r="K8" s="21"/>
      <c r="L8" s="21">
        <f>L5</f>
        <v>0</v>
      </c>
      <c r="M8" s="21">
        <f>M5</f>
        <v>0</v>
      </c>
      <c r="N8" s="21">
        <f>N5</f>
        <v>8181.903621072498</v>
      </c>
      <c r="O8" s="21">
        <f>O5</f>
        <v>115.68666666666667</v>
      </c>
      <c r="P8" s="21">
        <f>P5</f>
        <v>495.73333333333335</v>
      </c>
    </row>
    <row r="9" spans="1:16">
      <c r="B9" s="19"/>
      <c r="C9" s="19"/>
      <c r="D9" s="254"/>
      <c r="E9" s="19"/>
      <c r="F9" s="19"/>
      <c r="G9" s="19"/>
      <c r="H9" s="19"/>
      <c r="I9" s="19"/>
      <c r="J9" s="19"/>
      <c r="K9" s="19"/>
      <c r="L9" s="19"/>
      <c r="M9" s="19"/>
      <c r="N9" s="19"/>
      <c r="O9" s="19"/>
      <c r="P9" s="19"/>
    </row>
    <row r="10" spans="1:16">
      <c r="A10" s="24" t="s">
        <v>207</v>
      </c>
      <c r="B10" s="25">
        <f ca="1">'EF ele_warmte'!B12</f>
        <v>0.21086117534484544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5126.6663161548722</v>
      </c>
      <c r="C12" s="23">
        <f ca="1">C10*C8</f>
        <v>0</v>
      </c>
      <c r="D12" s="23">
        <f>D8*D10</f>
        <v>13936.71304620322</v>
      </c>
      <c r="E12" s="23">
        <f>E10*E8</f>
        <v>171.88147717127117</v>
      </c>
      <c r="F12" s="23">
        <f>F10*F8</f>
        <v>5122.0552742906575</v>
      </c>
      <c r="G12" s="23"/>
      <c r="H12" s="23"/>
      <c r="I12" s="23"/>
      <c r="J12" s="23">
        <f>J10*J8</f>
        <v>32.677720550346052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5921</v>
      </c>
      <c r="C26" s="36"/>
      <c r="D26" s="225"/>
    </row>
    <row r="27" spans="1:5" s="15" customFormat="1">
      <c r="A27" s="227" t="s">
        <v>762</v>
      </c>
      <c r="B27" s="37">
        <f>SUM(HH_hh_gas_aantal,HH_rest_gas_aantal)</f>
        <v>4835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4593.25</v>
      </c>
      <c r="C31" s="34" t="s">
        <v>104</v>
      </c>
      <c r="D31" s="171"/>
    </row>
    <row r="32" spans="1:5">
      <c r="A32" s="168" t="s">
        <v>72</v>
      </c>
      <c r="B32" s="33">
        <f>IF((B21*($B$26-($B$27-0.05*$B$27)-$B$60))&lt;0,0,B21*($B$26-($B$27-0.05*$B$27)-$B$60))</f>
        <v>14.319893454228765</v>
      </c>
      <c r="C32" s="34" t="s">
        <v>104</v>
      </c>
      <c r="D32" s="171"/>
    </row>
    <row r="33" spans="1:6">
      <c r="A33" s="168" t="s">
        <v>73</v>
      </c>
      <c r="B33" s="33">
        <f>IF((B22*($B$26-($B$27-0.05*$B$27)-$B$60))&lt;0,0,B22*($B$26-($B$27-0.05*$B$27)-$B$60))</f>
        <v>297.72261032008055</v>
      </c>
      <c r="C33" s="34" t="s">
        <v>104</v>
      </c>
      <c r="D33" s="171"/>
    </row>
    <row r="34" spans="1:6">
      <c r="A34" s="168" t="s">
        <v>74</v>
      </c>
      <c r="B34" s="33">
        <f>IF((B24*($B$26-($B$27-0.05*$B$27)-$B$60))&lt;0,0,B24*($B$26-($B$27-0.05*$B$27)-$B$60))</f>
        <v>59.206443348363898</v>
      </c>
      <c r="C34" s="33">
        <f>B26*C24</f>
        <v>1212.0023641703431</v>
      </c>
      <c r="D34" s="230"/>
    </row>
    <row r="35" spans="1:6">
      <c r="A35" s="168" t="s">
        <v>76</v>
      </c>
      <c r="B35" s="33">
        <f>IF((B19*($B$26-($B$27-0.05*$B$27)-$B$60))&lt;0,0,B19*($B$26-($B$27-0.05*$B$27)-$B$60))</f>
        <v>10.838615221038486</v>
      </c>
      <c r="C35" s="33">
        <f>B35/2</f>
        <v>5.419307610519243</v>
      </c>
      <c r="D35" s="230"/>
    </row>
    <row r="36" spans="1:6">
      <c r="A36" s="168" t="s">
        <v>77</v>
      </c>
      <c r="B36" s="33">
        <f>IF((B18*($B$26-($B$27-0.05*$B$27)-$B$60))&lt;0,0,B18*($B$26-($B$27-0.05*$B$27)-$B$60))</f>
        <v>919.66243765628838</v>
      </c>
      <c r="C36" s="34" t="s">
        <v>104</v>
      </c>
      <c r="D36" s="171"/>
    </row>
    <row r="37" spans="1:6">
      <c r="A37" s="168" t="s">
        <v>78</v>
      </c>
      <c r="B37" s="33">
        <f>B60</f>
        <v>26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74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33528.312179491149</v>
      </c>
      <c r="C5" s="17">
        <f>IF(ISERROR('Eigen informatie GS &amp; warmtenet'!B58),0,'Eigen informatie GS &amp; warmtenet'!B58)</f>
        <v>0</v>
      </c>
      <c r="D5" s="30">
        <f>SUM(D6:D12)</f>
        <v>38128.920060000004</v>
      </c>
      <c r="E5" s="17">
        <f>SUM(E6:E12)</f>
        <v>543.89767083506104</v>
      </c>
      <c r="F5" s="17">
        <f>SUM(F6:F12)</f>
        <v>5844.4534789259433</v>
      </c>
      <c r="G5" s="18"/>
      <c r="H5" s="17"/>
      <c r="I5" s="17"/>
      <c r="J5" s="17">
        <f>SUM(J6:J12)</f>
        <v>5.9934481232299927E-2</v>
      </c>
      <c r="K5" s="17"/>
      <c r="L5" s="17"/>
      <c r="M5" s="17"/>
      <c r="N5" s="17">
        <f>SUM(N6:N12)</f>
        <v>2384.2601119862202</v>
      </c>
      <c r="O5" s="17">
        <f>B38*B39*B40</f>
        <v>0</v>
      </c>
      <c r="P5" s="17">
        <f>B46*B47*B48/1000-B46*B47*B48/1000/B49</f>
        <v>38.133333333333333</v>
      </c>
      <c r="R5" s="32"/>
    </row>
    <row r="6" spans="1:18">
      <c r="A6" s="32" t="s">
        <v>53</v>
      </c>
      <c r="B6" s="37">
        <f>B26</f>
        <v>12305.395199721501</v>
      </c>
      <c r="C6" s="33"/>
      <c r="D6" s="37">
        <f>IF(ISERROR(TER_kantoor_gas_kWh/1000),0,TER_kantoor_gas_kWh/1000)*0.902</f>
        <v>13961.155098000001</v>
      </c>
      <c r="E6" s="33">
        <f>$C$26*'E Balans VL '!I12/100/3.6*1000000</f>
        <v>7.7126124401529009E-2</v>
      </c>
      <c r="F6" s="33">
        <f>$C$26*('E Balans VL '!L12+'E Balans VL '!N12)/100/3.6*1000000</f>
        <v>1849.1570529824185</v>
      </c>
      <c r="G6" s="34"/>
      <c r="H6" s="33"/>
      <c r="I6" s="33"/>
      <c r="J6" s="33">
        <f>$C$26*('E Balans VL '!D12+'E Balans VL '!E12)/100/3.6*1000000</f>
        <v>0</v>
      </c>
      <c r="K6" s="33"/>
      <c r="L6" s="33"/>
      <c r="M6" s="33"/>
      <c r="N6" s="33">
        <f>$C$26*'E Balans VL '!Y12/100/3.6*1000000</f>
        <v>11.76828603346976</v>
      </c>
      <c r="O6" s="33"/>
      <c r="P6" s="33"/>
      <c r="R6" s="32"/>
    </row>
    <row r="7" spans="1:18">
      <c r="A7" s="32" t="s">
        <v>52</v>
      </c>
      <c r="B7" s="37">
        <f t="shared" ref="B7:B12" si="0">B27</f>
        <v>2998.8503337854199</v>
      </c>
      <c r="C7" s="33"/>
      <c r="D7" s="37">
        <f>IF(ISERROR(TER_horeca_gas_kWh/1000),0,TER_horeca_gas_kWh/1000)*0.902</f>
        <v>2666.0874020000001</v>
      </c>
      <c r="E7" s="33">
        <f>$C$27*'E Balans VL '!I9/100/3.6*1000000</f>
        <v>42.943037266697722</v>
      </c>
      <c r="F7" s="33">
        <f>$C$27*('E Balans VL '!L9+'E Balans VL '!N9)/100/3.6*1000000</f>
        <v>379.75335815167756</v>
      </c>
      <c r="G7" s="34"/>
      <c r="H7" s="33"/>
      <c r="I7" s="33"/>
      <c r="J7" s="33">
        <f>$C$27*('E Balans VL '!D9+'E Balans VL '!E9)/100/3.6*1000000</f>
        <v>0</v>
      </c>
      <c r="K7" s="33"/>
      <c r="L7" s="33"/>
      <c r="M7" s="33"/>
      <c r="N7" s="33">
        <f>$C$27*'E Balans VL '!Y9/100/3.6*1000000</f>
        <v>0.86210335198907917</v>
      </c>
      <c r="O7" s="33"/>
      <c r="P7" s="33"/>
      <c r="R7" s="32"/>
    </row>
    <row r="8" spans="1:18">
      <c r="A8" s="6" t="s">
        <v>51</v>
      </c>
      <c r="B8" s="37">
        <f t="shared" si="0"/>
        <v>12775.478945797498</v>
      </c>
      <c r="C8" s="33"/>
      <c r="D8" s="37">
        <f>IF(ISERROR(TER_handel_gas_kWh/1000),0,TER_handel_gas_kWh/1000)*0.902</f>
        <v>15371.868305200003</v>
      </c>
      <c r="E8" s="33">
        <f>$C$28*'E Balans VL '!I13/100/3.6*1000000</f>
        <v>463.36504596259203</v>
      </c>
      <c r="F8" s="33">
        <f>$C$28*('E Balans VL '!L13+'E Balans VL '!N13)/100/3.6*1000000</f>
        <v>2460.6866049093733</v>
      </c>
      <c r="G8" s="34"/>
      <c r="H8" s="33"/>
      <c r="I8" s="33"/>
      <c r="J8" s="33">
        <f>$C$28*('E Balans VL '!D13+'E Balans VL '!E13)/100/3.6*1000000</f>
        <v>0</v>
      </c>
      <c r="K8" s="33"/>
      <c r="L8" s="33"/>
      <c r="M8" s="33"/>
      <c r="N8" s="33">
        <f>$C$28*'E Balans VL '!Y13/100/3.6*1000000</f>
        <v>17.6969778465369</v>
      </c>
      <c r="O8" s="33"/>
      <c r="P8" s="33"/>
      <c r="R8" s="32"/>
    </row>
    <row r="9" spans="1:18">
      <c r="A9" s="32" t="s">
        <v>50</v>
      </c>
      <c r="B9" s="37">
        <f t="shared" si="0"/>
        <v>216.92143492008398</v>
      </c>
      <c r="C9" s="33"/>
      <c r="D9" s="37">
        <f>IF(ISERROR(TER_gezond_gas_kWh/1000),0,TER_gezond_gas_kWh/1000)*0.902</f>
        <v>2719.3811700000001</v>
      </c>
      <c r="E9" s="33">
        <f>$C$29*'E Balans VL '!I10/100/3.6*1000000</f>
        <v>1.3581423538244401E-2</v>
      </c>
      <c r="F9" s="33">
        <f>$C$29*('E Balans VL '!L10+'E Balans VL '!N10)/100/3.6*1000000</f>
        <v>32.224339620248649</v>
      </c>
      <c r="G9" s="34"/>
      <c r="H9" s="33"/>
      <c r="I9" s="33"/>
      <c r="J9" s="33">
        <f>$C$29*('E Balans VL '!D10+'E Balans VL '!E10)/100/3.6*1000000</f>
        <v>0</v>
      </c>
      <c r="K9" s="33"/>
      <c r="L9" s="33"/>
      <c r="M9" s="33"/>
      <c r="N9" s="33">
        <f>$C$29*'E Balans VL '!Y10/100/3.6*1000000</f>
        <v>3.3553616864731315</v>
      </c>
      <c r="O9" s="33"/>
      <c r="P9" s="33"/>
      <c r="R9" s="32"/>
    </row>
    <row r="10" spans="1:18">
      <c r="A10" s="32" t="s">
        <v>49</v>
      </c>
      <c r="B10" s="37">
        <f t="shared" si="0"/>
        <v>2455.6289437249802</v>
      </c>
      <c r="C10" s="33"/>
      <c r="D10" s="37">
        <f>IF(ISERROR(TER_ander_gas_kWh/1000),0,TER_ander_gas_kWh/1000)*0.902</f>
        <v>2708.6666728</v>
      </c>
      <c r="E10" s="33">
        <f>$C$30*'E Balans VL '!I14/100/3.6*1000000</f>
        <v>2.9270219515687628</v>
      </c>
      <c r="F10" s="33">
        <f>$C$30*('E Balans VL '!L14+'E Balans VL '!N14)/100/3.6*1000000</f>
        <v>642.50170036684108</v>
      </c>
      <c r="G10" s="34"/>
      <c r="H10" s="33"/>
      <c r="I10" s="33"/>
      <c r="J10" s="33">
        <f>$C$30*('E Balans VL '!D14+'E Balans VL '!E14)/100/3.6*1000000</f>
        <v>5.330207856859711E-2</v>
      </c>
      <c r="K10" s="33"/>
      <c r="L10" s="33"/>
      <c r="M10" s="33"/>
      <c r="N10" s="33">
        <f>$C$30*'E Balans VL '!Y14/100/3.6*1000000</f>
        <v>2085.2600106168052</v>
      </c>
      <c r="O10" s="33"/>
      <c r="P10" s="33"/>
      <c r="R10" s="32"/>
    </row>
    <row r="11" spans="1:18">
      <c r="A11" s="32" t="s">
        <v>54</v>
      </c>
      <c r="B11" s="37">
        <f t="shared" si="0"/>
        <v>37.101313904005799</v>
      </c>
      <c r="C11" s="33"/>
      <c r="D11" s="37">
        <f>IF(ISERROR(TER_onderwijs_gas_kWh/1000),0,TER_onderwijs_gas_kWh/1000)*0.902</f>
        <v>701.76141199999995</v>
      </c>
      <c r="E11" s="33">
        <f>$C$31*'E Balans VL '!I11/100/3.6*1000000</f>
        <v>0.55979906946309721</v>
      </c>
      <c r="F11" s="33">
        <f>$C$31*('E Balans VL '!L11+'E Balans VL '!N11)/100/3.6*1000000</f>
        <v>6.5007429071043914</v>
      </c>
      <c r="G11" s="34"/>
      <c r="H11" s="33"/>
      <c r="I11" s="33"/>
      <c r="J11" s="33">
        <f>$C$31*('E Balans VL '!D11+'E Balans VL '!E11)/100/3.6*1000000</f>
        <v>0</v>
      </c>
      <c r="K11" s="33"/>
      <c r="L11" s="33"/>
      <c r="M11" s="33"/>
      <c r="N11" s="33">
        <f>$C$31*'E Balans VL '!Y11/100/3.6*1000000</f>
        <v>0.10440591787516711</v>
      </c>
      <c r="O11" s="33"/>
      <c r="P11" s="33"/>
      <c r="R11" s="32"/>
    </row>
    <row r="12" spans="1:18">
      <c r="A12" s="32" t="s">
        <v>248</v>
      </c>
      <c r="B12" s="37">
        <f t="shared" si="0"/>
        <v>2738.9360076376602</v>
      </c>
      <c r="C12" s="33"/>
      <c r="D12" s="37">
        <f>IF(ISERROR(TER_rest_gas_kWh/1000),0,TER_rest_gas_kWh/1000)*0.902</f>
        <v>0</v>
      </c>
      <c r="E12" s="33">
        <f>$C$32*'E Balans VL '!I8/100/3.6*1000000</f>
        <v>34.012059036799641</v>
      </c>
      <c r="F12" s="33">
        <f>$C$32*('E Balans VL '!L8+'E Balans VL '!N8)/100/3.6*1000000</f>
        <v>473.62967998827924</v>
      </c>
      <c r="G12" s="34"/>
      <c r="H12" s="33"/>
      <c r="I12" s="33"/>
      <c r="J12" s="33">
        <f>$C$32*('E Balans VL '!D8+'E Balans VL '!E8)/100/3.6*1000000</f>
        <v>6.6324026637028174E-3</v>
      </c>
      <c r="K12" s="33"/>
      <c r="L12" s="33"/>
      <c r="M12" s="33"/>
      <c r="N12" s="33">
        <f>$C$32*'E Balans VL '!Y8/100/3.6*1000000</f>
        <v>265.21296653307087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33528.312179491149</v>
      </c>
      <c r="C16" s="21">
        <f t="shared" ca="1" si="1"/>
        <v>0</v>
      </c>
      <c r="D16" s="21">
        <f t="shared" ca="1" si="1"/>
        <v>38128.920060000004</v>
      </c>
      <c r="E16" s="21">
        <f t="shared" si="1"/>
        <v>543.89767083506104</v>
      </c>
      <c r="F16" s="21">
        <f t="shared" ca="1" si="1"/>
        <v>5844.4534789259433</v>
      </c>
      <c r="G16" s="21">
        <f t="shared" si="1"/>
        <v>0</v>
      </c>
      <c r="H16" s="21">
        <f t="shared" si="1"/>
        <v>0</v>
      </c>
      <c r="I16" s="21">
        <f t="shared" si="1"/>
        <v>0</v>
      </c>
      <c r="J16" s="21">
        <f t="shared" si="1"/>
        <v>5.9934481232299927E-2</v>
      </c>
      <c r="K16" s="21">
        <f t="shared" si="1"/>
        <v>0</v>
      </c>
      <c r="L16" s="21">
        <f t="shared" ca="1" si="1"/>
        <v>0</v>
      </c>
      <c r="M16" s="21">
        <f t="shared" si="1"/>
        <v>0</v>
      </c>
      <c r="N16" s="21">
        <f t="shared" ca="1" si="1"/>
        <v>2384.2601119862202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0.21086117534484544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7069.8193134964004</v>
      </c>
      <c r="C20" s="23">
        <f t="shared" ref="C20:P20" ca="1" si="2">C16*C18</f>
        <v>0</v>
      </c>
      <c r="D20" s="23">
        <f t="shared" ca="1" si="2"/>
        <v>7702.0418521200017</v>
      </c>
      <c r="E20" s="23">
        <f t="shared" si="2"/>
        <v>123.46477127955886</v>
      </c>
      <c r="F20" s="23">
        <f t="shared" ca="1" si="2"/>
        <v>1560.4690788732269</v>
      </c>
      <c r="G20" s="23">
        <f t="shared" si="2"/>
        <v>0</v>
      </c>
      <c r="H20" s="23">
        <f t="shared" si="2"/>
        <v>0</v>
      </c>
      <c r="I20" s="23">
        <f t="shared" si="2"/>
        <v>0</v>
      </c>
      <c r="J20" s="23">
        <f t="shared" si="2"/>
        <v>2.1216806356234172E-2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12305.395199721501</v>
      </c>
      <c r="C26" s="39">
        <f>IF(ISERROR(B26*3.6/1000000/'E Balans VL '!Z12*100),0,B26*3.6/1000000/'E Balans VL '!Z12*100)</f>
        <v>0.26011656120154181</v>
      </c>
      <c r="D26" s="233" t="s">
        <v>726</v>
      </c>
      <c r="F26" s="6"/>
    </row>
    <row r="27" spans="1:18">
      <c r="A27" s="228" t="s">
        <v>52</v>
      </c>
      <c r="B27" s="33">
        <f>IF(ISERROR(TER_horeca_ele_kWh/1000),0,TER_horeca_ele_kWh/1000)</f>
        <v>2998.8503337854199</v>
      </c>
      <c r="C27" s="39">
        <f>IF(ISERROR(B27*3.6/1000000/'E Balans VL '!Z9*100),0,B27*3.6/1000000/'E Balans VL '!Z9*100)</f>
        <v>0.2363982540837232</v>
      </c>
      <c r="D27" s="233" t="s">
        <v>726</v>
      </c>
      <c r="F27" s="6"/>
    </row>
    <row r="28" spans="1:18">
      <c r="A28" s="168" t="s">
        <v>51</v>
      </c>
      <c r="B28" s="33">
        <f>IF(ISERROR(TER_handel_ele_kWh/1000),0,TER_handel_ele_kWh/1000)</f>
        <v>12775.478945797498</v>
      </c>
      <c r="C28" s="39">
        <f>IF(ISERROR(B28*3.6/1000000/'E Balans VL '!Z13*100),0,B28*3.6/1000000/'E Balans VL '!Z13*100)</f>
        <v>0.37079601772617699</v>
      </c>
      <c r="D28" s="233" t="s">
        <v>726</v>
      </c>
      <c r="F28" s="6"/>
    </row>
    <row r="29" spans="1:18">
      <c r="A29" s="228" t="s">
        <v>50</v>
      </c>
      <c r="B29" s="33">
        <f>IF(ISERROR(TER_gezond_ele_kWh/1000),0,TER_gezond_ele_kWh/1000)</f>
        <v>216.92143492008398</v>
      </c>
      <c r="C29" s="39">
        <f>IF(ISERROR(B29*3.6/1000000/'E Balans VL '!Z10*100),0,B29*3.6/1000000/'E Balans VL '!Z10*100)</f>
        <v>2.2845389041067782E-2</v>
      </c>
      <c r="D29" s="233" t="s">
        <v>726</v>
      </c>
      <c r="F29" s="6"/>
    </row>
    <row r="30" spans="1:18">
      <c r="A30" s="228" t="s">
        <v>49</v>
      </c>
      <c r="B30" s="33">
        <f>IF(ISERROR(TER_ander_ele_kWh/1000),0,TER_ander_ele_kWh/1000)</f>
        <v>2455.6289437249802</v>
      </c>
      <c r="C30" s="39">
        <f>IF(ISERROR(B30*3.6/1000000/'E Balans VL '!Z14*100),0,B30*3.6/1000000/'E Balans VL '!Z14*100)</f>
        <v>0.181127724249108</v>
      </c>
      <c r="D30" s="233" t="s">
        <v>726</v>
      </c>
      <c r="F30" s="6"/>
    </row>
    <row r="31" spans="1:18">
      <c r="A31" s="228" t="s">
        <v>54</v>
      </c>
      <c r="B31" s="33">
        <f>IF(ISERROR(TER_onderwijs_ele_kWh/1000),0,TER_onderwijs_ele_kWh/1000)</f>
        <v>37.101313904005799</v>
      </c>
      <c r="C31" s="39">
        <f>IF(ISERROR(B31*3.6/1000000/'E Balans VL '!Z11*100),0,B31*3.6/1000000/'E Balans VL '!Z11*100)</f>
        <v>9.2139941702580573E-3</v>
      </c>
      <c r="D31" s="233" t="s">
        <v>726</v>
      </c>
    </row>
    <row r="32" spans="1:18">
      <c r="A32" s="228" t="s">
        <v>248</v>
      </c>
      <c r="B32" s="33">
        <f>IF(ISERROR(TER_rest_ele_kWh/1000),0,TER_rest_ele_kWh/1000)</f>
        <v>2738.9360076376602</v>
      </c>
      <c r="C32" s="39">
        <f>IF(ISERROR(B32*3.6/1000000/'E Balans VL '!Z8*100),0,B32*3.6/1000000/'E Balans VL '!Z8*100)</f>
        <v>2.2537807774872885E-2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17758.105999502484</v>
      </c>
      <c r="C5" s="17">
        <f>IF(ISERROR('Eigen informatie GS &amp; warmtenet'!B59),0,'Eigen informatie GS &amp; warmtenet'!B59)</f>
        <v>0</v>
      </c>
      <c r="D5" s="30">
        <f>SUM(D6:D15)</f>
        <v>21745.960608658002</v>
      </c>
      <c r="E5" s="17">
        <f>SUM(E6:E15)</f>
        <v>1124.3365672580292</v>
      </c>
      <c r="F5" s="17">
        <f>SUM(F6:F15)</f>
        <v>3888.5640909000986</v>
      </c>
      <c r="G5" s="18"/>
      <c r="H5" s="17"/>
      <c r="I5" s="17"/>
      <c r="J5" s="17">
        <f>SUM(J6:J15)</f>
        <v>47.064118539082962</v>
      </c>
      <c r="K5" s="17"/>
      <c r="L5" s="17"/>
      <c r="M5" s="17"/>
      <c r="N5" s="17">
        <f>SUM(N6:N15)</f>
        <v>1340.3098194496645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1615.87464340524</v>
      </c>
      <c r="C8" s="33"/>
      <c r="D8" s="37">
        <f>IF( ISERROR(IND_metaal_Gas_kWH/1000),0,IND_metaal_Gas_kWH/1000)*0.902</f>
        <v>8281.0314488000004</v>
      </c>
      <c r="E8" s="33">
        <f>C30*'E Balans VL '!I18/100/3.6*1000000</f>
        <v>14.856406719538979</v>
      </c>
      <c r="F8" s="33">
        <f>C30*'E Balans VL '!L18/100/3.6*1000000+C30*'E Balans VL '!N18/100/3.6*1000000</f>
        <v>151.51524363886125</v>
      </c>
      <c r="G8" s="34"/>
      <c r="H8" s="33"/>
      <c r="I8" s="33"/>
      <c r="J8" s="40">
        <f>C30*'E Balans VL '!D18/100/3.6*1000000+C30*'E Balans VL '!E18/100/3.6*1000000</f>
        <v>0</v>
      </c>
      <c r="K8" s="33"/>
      <c r="L8" s="33"/>
      <c r="M8" s="33"/>
      <c r="N8" s="33">
        <f>C30*'E Balans VL '!Y18/100/3.6*1000000</f>
        <v>23.053122133475018</v>
      </c>
      <c r="O8" s="33"/>
      <c r="P8" s="33"/>
      <c r="R8" s="32"/>
    </row>
    <row r="9" spans="1:18">
      <c r="A9" s="6" t="s">
        <v>32</v>
      </c>
      <c r="B9" s="37">
        <f t="shared" si="0"/>
        <v>1305.26418054443</v>
      </c>
      <c r="C9" s="33"/>
      <c r="D9" s="37">
        <f>IF( ISERROR(IND_andere_gas_kWh/1000),0,IND_andere_gas_kWh/1000)*0.902</f>
        <v>1749.0609840000002</v>
      </c>
      <c r="E9" s="33">
        <f>C31*'E Balans VL '!I19/100/3.6*1000000</f>
        <v>381.55413046958137</v>
      </c>
      <c r="F9" s="33">
        <f>C31*'E Balans VL '!L19/100/3.6*1000000+C31*'E Balans VL '!N19/100/3.6*1000000</f>
        <v>1048.8785684876409</v>
      </c>
      <c r="G9" s="34"/>
      <c r="H9" s="33"/>
      <c r="I9" s="33"/>
      <c r="J9" s="40">
        <f>C31*'E Balans VL '!D19/100/3.6*1000000+C31*'E Balans VL '!E19/100/3.6*1000000</f>
        <v>0</v>
      </c>
      <c r="K9" s="33"/>
      <c r="L9" s="33"/>
      <c r="M9" s="33"/>
      <c r="N9" s="33">
        <f>C31*'E Balans VL '!Y19/100/3.6*1000000</f>
        <v>102.38314955272776</v>
      </c>
      <c r="O9" s="33"/>
      <c r="P9" s="33"/>
      <c r="R9" s="32"/>
    </row>
    <row r="10" spans="1:18">
      <c r="A10" s="6" t="s">
        <v>40</v>
      </c>
      <c r="B10" s="37">
        <f t="shared" si="0"/>
        <v>1196.2045154125899</v>
      </c>
      <c r="C10" s="33"/>
      <c r="D10" s="37">
        <f>IF( ISERROR(IND_voed_gas_kWh/1000),0,IND_voed_gas_kWh/1000)*0.902</f>
        <v>11394.726409858002</v>
      </c>
      <c r="E10" s="33">
        <f>C32*'E Balans VL '!I20/100/3.6*1000000</f>
        <v>2.5305891997260179</v>
      </c>
      <c r="F10" s="33">
        <f>C32*'E Balans VL '!L20/100/3.6*1000000+C32*'E Balans VL '!N20/100/3.6*1000000</f>
        <v>76.055904977013668</v>
      </c>
      <c r="G10" s="34"/>
      <c r="H10" s="33"/>
      <c r="I10" s="33"/>
      <c r="J10" s="40">
        <f>C32*'E Balans VL '!D20/100/3.6*1000000+C32*'E Balans VL '!E20/100/3.6*1000000</f>
        <v>0</v>
      </c>
      <c r="K10" s="33"/>
      <c r="L10" s="33"/>
      <c r="M10" s="33"/>
      <c r="N10" s="33">
        <f>C32*'E Balans VL '!Y20/100/3.6*1000000</f>
        <v>82.549915998063227</v>
      </c>
      <c r="O10" s="33"/>
      <c r="P10" s="33"/>
      <c r="R10" s="32"/>
    </row>
    <row r="11" spans="1:18">
      <c r="A11" s="6" t="s">
        <v>39</v>
      </c>
      <c r="B11" s="37">
        <f t="shared" si="0"/>
        <v>0</v>
      </c>
      <c r="C11" s="33"/>
      <c r="D11" s="37">
        <f>IF( ISERROR(IND_textiel_gas_kWh/1000),0,IND_textiel_gas_kWh/1000)*0.902</f>
        <v>247.02623000000003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516.609126198127</v>
      </c>
      <c r="C13" s="33"/>
      <c r="D13" s="37">
        <f>IF( ISERROR(IND_papier_gas_kWh/1000),0,IND_papier_gas_kWh/1000)*0.902</f>
        <v>48.626819999999995</v>
      </c>
      <c r="E13" s="33">
        <f>C35*'E Balans VL '!I23/100/3.6*1000000</f>
        <v>0.73295020248515819</v>
      </c>
      <c r="F13" s="33">
        <f>C35*'E Balans VL '!L23/100/3.6*1000000+C35*'E Balans VL '!N23/100/3.6*1000000</f>
        <v>12.612371346057198</v>
      </c>
      <c r="G13" s="34"/>
      <c r="H13" s="33"/>
      <c r="I13" s="33"/>
      <c r="J13" s="40">
        <f>C35*'E Balans VL '!D23/100/3.6*1000000+C35*'E Balans VL '!E23/100/3.6*1000000</f>
        <v>7.9898451588577266E-2</v>
      </c>
      <c r="K13" s="33"/>
      <c r="L13" s="33"/>
      <c r="M13" s="33"/>
      <c r="N13" s="33">
        <f>C35*'E Balans VL '!Y23/100/3.6*1000000</f>
        <v>211.07899863457158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13124.153533942099</v>
      </c>
      <c r="C15" s="33"/>
      <c r="D15" s="37">
        <f>IF( ISERROR(IND_rest_gas_kWh/1000),0,IND_rest_gas_kWh/1000)*0.902</f>
        <v>25.488716</v>
      </c>
      <c r="E15" s="33">
        <f>C37*'E Balans VL '!I15/100/3.6*1000000</f>
        <v>724.66249066669764</v>
      </c>
      <c r="F15" s="33">
        <f>C37*'E Balans VL '!L15/100/3.6*1000000+C37*'E Balans VL '!N15/100/3.6*1000000</f>
        <v>2599.5020024505257</v>
      </c>
      <c r="G15" s="34"/>
      <c r="H15" s="33"/>
      <c r="I15" s="33"/>
      <c r="J15" s="40">
        <f>C37*'E Balans VL '!D15/100/3.6*1000000+C37*'E Balans VL '!E15/100/3.6*1000000</f>
        <v>46.984220087494386</v>
      </c>
      <c r="K15" s="33"/>
      <c r="L15" s="33"/>
      <c r="M15" s="33"/>
      <c r="N15" s="33">
        <f>C37*'E Balans VL '!Y15/100/3.6*1000000</f>
        <v>921.24463313082697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17758.105999502484</v>
      </c>
      <c r="C18" s="21">
        <f>C5+C16</f>
        <v>0</v>
      </c>
      <c r="D18" s="21">
        <f>MAX((D5+D16),0)</f>
        <v>21745.960608658002</v>
      </c>
      <c r="E18" s="21">
        <f>MAX((E5+E16),0)</f>
        <v>1124.3365672580292</v>
      </c>
      <c r="F18" s="21">
        <f>MAX((F5+F16),0)</f>
        <v>3888.5640909000986</v>
      </c>
      <c r="G18" s="21"/>
      <c r="H18" s="21"/>
      <c r="I18" s="21"/>
      <c r="J18" s="21">
        <f>MAX((J5+J16),0)</f>
        <v>47.064118539082962</v>
      </c>
      <c r="K18" s="21"/>
      <c r="L18" s="21">
        <f>MAX((L5+L16),0)</f>
        <v>0</v>
      </c>
      <c r="M18" s="21"/>
      <c r="N18" s="21">
        <f>MAX((N5+N16),0)</f>
        <v>1340.3098194496645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0.21086117534484544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3744.495102953445</v>
      </c>
      <c r="C22" s="23">
        <f ca="1">C18*C20</f>
        <v>0</v>
      </c>
      <c r="D22" s="23">
        <f>D18*D20</f>
        <v>4392.6840429489166</v>
      </c>
      <c r="E22" s="23">
        <f>E18*E20</f>
        <v>255.22440076757263</v>
      </c>
      <c r="F22" s="23">
        <f>F18*F20</f>
        <v>1038.2466122703263</v>
      </c>
      <c r="G22" s="23"/>
      <c r="H22" s="23"/>
      <c r="I22" s="23"/>
      <c r="J22" s="23">
        <f>J18*J20</f>
        <v>16.660697962835368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1615.87464340524</v>
      </c>
      <c r="C30" s="39">
        <f>IF(ISERROR(B30*3.6/1000000/'E Balans VL '!Z18*100),0,B30*3.6/1000000/'E Balans VL '!Z18*100)</f>
        <v>9.1575759415357352E-2</v>
      </c>
      <c r="D30" s="233" t="s">
        <v>726</v>
      </c>
    </row>
    <row r="31" spans="1:18">
      <c r="A31" s="6" t="s">
        <v>32</v>
      </c>
      <c r="B31" s="37">
        <f>IF( ISERROR(IND_ander_ele_kWh/1000),0,IND_ander_ele_kWh/1000)</f>
        <v>1305.26418054443</v>
      </c>
      <c r="C31" s="39">
        <f>IF(ISERROR(B31*3.6/1000000/'E Balans VL '!Z19*100),0,B31*3.6/1000000/'E Balans VL '!Z19*100)</f>
        <v>5.9201348204042513E-2</v>
      </c>
      <c r="D31" s="233" t="s">
        <v>726</v>
      </c>
    </row>
    <row r="32" spans="1:18">
      <c r="A32" s="168" t="s">
        <v>40</v>
      </c>
      <c r="B32" s="37">
        <f>IF( ISERROR(IND_voed_ele_kWh/1000),0,IND_voed_ele_kWh/1000)</f>
        <v>1196.2045154125899</v>
      </c>
      <c r="C32" s="39">
        <f>IF(ISERROR(B32*3.6/1000000/'E Balans VL '!Z20*100),0,B32*3.6/1000000/'E Balans VL '!Z20*100)</f>
        <v>3.7004035971700475E-2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516.609126198127</v>
      </c>
      <c r="C35" s="39">
        <f>IF(ISERROR(B35*3.6/1000000/'E Balans VL '!Z22*100),0,B35*3.6/1000000/'E Balans VL '!Z22*100)</f>
        <v>9.2921863783935549E-2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13124.153533942099</v>
      </c>
      <c r="C37" s="39">
        <f>IF(ISERROR(B37*3.6/1000000/'E Balans VL '!Z15*100),0,B37*3.6/1000000/'E Balans VL '!Z15*100)</f>
        <v>0.10402503474992958</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533.64610184881201</v>
      </c>
      <c r="C5" s="17">
        <f>'Eigen informatie GS &amp; warmtenet'!B60</f>
        <v>0</v>
      </c>
      <c r="D5" s="30">
        <f>IF(ISERROR(SUM(LB_lb_gas_kWh,LB_rest_gas_kWh)/1000),0,SUM(LB_lb_gas_kWh,LB_rest_gas_kWh)/1000)*0.902</f>
        <v>2671.21953846</v>
      </c>
      <c r="E5" s="17">
        <f>B17*'E Balans VL '!I25/3.6*1000000/100</f>
        <v>15.685488876662134</v>
      </c>
      <c r="F5" s="17">
        <f>B17*('E Balans VL '!L25/3.6*1000000+'E Balans VL '!N25/3.6*1000000)/100</f>
        <v>2223.1408235803792</v>
      </c>
      <c r="G5" s="18"/>
      <c r="H5" s="17"/>
      <c r="I5" s="17"/>
      <c r="J5" s="17">
        <f>('E Balans VL '!D25+'E Balans VL '!E25)/3.6*1000000*landbouw!B17/100</f>
        <v>77.313859976672262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533.64610184881201</v>
      </c>
      <c r="C8" s="21">
        <f>C5+C6</f>
        <v>0</v>
      </c>
      <c r="D8" s="21">
        <f>MAX((D5+D6),0)</f>
        <v>2671.21953846</v>
      </c>
      <c r="E8" s="21">
        <f>MAX((E5+E6),0)</f>
        <v>15.685488876662134</v>
      </c>
      <c r="F8" s="21">
        <f>MAX((F5+F6),0)</f>
        <v>2223.1408235803792</v>
      </c>
      <c r="G8" s="21"/>
      <c r="H8" s="21"/>
      <c r="I8" s="21"/>
      <c r="J8" s="21">
        <f>MAX((J5+J6),0)</f>
        <v>77.313859976672262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0.21086117534484544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112.5252442540356</v>
      </c>
      <c r="C12" s="23">
        <f ca="1">C8*C10</f>
        <v>0</v>
      </c>
      <c r="D12" s="23">
        <f>D8*D10</f>
        <v>539.58634676892007</v>
      </c>
      <c r="E12" s="23">
        <f>E8*E10</f>
        <v>3.5606059750023045</v>
      </c>
      <c r="F12" s="23">
        <f>F8*F10</f>
        <v>593.57859989596125</v>
      </c>
      <c r="G12" s="23"/>
      <c r="H12" s="23"/>
      <c r="I12" s="23"/>
      <c r="J12" s="23">
        <f>J8*J10</f>
        <v>27.369106431741979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7.572605611593114E-2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29.041632753949504</v>
      </c>
      <c r="C26" s="243">
        <f>B26*'GWP N2O_CH4'!B5</f>
        <v>609.87428783293956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4.967779560991838</v>
      </c>
      <c r="C27" s="243">
        <f>B27*'GWP N2O_CH4'!B5</f>
        <v>104.3233707808286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0.36658377185977153</v>
      </c>
      <c r="C28" s="243">
        <f>B28*'GWP N2O_CH4'!B4</f>
        <v>113.64096927652918</v>
      </c>
      <c r="D28" s="50"/>
    </row>
    <row r="29" spans="1:4">
      <c r="A29" s="41" t="s">
        <v>265</v>
      </c>
      <c r="B29" s="243">
        <f>B34*'ha_N2O bodem landbouw'!B4</f>
        <v>1.9151118573304167</v>
      </c>
      <c r="C29" s="243">
        <f>B29*'GWP N2O_CH4'!B4</f>
        <v>593.68467577242916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4.3702192607373625E-4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4.2930645600865858E-4</v>
      </c>
      <c r="C5" s="429" t="s">
        <v>204</v>
      </c>
      <c r="D5" s="414">
        <f>SUM(D6:D11)</f>
        <v>7.1302909668609848E-4</v>
      </c>
      <c r="E5" s="414">
        <f>SUM(E6:E11)</f>
        <v>1.2576678189145638E-3</v>
      </c>
      <c r="F5" s="427" t="s">
        <v>204</v>
      </c>
      <c r="G5" s="414">
        <f>SUM(G6:G11)</f>
        <v>0.90192455653168713</v>
      </c>
      <c r="H5" s="414">
        <f>SUM(H6:H11)</f>
        <v>0.11503545697387869</v>
      </c>
      <c r="I5" s="429" t="s">
        <v>204</v>
      </c>
      <c r="J5" s="429" t="s">
        <v>204</v>
      </c>
      <c r="K5" s="429" t="s">
        <v>204</v>
      </c>
      <c r="L5" s="429" t="s">
        <v>204</v>
      </c>
      <c r="M5" s="414">
        <f>SUM(M6:M11)</f>
        <v>5.6081878295762361E-2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3.3588976820356892E-4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5.6468976633276293E-4</v>
      </c>
      <c r="E6" s="857">
        <f>vkm_GW_PW*SUMIFS(TableVerdeelsleutelVkm[LPG],TableVerdeelsleutelVkm[Voertuigtype],"Lichte voertuigen")*SUMIFS(TableECFTransport[EnergieConsumptieFactor (PJ per km)],TableECFTransport[Index],CONCATENATE($A6,"_LPG_LPG"))</f>
        <v>9.9357648144656504E-4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0.2947912652944551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9.1233313160627647E-2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1.9909293471251178E-2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1.439319762493235E-5</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0.4623155327454434</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7.5429491663049014E-6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2.7011036440062631E-2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5.4422084489804559E-5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1.1731428679113807E-4</v>
      </c>
      <c r="E8" s="417">
        <f>vkm_NGW_PW*SUMIFS(TableVerdeelsleutelVkm[LPG],TableVerdeelsleutelVkm[Voertuigtype],"Lichte voertuigen")*SUMIFS(TableECFTransport[EnergieConsumptieFactor (PJ per km)],TableECFTransport[Index],CONCATENATE($A8,"_LPG_LPG"))</f>
        <v>1.9766130581369345E-4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5.4536593133690948E-2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1.856401817514855E-2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3.7328665276783685E-3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1.4849488052872863E-6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6.1198636230200269E-2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9.3931621611035622E-7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3.575561863587551E-3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2.2755404099432642E-5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3.1025043562197437E-5</v>
      </c>
      <c r="E10" s="417">
        <f>vkm_SW_PW*SUMIFS(TableVerdeelsleutelVkm[LPG],TableVerdeelsleutelVkm[Voertuigtype],"Lichte voertuigen")*SUMIFS(TableECFTransport[EnergieConsumptieFactor (PJ per km)],TableECFTransport[Index],CONCATENATE($A10,"_LPG_LPG"))</f>
        <v>6.6430031654305302E-5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1.8036419236955478E-2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5.2294486193274793E-3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1.2077445873779217E-3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3.6105278563285385E-7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1.1046109890941968E-2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1.9475339261286083E-7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6.4537540580470365E-4</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119.2517933357385</v>
      </c>
      <c r="C14" s="21"/>
      <c r="D14" s="21">
        <f t="shared" ref="D14:M14" si="0">((D5)*10^9/3600)+D12</f>
        <v>198.06363796836069</v>
      </c>
      <c r="E14" s="21">
        <f t="shared" si="0"/>
        <v>349.35217192071218</v>
      </c>
      <c r="F14" s="21"/>
      <c r="G14" s="21">
        <f t="shared" si="0"/>
        <v>250534.59903657975</v>
      </c>
      <c r="H14" s="21">
        <f t="shared" si="0"/>
        <v>31954.293603855192</v>
      </c>
      <c r="I14" s="21"/>
      <c r="J14" s="21"/>
      <c r="K14" s="21"/>
      <c r="L14" s="21"/>
      <c r="M14" s="21">
        <f t="shared" si="0"/>
        <v>15578.299526600656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0.21086117534484544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25.145573304754425</v>
      </c>
      <c r="C18" s="23"/>
      <c r="D18" s="23">
        <f t="shared" ref="D18:M18" si="1">D14*D16</f>
        <v>40.008854869608861</v>
      </c>
      <c r="E18" s="23">
        <f t="shared" si="1"/>
        <v>79.302943026001671</v>
      </c>
      <c r="F18" s="23"/>
      <c r="G18" s="23">
        <f t="shared" si="1"/>
        <v>66892.737942766791</v>
      </c>
      <c r="H18" s="23">
        <f t="shared" si="1"/>
        <v>7956.619107359943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5.7033558559168042E-5</v>
      </c>
      <c r="C50" s="313">
        <f t="shared" ref="C50:P50" si="2">SUM(C51:C52)</f>
        <v>0</v>
      </c>
      <c r="D50" s="313">
        <f t="shared" si="2"/>
        <v>0</v>
      </c>
      <c r="E50" s="313">
        <f t="shared" si="2"/>
        <v>0</v>
      </c>
      <c r="F50" s="313">
        <f t="shared" si="2"/>
        <v>0</v>
      </c>
      <c r="G50" s="313">
        <f t="shared" si="2"/>
        <v>5.3577367174538985E-3</v>
      </c>
      <c r="H50" s="313">
        <f t="shared" si="2"/>
        <v>0</v>
      </c>
      <c r="I50" s="313">
        <f t="shared" si="2"/>
        <v>0</v>
      </c>
      <c r="J50" s="313">
        <f t="shared" si="2"/>
        <v>0</v>
      </c>
      <c r="K50" s="313">
        <f t="shared" si="2"/>
        <v>0</v>
      </c>
      <c r="L50" s="313">
        <f t="shared" si="2"/>
        <v>0</v>
      </c>
      <c r="M50" s="313">
        <f t="shared" si="2"/>
        <v>3.0853597086781293E-4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5.7033558559168042E-5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5.3577367174538985E-3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3.0853597086781293E-4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15.842655155324456</v>
      </c>
      <c r="C54" s="21">
        <f t="shared" ref="C54:P54" si="3">(C50)*10^9/3600</f>
        <v>0</v>
      </c>
      <c r="D54" s="21">
        <f t="shared" si="3"/>
        <v>0</v>
      </c>
      <c r="E54" s="21">
        <f t="shared" si="3"/>
        <v>0</v>
      </c>
      <c r="F54" s="21">
        <f t="shared" si="3"/>
        <v>0</v>
      </c>
      <c r="G54" s="21">
        <f t="shared" si="3"/>
        <v>1488.2601992927496</v>
      </c>
      <c r="H54" s="21">
        <f t="shared" si="3"/>
        <v>0</v>
      </c>
      <c r="I54" s="21">
        <f t="shared" si="3"/>
        <v>0</v>
      </c>
      <c r="J54" s="21">
        <f t="shared" si="3"/>
        <v>0</v>
      </c>
      <c r="K54" s="21">
        <f t="shared" si="3"/>
        <v>0</v>
      </c>
      <c r="L54" s="21">
        <f t="shared" si="3"/>
        <v>0</v>
      </c>
      <c r="M54" s="21">
        <f t="shared" si="3"/>
        <v>85.704436352170262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0.21086117534484544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3.3406008866347898</v>
      </c>
      <c r="C58" s="23">
        <f t="shared" ref="C58:P58" ca="1" si="4">C54*C56</f>
        <v>0</v>
      </c>
      <c r="D58" s="23">
        <f t="shared" si="4"/>
        <v>0</v>
      </c>
      <c r="E58" s="23">
        <f t="shared" si="4"/>
        <v>0</v>
      </c>
      <c r="F58" s="23">
        <f t="shared" si="4"/>
        <v>0</v>
      </c>
      <c r="G58" s="23">
        <f t="shared" si="4"/>
        <v>397.36547321116416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3580.126199138328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3580.126199138328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2021-11-11T12:44:16Z</dcterms:modified>
</cp:coreProperties>
</file>