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5\"/>
    </mc:Choice>
  </mc:AlternateContent>
  <xr:revisionPtr revIDLastSave="0" documentId="8_{F235E1CC-786D-4EF8-9A7F-95219C40273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D14" i="48" l="1"/>
  <c r="P32" i="48"/>
  <c r="O32" i="48"/>
  <c r="R25" i="14"/>
  <c r="O31" i="48"/>
  <c r="P31" i="48"/>
  <c r="F20" i="18"/>
  <c r="L6" i="17"/>
  <c r="O25" i="48"/>
  <c r="D13" i="15"/>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H49" i="18"/>
  <c r="D49" i="18"/>
  <c r="G49" i="18"/>
  <c r="C49" i="18"/>
  <c r="F49" i="18"/>
  <c r="B49" i="18"/>
  <c r="C17" i="18" s="1"/>
  <c r="Q14" i="48"/>
  <c r="O24" i="48"/>
  <c r="O30" i="48"/>
  <c r="P24" i="48"/>
  <c r="P30" i="48"/>
  <c r="E78" i="14"/>
  <c r="E90" i="14"/>
  <c r="N78" i="14"/>
  <c r="Q77" i="14" l="1"/>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D10" i="22" s="1"/>
  <c r="A4" i="23"/>
  <c r="B51"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5" i="13"/>
  <c r="C35" i="13" s="1"/>
  <c r="B33" i="13"/>
  <c r="B32" i="13"/>
  <c r="C34" i="13"/>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P4" i="48"/>
  <c r="P22" i="48" s="1"/>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Q46" i="14"/>
  <c r="Q61" i="14" s="1"/>
  <c r="G14" i="22"/>
  <c r="M14" i="22"/>
  <c r="J63" i="14"/>
  <c r="P33" i="48"/>
  <c r="P46" i="14"/>
  <c r="P61" i="14" s="1"/>
  <c r="E7" i="48"/>
  <c r="E25" i="48" s="1"/>
  <c r="F24" i="14"/>
  <c r="F26" i="14" s="1"/>
  <c r="I23" i="48"/>
  <c r="I33" i="48" s="1"/>
  <c r="I15" i="48"/>
  <c r="O22" i="16"/>
  <c r="P43"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F5" i="16"/>
  <c r="N12" i="13"/>
  <c r="O41" i="14" s="1"/>
  <c r="J12" i="13"/>
  <c r="K41" i="14" s="1"/>
  <c r="L20" i="15"/>
  <c r="M40" i="14" s="1"/>
  <c r="N22" i="14" l="1"/>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<sst xmlns="http://schemas.openxmlformats.org/spreadsheetml/2006/main" count="2482" uniqueCount="909">
  <si>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</si>
  <si>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</si>
  <si>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</si>
  <si>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</si>
  <si>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</si>
  <si>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</si>
  <si>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</si>
  <si>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</si>
  <si>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</si>
  <si>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</si>
  <si>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</si>
  <si>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</si>
  <si>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</si>
  <si>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</si>
  <si>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</si>
  <si>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</si>
  <si>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</si>
  <si>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</si>
  <si>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</si>
  <si>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</si>
  <si>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</si>
  <si>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</si>
  <si>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</si>
  <si>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</si>
  <si>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</si>
  <si>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</si>
  <si>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</si>
  <si>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</si>
  <si>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</si>
  <si>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</si>
  <si>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</si>
  <si>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</si>
  <si>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</si>
  <si>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</si>
  <si>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</si>
  <si>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</si>
  <si>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</si>
  <si>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</si>
  <si>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</si>
  <si>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</si>
  <si>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</si>
  <si>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</si>
  <si>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</si>
  <si>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</si>
  <si>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</si>
  <si>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</si>
  <si>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</si>
  <si>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</si>
  <si>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</si>
  <si>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</si>
  <si>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</si>
  <si>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</si>
  <si>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</si>
  <si>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</si>
  <si>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</si>
  <si>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</si>
  <si>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</si>
  <si>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</si>
  <si>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</si>
  <si>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</si>
  <si>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</si>
  <si>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</si>
  <si>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</si>
  <si>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</si>
  <si>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</si>
  <si>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</si>
  <si>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</si>
  <si>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</si>
  <si>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</si>
  <si>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</si>
  <si>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</si>
  <si>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</si>
  <si>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</si>
  <si>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</si>
  <si>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</si>
  <si>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</si>
  <si>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</si>
  <si>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</si>
  <si>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</si>
  <si>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</si>
  <si>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</si>
  <si>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</si>
  <si>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</si>
  <si>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</si>
  <si>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</si>
  <si>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</si>
  <si>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</si>
  <si>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</si>
  <si>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</si>
  <si>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</si>
  <si>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</si>
  <si>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</si>
  <si>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</si>
  <si>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</si>
  <si>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</si>
  <si>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</si>
  <si>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</si>
  <si>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</si>
  <si>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</si>
  <si>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</si>
  <si>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</si>
  <si>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</si>
  <si>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</si>
  <si>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</si>
  <si>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</si>
  <si>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</si>
  <si>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</si>
  <si>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</si>
  <si>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</si>
  <si>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</si>
  <si>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</si>
  <si>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</si>
  <si>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</si>
  <si>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</si>
  <si>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</si>
  <si>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</si>
  <si>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</si>
  <si>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</si>
  <si>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</si>
  <si>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</si>
  <si>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</si>
  <si>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</si>
  <si>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</si>
  <si>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</si>
  <si>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</si>
  <si>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</si>
  <si>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</si>
  <si>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</si>
  <si>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</si>
  <si>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</si>
  <si>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</si>
  <si>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</si>
  <si>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</si>
  <si>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</si>
  <si>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</si>
  <si>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</si>
  <si>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</si>
  <si>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</si>
  <si>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</si>
  <si>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</si>
  <si>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</si>
  <si>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</si>
  <si>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</si>
  <si>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</si>
  <si>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</si>
  <si>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</si>
  <si>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</si>
  <si>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</si>
  <si>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</si>
  <si>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</si>
  <si>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</si>
  <si>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</si>
  <si>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</si>
  <si>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</si>
  <si>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</si>
  <si>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</si>
  <si>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</si>
  <si>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</si>
  <si>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</si>
  <si>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</si>
  <si>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</si>
  <si>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</si>
  <si>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</si>
  <si>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</si>
  <si>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</si>
  <si>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</si>
  <si>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</si>
  <si>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</si>
  <si>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</si>
  <si>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</si>
  <si>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</si>
  <si>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</si>
  <si>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</si>
  <si>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</si>
  <si>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</si>
  <si>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</si>
  <si>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</si>
  <si>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</si>
  <si>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</si>
  <si>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</si>
  <si>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</si>
  <si>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</si>
  <si>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</si>
  <si>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</si>
  <si>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</si>
  <si>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</si>
  <si>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</si>
  <si>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</si>
  <si>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</si>
  <si>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</si>
  <si>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</si>
  <si>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</si>
  <si>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</si>
  <si>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</si>
  <si>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</si>
  <si>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</si>
  <si>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</si>
  <si>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</si>
  <si>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</si>
  <si>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</si>
  <si>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</si>
  <si>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</si>
  <si>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</si>
  <si>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</si>
  <si>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</si>
  <si>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</si>
  <si>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</si>
  <si>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</si>
  <si>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</si>
  <si>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</si>
  <si>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</si>
  <si>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</si>
  <si>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</si>
  <si>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</si>
  <si>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</si>
  <si>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</si>
  <si>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</si>
  <si>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</si>
  <si>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</si>
  <si>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</si>
  <si>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</si>
  <si>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</si>
  <si>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</si>
  <si>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</si>
  <si>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</si>
  <si>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</si>
  <si>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</si>
  <si>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</si>
  <si>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</si>
  <si>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</si>
  <si>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</si>
  <si>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</si>
  <si>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</si>
  <si>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</si>
  <si>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</si>
  <si>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</si>
  <si>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</si>
  <si>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</si>
  <si>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</si>
  <si>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</si>
  <si>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</si>
  <si>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</si>
  <si>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</si>
  <si>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</si>
  <si>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</si>
  <si>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</si>
  <si>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</si>
  <si>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</si>
  <si>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</si>
  <si>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</si>
  <si>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</si>
  <si>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</si>
  <si>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</si>
  <si>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</si>
  <si>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</si>
  <si>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</si>
  <si>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</si>
  <si>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</si>
  <si>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</si>
  <si>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</si>
  <si>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</si>
  <si>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</si>
  <si>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</si>
  <si>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</si>
  <si>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</si>
  <si>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</si>
  <si>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</si>
  <si>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</si>
  <si>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</si>
  <si>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</si>
  <si>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</si>
  <si>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</si>
  <si>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</si>
  <si>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</si>
  <si>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</si>
  <si>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</si>
  <si>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</si>
  <si>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</si>
  <si>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</si>
  <si>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</si>
  <si>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</si>
  <si>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</si>
  <si>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</si>
  <si>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</si>
  <si>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</si>
  <si>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</si>
  <si>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</si>
  <si>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</si>
  <si>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</si>
  <si>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</si>
  <si>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</si>
  <si>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</si>
  <si>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</si>
  <si>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</si>
  <si>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</si>
  <si>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</si>
  <si>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</si>
  <si>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</si>
  <si>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</si>
  <si>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</si>
  <si>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</si>
  <si>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</si>
  <si>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</si>
  <si>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</si>
  <si>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</si>
  <si>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</si>
  <si>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</si>
  <si>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</si>
  <si>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</si>
  <si>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</si>
  <si>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</si>
  <si>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</si>
  <si>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</si>
  <si>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</si>
  <si>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</si>
  <si>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</si>
  <si>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</si>
  <si>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</si>
  <si>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</si>
  <si>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</si>
  <si>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</si>
  <si>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</si>
  <si>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</si>
  <si>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</si>
  <si>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</si>
  <si>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</si>
  <si>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</si>
  <si>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</si>
  <si>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</si>
  <si>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</si>
  <si>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</si>
  <si>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</si>
  <si>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</si>
  <si>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</si>
  <si>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</si>
  <si>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</si>
  <si>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</si>
  <si>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</si>
  <si>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</si>
  <si>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</si>
  <si>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</si>
  <si>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</si>
  <si>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</si>
  <si>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</si>
  <si>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</si>
  <si>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</si>
  <si>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</si>
  <si>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</si>
  <si>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</si>
  <si>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</si>
  <si>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</si>
  <si>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</si>
  <si>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</si>
  <si>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</si>
  <si>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</si>
  <si>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</si>
  <si>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</si>
  <si>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</si>
  <si>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</si>
  <si>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</si>
  <si>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</si>
  <si>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</si>
  <si>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</si>
  <si>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</si>
  <si>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</si>
  <si>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</si>
  <si>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</si>
  <si>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</si>
  <si>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</si>
  <si>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</si>
  <si>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</si>
  <si>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</si>
  <si>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</si>
  <si>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</si>
  <si>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</si>
  <si>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</si>
  <si>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</si>
  <si>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</si>
  <si>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</si>
  <si>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</si>
  <si>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</si>
  <si>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</si>
  <si>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</si>
  <si>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</si>
  <si>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</si>
  <si>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</si>
  <si>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</si>
  <si>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</si>
  <si>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</si>
  <si>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</si>
  <si>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</si>
  <si>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</si>
  <si>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</si>
  <si>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</si>
  <si>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</si>
  <si>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</si>
  <si>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</si>
  <si>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</si>
  <si>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</si>
  <si>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</si>
  <si>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</si>
  <si>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</si>
  <si>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</si>
  <si>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</si>
  <si>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</si>
  <si>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</si>
  <si>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</si>
  <si>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</si>
  <si>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</si>
  <si>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</si>
  <si>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</si>
  <si>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</si>
  <si>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</si>
  <si>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</si>
  <si>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</si>
  <si>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</si>
  <si>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</si>
  <si>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</si>
  <si>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</si>
  <si>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</si>
  <si>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</si>
  <si>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</si>
  <si>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</si>
  <si>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</si>
  <si>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</si>
  <si>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</si>
  <si>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</si>
  <si>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</si>
  <si>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</si>
  <si>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</si>
  <si>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</si>
  <si>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</si>
  <si>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</si>
  <si>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</si>
  <si>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</si>
  <si>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</si>
  <si>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</si>
  <si>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</si>
  <si>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</si>
  <si>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</si>
  <si>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</si>
  <si>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</si>
  <si>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</si>
  <si>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</si>
  <si>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</si>
  <si>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</si>
  <si>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</si>
  <si>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</si>
  <si>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</si>
  <si>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</si>
  <si>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</si>
  <si>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</si>
  <si>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</si>
  <si>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</si>
  <si>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</si>
  <si>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</si>
  <si>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</si>
  <si>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</si>
  <si>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</si>
  <si>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</si>
  <si>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</si>
  <si>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</si>
  <si>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</si>
  <si>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</si>
  <si>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</si>
  <si>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</si>
  <si>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</si>
  <si>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</si>
  <si>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</si>
  <si>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</si>
  <si>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</si>
  <si>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</si>
  <si>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</si>
  <si>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</si>
  <si>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</si>
  <si>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</si>
  <si>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</si>
  <si>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</si>
  <si>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</si>
  <si>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</si>
  <si>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</si>
  <si>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</si>
  <si>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</si>
  <si>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</si>
  <si>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</si>
  <si>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</si>
  <si>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</si>
  <si>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</si>
  <si>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</si>
  <si>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</si>
  <si>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</si>
  <si>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</si>
  <si>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</si>
  <si>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</si>
  <si>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</si>
  <si>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</si>
  <si>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</si>
  <si>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</si>
  <si>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</si>
  <si>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</si>
  <si>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</si>
  <si>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</si>
  <si>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</si>
  <si>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</si>
  <si>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</si>
  <si>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</si>
  <si>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</si>
  <si>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</si>
  <si>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</si>
  <si>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</si>
  <si>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</si>
  <si>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</si>
  <si>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</si>
  <si>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</si>
  <si>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</si>
  <si>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</si>
  <si>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</si>
  <si>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</si>
  <si>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</si>
  <si>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</si>
  <si>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</si>
  <si>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</si>
  <si>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</si>
  <si>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</si>
  <si>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</si>
  <si>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</si>
  <si>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</si>
  <si>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</si>
  <si>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</si>
  <si>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</si>
  <si>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</si>
  <si>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</si>
  <si>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</si>
  <si>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</si>
  <si>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</si>
  <si>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</si>
  <si>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</si>
  <si>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</si>
  <si>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</si>
  <si>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</si>
  <si>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</si>
  <si>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</si>
  <si>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</si>
  <si>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</si>
  <si>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</si>
  <si>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</si>
  <si>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</si>
  <si>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</si>
  <si>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</si>
  <si>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</si>
  <si>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</si>
  <si>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</si>
  <si>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</si>
  <si>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</si>
  <si>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</si>
  <si>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</si>
  <si>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</si>
  <si>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</si>
  <si>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</si>
  <si>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</si>
  <si>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</si>
  <si>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</si>
  <si>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</si>
  <si>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</si>
  <si>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</si>
  <si>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</si>
  <si>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</si>
  <si>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</si>
  <si>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</si>
  <si>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</si>
  <si>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</si>
  <si>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</si>
  <si>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</si>
  <si>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</si>
  <si>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</si>
  <si>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</si>
  <si>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</si>
  <si>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</si>
  <si>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</si>
  <si>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</si>
  <si>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</si>
  <si>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</si>
  <si>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</si>
  <si>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</si>
  <si>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</si>
  <si>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</si>
  <si>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</si>
  <si>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</si>
  <si>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</si>
  <si>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</si>
  <si>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</si>
  <si>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</si>
  <si>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</si>
  <si>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</si>
  <si>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</si>
  <si>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</si>
  <si>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</si>
  <si>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</si>
  <si>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</si>
  <si>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</si>
  <si>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</si>
  <si>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</si>
  <si>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</si>
  <si>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</si>
  <si>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</si>
  <si>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</si>
  <si>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</si>
  <si>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</si>
  <si>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</si>
  <si>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</si>
  <si>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</si>
  <si>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</si>
  <si>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</si>
  <si>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</si>
  <si>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</si>
  <si>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</si>
  <si>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</si>
  <si>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</si>
  <si>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</si>
  <si>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</si>
  <si>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</si>
  <si>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</si>
  <si>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</si>
  <si>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</si>
  <si>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</si>
  <si>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</si>
  <si>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</si>
  <si>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</si>
  <si>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</si>
  <si>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</si>
  <si>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</si>
  <si>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</si>
  <si>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</si>
  <si>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</si>
  <si>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</si>
  <si>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</si>
  <si>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</si>
  <si>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</si>
  <si>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</si>
  <si>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</si>
  <si>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</si>
  <si>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</si>
  <si>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</si>
  <si>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</si>
  <si>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</si>
  <si>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</si>
  <si>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</si>
  <si>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</si>
  <si>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</si>
  <si>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</si>
  <si>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</si>
  <si>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</si>
  <si>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</si>
  <si>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</si>
  <si>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</si>
  <si>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</si>
  <si>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</si>
  <si>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</si>
  <si>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</si>
  <si>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</si>
  <si>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</si>
  <si>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</si>
  <si>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</si>
  <si>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</si>
  <si>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</si>
  <si>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</si>
  <si>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</si>
  <si>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</si>
  <si>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</si>
  <si>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</si>
  <si>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</si>
  <si>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</si>
  <si>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</si>
  <si>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</si>
  <si>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</si>
  <si>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</si>
  <si>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</si>
  <si>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</si>
  <si>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</si>
  <si>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</si>
  <si>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</si>
  <si>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</si>
  <si>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</si>
  <si>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</si>
  <si>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</si>
  <si>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</si>
  <si>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</si>
  <si>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</si>
  <si>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</si>
  <si>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</si>
  <si>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</si>
  <si>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</si>
  <si>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</si>
  <si>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</si>
  <si>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</si>
  <si>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</si>
  <si>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</si>
  <si>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</si>
  <si>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</si>
  <si>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</si>
  <si>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</si>
  <si>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</si>
  <si>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</si>
  <si>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</si>
  <si>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</si>
  <si>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</si>
  <si>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</si>
  <si>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</si>
  <si>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</si>
  <si>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</si>
  <si>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</si>
  <si>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</si>
  <si>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</si>
  <si>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</si>
  <si>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</si>
  <si>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</si>
  <si>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</si>
  <si>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</si>
  <si>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</si>
  <si>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</si>
  <si>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</si>
  <si>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</si>
  <si>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</si>
  <si>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</si>
  <si>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</si>
  <si>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</si>
  <si>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</si>
  <si>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</si>
  <si>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</si>
  <si>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</si>
  <si>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</si>
  <si>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</si>
  <si>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</si>
  <si>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</si>
  <si>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</si>
  <si>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</si>
  <si>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</si>
  <si>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</si>
  <si>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</si>
  <si>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</si>
  <si>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</si>
  <si>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</si>
  <si>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</si>
  <si>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</si>
  <si>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</si>
  <si>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</si>
  <si>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</si>
  <si>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</si>
  <si>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</si>
  <si>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</si>
  <si>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</si>
  <si>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</si>
  <si>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</si>
  <si>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</si>
  <si>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</si>
  <si>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</si>
  <si>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</si>
  <si>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</si>
  <si>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</si>
  <si>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</si>
  <si>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</si>
  <si>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</si>
  <si>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</si>
  <si>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</si>
  <si>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</si>
  <si>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</si>
  <si>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</si>
  <si>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</si>
  <si>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</si>
  <si>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</si>
  <si>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</si>
  <si>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</si>
  <si>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</si>
  <si>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</si>
  <si>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</si>
  <si>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</si>
  <si>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</si>
  <si>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</si>
  <si>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</si>
  <si>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</si>
  <si>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</si>
  <si>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</si>
  <si>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</si>
  <si>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</si>
  <si>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</si>
  <si>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</si>
  <si>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</si>
  <si>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</si>
  <si>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</si>
  <si>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</si>
  <si>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</si>
  <si>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</si>
  <si>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</si>
  <si>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</si>
  <si>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</si>
  <si>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</si>
  <si>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</si>
  <si>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</si>
  <si>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</si>
  <si>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</si>
  <si>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</si>
  <si>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</si>
  <si>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</si>
  <si>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</si>
  <si>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</si>
  <si>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</si>
  <si>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</si>
  <si>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</si>
  <si>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</si>
  <si>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</si>
  <si>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</si>
  <si>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</si>
  <si>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</si>
  <si>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</si>
  <si>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</si>
  <si>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</si>
  <si>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</si>
  <si>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</si>
  <si>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</si>
  <si>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</si>
  <si>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</si>
  <si>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</si>
  <si>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</si>
  <si>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</si>
  <si>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</si>
  <si>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</si>
  <si>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</si>
  <si>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</si>
  <si>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</si>
  <si>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</si>
  <si>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</si>
  <si>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</si>
  <si>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</si>
  <si>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</si>
  <si>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</si>
  <si>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</si>
  <si>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</si>
  <si>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</si>
  <si>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</si>
  <si>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</si>
  <si>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</si>
  <si>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</si>
  <si>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</si>
  <si>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</si>
  <si>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</si>
  <si>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</si>
  <si>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</si>
  <si>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</si>
  <si>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</si>
  <si>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</si>
  <si>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</si>
  <si>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</si>
  <si>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</si>
  <si>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</si>
  <si>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</si>
  <si>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</si>
  <si>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</si>
  <si>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</si>
  <si>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</si>
  <si>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</si>
  <si>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</si>
  <si>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</si>
  <si>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</si>
  <si>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</si>
  <si>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</si>
  <si>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</si>
  <si>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</si>
  <si>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</si>
  <si>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</si>
  <si>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</si>
  <si>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</si>
  <si>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</si>
  <si>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</si>
  <si>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</si>
  <si>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</si>
  <si>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</si>
  <si>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</si>
  <si>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</si>
  <si>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</si>
  <si>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</si>
  <si>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</si>
  <si>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</si>
  <si>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</si>
  <si>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</si>
  <si>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</si>
  <si>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</si>
  <si>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</si>
  <si>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</si>
  <si>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</si>
  <si>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</si>
  <si>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</si>
  <si>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</si>
  <si>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</si>
  <si>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</si>
  <si>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</si>
  <si>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</si>
  <si>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</si>
  <si>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</si>
  <si>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</si>
  <si>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</si>
  <si>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46025</t>
  </si>
  <si>
    <t>TEMSE</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</si>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</sst>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6" fillId="0" borderId="212" applyNumberFormat="0" applyFill="0" applyBorder="0" applyProtection="0">
      <alignment horizontal="left" vertical="center"/>
    </xf>
    <xf numFmtId="173" fontId="25" fillId="8" borderId="216">
      <alignment horizontal="right" vertical="center"/>
    </xf>
    <xf numFmtId="49" fontId="126"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6"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6"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5"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30" fillId="65" borderId="217"/>
    <xf numFmtId="173"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6"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4"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2" fillId="0" borderId="0"/>
    <xf numFmtId="0" fontId="133" fillId="63" borderId="217">
      <alignment horizontal="center"/>
    </xf>
    <xf numFmtId="0" fontId="134"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31"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3"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31"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30"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6"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9"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31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2" fontId="0" fillId="0" borderId="0" xfId="0" applyNumberFormat="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2"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2" fontId="0" fillId="0" borderId="0" xfId="328" applyNumberFormat="1" applyFont="1"/>
    <xf numFmtId="182" fontId="25" fillId="0" borderId="0" xfId="328" applyNumberFormat="1" applyFont="1"/>
    <xf numFmtId="182"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2"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F1D32674-3E11-487A-A974-98D5E93A619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232572.9480412725</c:v>
                </c:pt>
                <c:pt idx="1">
                  <c:v>97852.663055354991</c:v>
                </c:pt>
                <c:pt idx="2">
                  <c:v>1616.146</c:v>
                </c:pt>
                <c:pt idx="3">
                  <c:v>6745.3900363616258</c:v>
                </c:pt>
                <c:pt idx="4">
                  <c:v>84841.774335493974</c:v>
                </c:pt>
                <c:pt idx="5">
                  <c:v>336124.50904327462</c:v>
                </c:pt>
                <c:pt idx="6">
                  <c:v>2402.8176420896111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232572.9480412725</c:v>
                </c:pt>
                <c:pt idx="1">
                  <c:v>97852.663055354991</c:v>
                </c:pt>
                <c:pt idx="2">
                  <c:v>1616.146</c:v>
                </c:pt>
                <c:pt idx="3">
                  <c:v>6745.3900363616258</c:v>
                </c:pt>
                <c:pt idx="4">
                  <c:v>84841.774335493974</c:v>
                </c:pt>
                <c:pt idx="5">
                  <c:v>336124.50904327462</c:v>
                </c:pt>
                <c:pt idx="6">
                  <c:v>2402.8176420896111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46569.838791285612</c:v>
                </c:pt>
                <c:pt idx="2">
                  <c:v>19354.653055025374</c:v>
                </c:pt>
                <c:pt idx="3">
                  <c:v>313.26717330982399</c:v>
                </c:pt>
                <c:pt idx="4">
                  <c:v>1688.333965211729</c:v>
                </c:pt>
                <c:pt idx="5">
                  <c:v>16967.760576614986</c:v>
                </c:pt>
                <c:pt idx="6">
                  <c:v>86216.015205416625</c:v>
                </c:pt>
                <c:pt idx="7">
                  <c:v>621.28586987895449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46569.838791285612</c:v>
                </c:pt>
                <c:pt idx="2">
                  <c:v>19354.653055025374</c:v>
                </c:pt>
                <c:pt idx="3">
                  <c:v>313.26717330982399</c:v>
                </c:pt>
                <c:pt idx="4">
                  <c:v>1688.333965211729</c:v>
                </c:pt>
                <c:pt idx="5">
                  <c:v>16967.760576614986</c:v>
                </c:pt>
                <c:pt idx="6">
                  <c:v>86216.015205416625</c:v>
                </c:pt>
                <c:pt idx="7">
                  <c:v>621.28586987895449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639</v>
      </c>
      <c r="B2" s="386"/>
      <c r="C2" s="387"/>
    </row>
    <row r="3" spans="1:7" s="11" customFormat="1" ht="15" customHeight="1">
      <c r="A3" s="93"/>
      <c r="B3" s="74"/>
      <c r="C3" s="94"/>
    </row>
    <row r="4" spans="1:7" s="11" customFormat="1" ht="15.75" customHeight="1" thickBot="1">
      <c r="A4" s="105" t="s">
        <v>864</v>
      </c>
      <c r="B4" s="106"/>
      <c r="C4" s="107"/>
    </row>
    <row r="5" spans="1:7" s="380" customFormat="1" ht="15.75" customHeight="1">
      <c r="A5" s="377" t="s">
        <v>0</v>
      </c>
      <c r="B5" s="378"/>
      <c r="C5" s="379"/>
    </row>
    <row r="6" spans="1:7" s="380" customFormat="1" ht="15" customHeight="1">
      <c r="A6" s="381" t="str">
        <f>txtNIS</f>
        <v>46025</v>
      </c>
      <c r="B6" s="382"/>
      <c r="C6" s="383"/>
    </row>
    <row r="7" spans="1:7" s="380" customFormat="1" ht="15.75" customHeight="1">
      <c r="A7" s="384" t="str">
        <f>txtMunicipality</f>
        <v>TEMSE</v>
      </c>
      <c r="B7" s="382"/>
      <c r="C7" s="383"/>
    </row>
    <row r="8" spans="1:7" ht="15.75" thickBot="1">
      <c r="A8" s="45"/>
      <c r="B8" s="108"/>
      <c r="C8" s="109"/>
    </row>
    <row r="9" spans="1:7" s="373" customFormat="1" ht="15.75" thickBot="1">
      <c r="A9" s="397" t="s">
        <v>344</v>
      </c>
      <c r="B9" s="400"/>
      <c r="C9" s="401"/>
    </row>
    <row r="10" spans="1:7" s="15" customFormat="1" ht="57.75" customHeight="1" thickBot="1">
      <c r="A10" s="1057" t="s">
        <v>899</v>
      </c>
      <c r="B10" s="1058"/>
      <c r="C10" s="1059"/>
    </row>
    <row r="11" spans="1:7" s="374" customFormat="1" ht="15.75" thickBot="1">
      <c r="A11" s="397" t="s">
        <v>346</v>
      </c>
      <c r="B11" s="400"/>
      <c r="C11" s="401"/>
      <c r="G11" s="375"/>
    </row>
    <row r="12" spans="1:7">
      <c r="A12" s="44"/>
      <c r="B12" s="43"/>
      <c r="C12" s="96"/>
    </row>
    <row r="13" spans="1:7" s="374" customFormat="1">
      <c r="A13" s="744" t="s">
        <v>606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60" t="s">
        <v>510</v>
      </c>
      <c r="C16" s="1061"/>
    </row>
    <row r="17" spans="1:3" s="15" customFormat="1" ht="15.75">
      <c r="A17" s="98"/>
      <c r="B17" s="70"/>
      <c r="C17" s="99"/>
    </row>
    <row r="18" spans="1:3">
      <c r="A18" s="95" t="s">
        <v>350</v>
      </c>
      <c r="B18" s="69" t="s">
        <v>362</v>
      </c>
      <c r="C18" s="100" t="s">
        <v>361</v>
      </c>
    </row>
    <row r="19" spans="1:3" s="330" customFormat="1">
      <c r="A19" s="364" t="s">
        <v>348</v>
      </c>
      <c r="B19" s="365" t="s">
        <v>670</v>
      </c>
      <c r="C19" s="366" t="s">
        <v>508</v>
      </c>
    </row>
    <row r="20" spans="1:3" s="330" customFormat="1">
      <c r="A20" s="367"/>
      <c r="B20" s="327"/>
      <c r="C20" s="368"/>
    </row>
    <row r="21" spans="1:3" s="330" customFormat="1">
      <c r="A21" s="369" t="s">
        <v>349</v>
      </c>
      <c r="B21" s="365" t="s">
        <v>505</v>
      </c>
      <c r="C21" s="366" t="s">
        <v>509</v>
      </c>
    </row>
    <row r="22" spans="1:3" s="330" customFormat="1">
      <c r="A22" s="370"/>
      <c r="B22" s="327"/>
      <c r="C22" s="368"/>
    </row>
    <row r="23" spans="1:3" s="330" customFormat="1" ht="30">
      <c r="A23" s="364" t="s">
        <v>426</v>
      </c>
      <c r="B23" s="434" t="s">
        <v>430</v>
      </c>
      <c r="C23" s="366" t="s">
        <v>506</v>
      </c>
    </row>
    <row r="24" spans="1:3" s="330" customFormat="1">
      <c r="A24" s="370"/>
      <c r="B24" s="327"/>
      <c r="C24" s="368"/>
    </row>
    <row r="25" spans="1:3" s="330" customFormat="1">
      <c r="A25" s="364" t="s">
        <v>428</v>
      </c>
      <c r="B25" s="365" t="s">
        <v>427</v>
      </c>
      <c r="C25" s="366" t="s">
        <v>507</v>
      </c>
    </row>
    <row r="26" spans="1:3" s="330" customFormat="1">
      <c r="A26" s="370"/>
      <c r="B26" s="327"/>
      <c r="C26" s="368"/>
    </row>
    <row r="27" spans="1:3" s="330" customFormat="1">
      <c r="A27" s="364" t="s">
        <v>400</v>
      </c>
      <c r="B27" s="365" t="s">
        <v>425</v>
      </c>
      <c r="C27" s="366"/>
    </row>
    <row r="28" spans="1:3" s="330" customFormat="1">
      <c r="A28" s="370"/>
      <c r="B28" s="327" t="s">
        <v>563</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2" t="s">
        <v>358</v>
      </c>
      <c r="B37" s="393" t="s">
        <v>458</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371</v>
      </c>
      <c r="B2" s="764"/>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85" t="s">
        <v>647</v>
      </c>
      <c r="B6" s="406" t="s">
        <v>671</v>
      </c>
      <c r="C6" s="407" t="s">
        <v>345</v>
      </c>
    </row>
    <row r="7" spans="1:3" s="324" customFormat="1">
      <c r="A7" s="885" t="s">
        <v>672</v>
      </c>
      <c r="B7" s="408" t="s">
        <v>592</v>
      </c>
      <c r="C7" s="409" t="s">
        <v>591</v>
      </c>
    </row>
    <row r="8" spans="1:3" s="324" customFormat="1">
      <c r="A8" s="436"/>
      <c r="B8" s="408"/>
      <c r="C8" s="409"/>
    </row>
    <row r="9" spans="1:3" ht="21">
      <c r="A9" s="126" t="s">
        <v>459</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134" t="s">
        <v>210</v>
      </c>
      <c r="B2" s="1134"/>
      <c r="C2" s="1134"/>
      <c r="D2" s="59"/>
      <c r="E2" s="59"/>
      <c r="F2" s="59"/>
      <c r="G2" s="59"/>
      <c r="H2" s="60"/>
      <c r="I2" s="60"/>
      <c r="J2" s="61"/>
      <c r="K2" s="61"/>
      <c r="L2" s="60"/>
      <c r="M2" s="60"/>
      <c r="N2" s="60"/>
      <c r="O2" s="60"/>
      <c r="P2" s="60"/>
      <c r="Q2" s="60"/>
      <c r="R2" s="60"/>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38"/>
      <c r="B4" s="438"/>
      <c r="C4" s="63"/>
      <c r="D4" s="63"/>
      <c r="E4" s="63"/>
      <c r="F4" s="63"/>
      <c r="G4" s="63"/>
      <c r="H4" s="63"/>
      <c r="I4" s="63"/>
      <c r="J4" s="63"/>
      <c r="K4" s="63"/>
      <c r="L4" s="63"/>
      <c r="M4" s="63"/>
      <c r="N4" s="63"/>
      <c r="O4" s="63"/>
      <c r="P4" s="63"/>
      <c r="Q4" s="63"/>
      <c r="R4" s="63"/>
    </row>
    <row r="5" spans="1:19" ht="16.5" thickBot="1">
      <c r="A5" s="1136" t="s">
        <v>211</v>
      </c>
      <c r="B5" s="767"/>
      <c r="C5" s="1139" t="s">
        <v>330</v>
      </c>
      <c r="D5" s="1140"/>
      <c r="E5" s="1140"/>
      <c r="F5" s="1140"/>
      <c r="G5" s="1140"/>
      <c r="H5" s="1140"/>
      <c r="I5" s="1140"/>
      <c r="J5" s="1140"/>
      <c r="K5" s="1140"/>
      <c r="L5" s="1140"/>
      <c r="M5" s="1140"/>
      <c r="N5" s="1140"/>
      <c r="O5" s="1140"/>
      <c r="P5" s="1140"/>
      <c r="Q5" s="1140"/>
      <c r="R5" s="1141"/>
    </row>
    <row r="6" spans="1:19" ht="16.5" thickTop="1">
      <c r="A6" s="1137"/>
      <c r="B6" s="768"/>
      <c r="C6" s="1142" t="s">
        <v>20</v>
      </c>
      <c r="D6" s="1144" t="s">
        <v>189</v>
      </c>
      <c r="E6" s="1146" t="s">
        <v>190</v>
      </c>
      <c r="F6" s="1147"/>
      <c r="G6" s="1147"/>
      <c r="H6" s="1147"/>
      <c r="I6" s="1147"/>
      <c r="J6" s="1147"/>
      <c r="K6" s="1147"/>
      <c r="L6" s="1148"/>
      <c r="M6" s="1146" t="s">
        <v>191</v>
      </c>
      <c r="N6" s="1147"/>
      <c r="O6" s="1147"/>
      <c r="P6" s="1147"/>
      <c r="Q6" s="1147"/>
      <c r="R6" s="1149" t="s">
        <v>109</v>
      </c>
    </row>
    <row r="7" spans="1:19" ht="45.75" thickBot="1">
      <c r="A7" s="1138"/>
      <c r="B7" s="769"/>
      <c r="C7" s="1143"/>
      <c r="D7" s="1145"/>
      <c r="E7" s="962" t="s">
        <v>192</v>
      </c>
      <c r="F7" s="962" t="s">
        <v>193</v>
      </c>
      <c r="G7" s="64" t="s">
        <v>194</v>
      </c>
      <c r="H7" s="962" t="s">
        <v>195</v>
      </c>
      <c r="I7" s="962" t="s">
        <v>113</v>
      </c>
      <c r="J7" s="962" t="s">
        <v>196</v>
      </c>
      <c r="K7" s="435" t="s">
        <v>197</v>
      </c>
      <c r="L7" s="435" t="s">
        <v>198</v>
      </c>
      <c r="M7" s="64" t="s">
        <v>199</v>
      </c>
      <c r="N7" s="65" t="s">
        <v>200</v>
      </c>
      <c r="O7" s="65" t="s">
        <v>201</v>
      </c>
      <c r="P7" s="65" t="s">
        <v>202</v>
      </c>
      <c r="Q7" s="66" t="s">
        <v>203</v>
      </c>
      <c r="R7" s="1150"/>
    </row>
    <row r="8" spans="1:19" ht="18.75" customHeight="1" thickTop="1">
      <c r="A8" s="774" t="s">
        <v>331</v>
      </c>
      <c r="B8" s="779"/>
      <c r="C8" s="1121"/>
      <c r="D8" s="1121"/>
      <c r="E8" s="1121"/>
      <c r="F8" s="1121"/>
      <c r="G8" s="1121"/>
      <c r="H8" s="1121"/>
      <c r="I8" s="1121"/>
      <c r="J8" s="1121"/>
      <c r="K8" s="1121"/>
      <c r="L8" s="1121"/>
      <c r="M8" s="1121"/>
      <c r="N8" s="1121"/>
      <c r="O8" s="1121"/>
      <c r="P8" s="1121"/>
      <c r="Q8" s="1121"/>
      <c r="R8" s="300"/>
    </row>
    <row r="9" spans="1:19" s="439" customFormat="1">
      <c r="A9" s="775" t="s">
        <v>212</v>
      </c>
      <c r="B9" s="780"/>
      <c r="C9" s="970">
        <f>'Eigen gebouwen'!B15</f>
        <v>0</v>
      </c>
      <c r="D9" s="970">
        <f>'Eigen gebouwen'!C15</f>
        <v>0</v>
      </c>
      <c r="E9" s="970">
        <f>'Eigen gebouwen'!D15</f>
        <v>0</v>
      </c>
      <c r="F9" s="970">
        <f>'Eigen gebouwen'!E15</f>
        <v>0</v>
      </c>
      <c r="G9" s="970">
        <f>'Eigen gebouwen'!F15</f>
        <v>0</v>
      </c>
      <c r="H9" s="970">
        <f>'Eigen gebouwen'!G15</f>
        <v>0</v>
      </c>
      <c r="I9" s="970">
        <f>'Eigen gebouwen'!H15</f>
        <v>0</v>
      </c>
      <c r="J9" s="970">
        <f>'Eigen gebouwen'!I15</f>
        <v>0</v>
      </c>
      <c r="K9" s="970">
        <f>'Eigen gebouwen'!J15</f>
        <v>0</v>
      </c>
      <c r="L9" s="970">
        <f>'Eigen gebouwen'!K15</f>
        <v>0</v>
      </c>
      <c r="M9" s="970">
        <f>'Eigen gebouwen'!L15</f>
        <v>0</v>
      </c>
      <c r="N9" s="970">
        <f>'Eigen gebouwen'!M15</f>
        <v>0</v>
      </c>
      <c r="O9" s="970">
        <f>'Eigen gebouwen'!N15</f>
        <v>0</v>
      </c>
      <c r="P9" s="970">
        <f>'Eigen gebouwen'!O15</f>
        <v>0</v>
      </c>
      <c r="Q9" s="971">
        <f>'Eigen gebouwen'!P15</f>
        <v>0</v>
      </c>
      <c r="R9" s="665">
        <f>SUM(C9:Q9)</f>
        <v>0</v>
      </c>
      <c r="S9" s="67"/>
    </row>
    <row r="10" spans="1:19" s="439" customFormat="1">
      <c r="A10" s="776" t="s">
        <v>213</v>
      </c>
      <c r="B10" s="781"/>
      <c r="C10" s="970">
        <f ca="1">tertiair!B16+'openbare verlichting'!B8</f>
        <v>41429.543831859992</v>
      </c>
      <c r="D10" s="970">
        <f ca="1">tertiair!C16</f>
        <v>0</v>
      </c>
      <c r="E10" s="970">
        <f ca="1">tertiair!D16</f>
        <v>44001.123015185593</v>
      </c>
      <c r="F10" s="970">
        <f>tertiair!E16</f>
        <v>786.54956462817745</v>
      </c>
      <c r="G10" s="970">
        <f ca="1">tertiair!F16</f>
        <v>9627.761062846821</v>
      </c>
      <c r="H10" s="970">
        <f>tertiair!G16</f>
        <v>0</v>
      </c>
      <c r="I10" s="970">
        <f>tertiair!H16</f>
        <v>0</v>
      </c>
      <c r="J10" s="970">
        <f>tertiair!I16</f>
        <v>0</v>
      </c>
      <c r="K10" s="970">
        <f>tertiair!J16</f>
        <v>0</v>
      </c>
      <c r="L10" s="970">
        <f>tertiair!K16</f>
        <v>0</v>
      </c>
      <c r="M10" s="970">
        <f ca="1">tertiair!L16</f>
        <v>0</v>
      </c>
      <c r="N10" s="970">
        <f>tertiair!M16</f>
        <v>0</v>
      </c>
      <c r="O10" s="970">
        <f ca="1">tertiair!N16</f>
        <v>3581.0082475010722</v>
      </c>
      <c r="P10" s="970">
        <f>tertiair!O16</f>
        <v>4.6900000000000004</v>
      </c>
      <c r="Q10" s="971">
        <f>tertiair!P16</f>
        <v>38.133333333333333</v>
      </c>
      <c r="R10" s="666">
        <f ca="1">SUM(C10:Q10)</f>
        <v>99468.809055354999</v>
      </c>
      <c r="S10" s="67"/>
    </row>
    <row r="11" spans="1:19" s="439" customFormat="1">
      <c r="A11" s="775" t="s">
        <v>214</v>
      </c>
      <c r="B11" s="780"/>
      <c r="C11" s="970">
        <f>huishoudens!B8</f>
        <v>49531.400897918844</v>
      </c>
      <c r="D11" s="970">
        <f>huishoudens!C8</f>
        <v>0</v>
      </c>
      <c r="E11" s="970">
        <f>huishoudens!D8</f>
        <v>114801.21148275999</v>
      </c>
      <c r="F11" s="970">
        <f>huishoudens!E8</f>
        <v>1797.9613708381578</v>
      </c>
      <c r="G11" s="970">
        <f>huishoudens!F8</f>
        <v>48883.010839337265</v>
      </c>
      <c r="H11" s="970">
        <f>huishoudens!G8</f>
        <v>0</v>
      </c>
      <c r="I11" s="970">
        <f>huishoudens!H8</f>
        <v>0</v>
      </c>
      <c r="J11" s="970">
        <f>huishoudens!I8</f>
        <v>0</v>
      </c>
      <c r="K11" s="970">
        <f>huishoudens!J8</f>
        <v>901.49003103168855</v>
      </c>
      <c r="L11" s="970">
        <f>huishoudens!K8</f>
        <v>0</v>
      </c>
      <c r="M11" s="970">
        <f>huishoudens!L8</f>
        <v>0</v>
      </c>
      <c r="N11" s="970">
        <f>huishoudens!M8</f>
        <v>0</v>
      </c>
      <c r="O11" s="970">
        <f>huishoudens!N8</f>
        <v>15211.536752719894</v>
      </c>
      <c r="P11" s="970">
        <f>huishoudens!O8</f>
        <v>264.20333333333338</v>
      </c>
      <c r="Q11" s="971">
        <f>huishoudens!P8</f>
        <v>1182.1333333333332</v>
      </c>
      <c r="R11" s="666">
        <f>SUM(C11:Q11)</f>
        <v>232572.9480412725</v>
      </c>
      <c r="S11" s="67"/>
    </row>
    <row r="12" spans="1:19" s="439" customFormat="1">
      <c r="A12" s="775" t="s">
        <v>491</v>
      </c>
      <c r="B12" s="780"/>
      <c r="C12" s="970">
        <f>'Eigen openbare verlichting'!B15</f>
        <v>0</v>
      </c>
      <c r="D12" s="970"/>
      <c r="E12" s="970"/>
      <c r="F12" s="970"/>
      <c r="G12" s="970"/>
      <c r="H12" s="970"/>
      <c r="I12" s="970"/>
      <c r="J12" s="970"/>
      <c r="K12" s="970"/>
      <c r="L12" s="970"/>
      <c r="M12" s="970"/>
      <c r="N12" s="970"/>
      <c r="O12" s="970"/>
      <c r="P12" s="970"/>
      <c r="Q12" s="970"/>
      <c r="R12" s="666">
        <f>SUM(C12:Q12)</f>
        <v>0</v>
      </c>
      <c r="S12" s="67"/>
    </row>
    <row r="13" spans="1:19" s="439" customFormat="1">
      <c r="A13" s="775" t="s">
        <v>628</v>
      </c>
      <c r="B13" s="784" t="s">
        <v>626</v>
      </c>
      <c r="C13" s="970">
        <f>industrie!B18</f>
        <v>41993.375030833995</v>
      </c>
      <c r="D13" s="970">
        <f>industrie!C18</f>
        <v>0</v>
      </c>
      <c r="E13" s="970">
        <f>industrie!D18</f>
        <v>23997.282020944123</v>
      </c>
      <c r="F13" s="970">
        <f>industrie!E18</f>
        <v>2927.5292949501318</v>
      </c>
      <c r="G13" s="970">
        <f>industrie!F18</f>
        <v>12080.426506858743</v>
      </c>
      <c r="H13" s="970">
        <f>industrie!G18</f>
        <v>0</v>
      </c>
      <c r="I13" s="970">
        <f>industrie!H18</f>
        <v>0</v>
      </c>
      <c r="J13" s="970">
        <f>industrie!I18</f>
        <v>0</v>
      </c>
      <c r="K13" s="970">
        <f>industrie!J18</f>
        <v>255.54070153513013</v>
      </c>
      <c r="L13" s="970">
        <f>industrie!K18</f>
        <v>0</v>
      </c>
      <c r="M13" s="970">
        <f>industrie!L18</f>
        <v>0</v>
      </c>
      <c r="N13" s="970">
        <f>industrie!M18</f>
        <v>0</v>
      </c>
      <c r="O13" s="970">
        <f>industrie!N18</f>
        <v>3587.6207803718576</v>
      </c>
      <c r="P13" s="970">
        <f>industrie!O18</f>
        <v>0</v>
      </c>
      <c r="Q13" s="971">
        <f>industrie!P18</f>
        <v>0</v>
      </c>
      <c r="R13" s="666">
        <f>SUM(C13:Q13)</f>
        <v>84841.774335493974</v>
      </c>
      <c r="S13" s="67"/>
    </row>
    <row r="14" spans="1:19" s="439" customFormat="1">
      <c r="A14" s="775"/>
      <c r="B14" s="784" t="s">
        <v>627</v>
      </c>
      <c r="C14" s="970"/>
      <c r="D14" s="970"/>
      <c r="E14" s="970"/>
      <c r="F14" s="970"/>
      <c r="G14" s="970"/>
      <c r="H14" s="970"/>
      <c r="I14" s="970"/>
      <c r="J14" s="970"/>
      <c r="K14" s="970"/>
      <c r="L14" s="970"/>
      <c r="M14" s="970"/>
      <c r="N14" s="970"/>
      <c r="O14" s="970"/>
      <c r="P14" s="970"/>
      <c r="Q14" s="970"/>
      <c r="R14" s="666"/>
      <c r="S14" s="67"/>
    </row>
    <row r="15" spans="1:19" s="439" customFormat="1" ht="15" thickBot="1">
      <c r="A15" s="972" t="s">
        <v>813</v>
      </c>
      <c r="B15" s="973"/>
      <c r="C15" s="974"/>
      <c r="D15" s="974"/>
      <c r="E15" s="974"/>
      <c r="F15" s="974"/>
      <c r="G15" s="974"/>
      <c r="H15" s="974"/>
      <c r="I15" s="974"/>
      <c r="J15" s="974"/>
      <c r="K15" s="974"/>
      <c r="L15" s="974"/>
      <c r="M15" s="974"/>
      <c r="N15" s="974"/>
      <c r="O15" s="974"/>
      <c r="P15" s="974"/>
      <c r="Q15" s="975"/>
      <c r="R15" s="665"/>
      <c r="S15" s="67"/>
    </row>
    <row r="16" spans="1:19" s="439" customFormat="1" ht="15.75" thickBot="1">
      <c r="A16" s="667" t="s">
        <v>215</v>
      </c>
      <c r="B16" s="782"/>
      <c r="C16" s="698">
        <f ca="1">SUM(C9:C15)</f>
        <v>132954.31976061282</v>
      </c>
      <c r="D16" s="698">
        <f t="shared" ref="D16:R16" ca="1" si="0">SUM(D9:D15)</f>
        <v>0</v>
      </c>
      <c r="E16" s="698">
        <f t="shared" ca="1" si="0"/>
        <v>182799.6165188897</v>
      </c>
      <c r="F16" s="698">
        <f t="shared" si="0"/>
        <v>5512.0402304164672</v>
      </c>
      <c r="G16" s="698">
        <f t="shared" ca="1" si="0"/>
        <v>70591.19840904283</v>
      </c>
      <c r="H16" s="698">
        <f t="shared" si="0"/>
        <v>0</v>
      </c>
      <c r="I16" s="698">
        <f t="shared" si="0"/>
        <v>0</v>
      </c>
      <c r="J16" s="698">
        <f t="shared" si="0"/>
        <v>0</v>
      </c>
      <c r="K16" s="698">
        <f t="shared" si="0"/>
        <v>1157.0307325668186</v>
      </c>
      <c r="L16" s="698">
        <f t="shared" si="0"/>
        <v>0</v>
      </c>
      <c r="M16" s="698">
        <f t="shared" ca="1" si="0"/>
        <v>0</v>
      </c>
      <c r="N16" s="698">
        <f t="shared" si="0"/>
        <v>0</v>
      </c>
      <c r="O16" s="698">
        <f t="shared" ca="1" si="0"/>
        <v>22380.165780592823</v>
      </c>
      <c r="P16" s="698">
        <f t="shared" si="0"/>
        <v>268.89333333333337</v>
      </c>
      <c r="Q16" s="698">
        <f t="shared" si="0"/>
        <v>1220.2666666666667</v>
      </c>
      <c r="R16" s="698">
        <f t="shared" ca="1" si="0"/>
        <v>416883.53143212147</v>
      </c>
      <c r="S16" s="67"/>
    </row>
    <row r="17" spans="1:19" s="439" customFormat="1" ht="15.75">
      <c r="A17" s="777" t="s">
        <v>216</v>
      </c>
      <c r="B17" s="702"/>
      <c r="C17" s="1122"/>
      <c r="D17" s="1122"/>
      <c r="E17" s="1122"/>
      <c r="F17" s="1122"/>
      <c r="G17" s="1122"/>
      <c r="H17" s="1122"/>
      <c r="I17" s="1122"/>
      <c r="J17" s="1122"/>
      <c r="K17" s="1122"/>
      <c r="L17" s="1122"/>
      <c r="M17" s="1122"/>
      <c r="N17" s="1122"/>
      <c r="O17" s="1122"/>
      <c r="P17" s="1122"/>
      <c r="Q17" s="1122"/>
      <c r="R17" s="668"/>
      <c r="S17" s="67"/>
    </row>
    <row r="18" spans="1:19" s="439" customFormat="1">
      <c r="A18" s="775" t="s">
        <v>217</v>
      </c>
      <c r="B18" s="780"/>
      <c r="C18" s="970">
        <f>'Eigen vloot'!B27</f>
        <v>0</v>
      </c>
      <c r="D18" s="970">
        <f>'Eigen vloot'!C27</f>
        <v>0</v>
      </c>
      <c r="E18" s="970">
        <f>'Eigen vloot'!D27</f>
        <v>0</v>
      </c>
      <c r="F18" s="970">
        <f>'Eigen vloot'!E27</f>
        <v>0</v>
      </c>
      <c r="G18" s="970">
        <f>'Eigen vloot'!F27</f>
        <v>0</v>
      </c>
      <c r="H18" s="970">
        <f>'Eigen vloot'!G27</f>
        <v>0</v>
      </c>
      <c r="I18" s="970">
        <f>'Eigen vloot'!H27</f>
        <v>0</v>
      </c>
      <c r="J18" s="970">
        <f>'Eigen vloot'!I27</f>
        <v>0</v>
      </c>
      <c r="K18" s="970">
        <f>'Eigen vloot'!J27</f>
        <v>0</v>
      </c>
      <c r="L18" s="970">
        <f>'Eigen vloot'!K27</f>
        <v>0</v>
      </c>
      <c r="M18" s="970">
        <f>'Eigen vloot'!L27</f>
        <v>0</v>
      </c>
      <c r="N18" s="970">
        <f>'Eigen vloot'!M27</f>
        <v>0</v>
      </c>
      <c r="O18" s="970">
        <f>'Eigen vloot'!N27</f>
        <v>0</v>
      </c>
      <c r="P18" s="970">
        <f>'Eigen vloot'!O27</f>
        <v>0</v>
      </c>
      <c r="Q18" s="971">
        <f>'Eigen vloot'!P27</f>
        <v>0</v>
      </c>
      <c r="R18" s="666">
        <f>SUM(C18:Q18)</f>
        <v>0</v>
      </c>
      <c r="S18" s="67"/>
    </row>
    <row r="19" spans="1:19" s="439" customFormat="1">
      <c r="A19" s="775" t="s">
        <v>218</v>
      </c>
      <c r="B19" s="780"/>
      <c r="C19" s="970">
        <f>transport!B54</f>
        <v>12.997476283936034</v>
      </c>
      <c r="D19" s="970">
        <f>transport!C54</f>
        <v>0</v>
      </c>
      <c r="E19" s="970">
        <f>transport!D54</f>
        <v>0</v>
      </c>
      <c r="F19" s="970">
        <f>transport!E54</f>
        <v>0</v>
      </c>
      <c r="G19" s="970">
        <f>transport!F54</f>
        <v>0</v>
      </c>
      <c r="H19" s="970">
        <f>transport!G54</f>
        <v>2317.4774977239458</v>
      </c>
      <c r="I19" s="970">
        <f>transport!H54</f>
        <v>0</v>
      </c>
      <c r="J19" s="970">
        <f>transport!I54</f>
        <v>0</v>
      </c>
      <c r="K19" s="970">
        <f>transport!J54</f>
        <v>0</v>
      </c>
      <c r="L19" s="970">
        <f>transport!K54</f>
        <v>0</v>
      </c>
      <c r="M19" s="970">
        <f>transport!L54</f>
        <v>0</v>
      </c>
      <c r="N19" s="970">
        <f>transport!M54</f>
        <v>72.342668081729059</v>
      </c>
      <c r="O19" s="970">
        <f>transport!N54</f>
        <v>0</v>
      </c>
      <c r="P19" s="970">
        <f>transport!O54</f>
        <v>0</v>
      </c>
      <c r="Q19" s="971">
        <f>transport!P54</f>
        <v>0</v>
      </c>
      <c r="R19" s="666">
        <f>SUM(C19:Q19)</f>
        <v>2402.8176420896111</v>
      </c>
      <c r="S19" s="67"/>
    </row>
    <row r="20" spans="1:19" s="439" customFormat="1">
      <c r="A20" s="775" t="s">
        <v>296</v>
      </c>
      <c r="B20" s="780"/>
      <c r="C20" s="970">
        <f>transport!B14</f>
        <v>82.394049526053195</v>
      </c>
      <c r="D20" s="970">
        <f>transport!C14</f>
        <v>0</v>
      </c>
      <c r="E20" s="970">
        <f>transport!D14</f>
        <v>131.44789704104298</v>
      </c>
      <c r="F20" s="970">
        <f>transport!E14</f>
        <v>642.99035943710169</v>
      </c>
      <c r="G20" s="970">
        <f>transport!F14</f>
        <v>0</v>
      </c>
      <c r="H20" s="970">
        <f>transport!G14</f>
        <v>282033.75065081642</v>
      </c>
      <c r="I20" s="970">
        <f>transport!H14</f>
        <v>43070.367739391048</v>
      </c>
      <c r="J20" s="970">
        <f>transport!I14</f>
        <v>0</v>
      </c>
      <c r="K20" s="970">
        <f>transport!J14</f>
        <v>0</v>
      </c>
      <c r="L20" s="970">
        <f>transport!K14</f>
        <v>0</v>
      </c>
      <c r="M20" s="970">
        <f>transport!L14</f>
        <v>0</v>
      </c>
      <c r="N20" s="970">
        <f>transport!M14</f>
        <v>10163.558347062968</v>
      </c>
      <c r="O20" s="970">
        <f>transport!N14</f>
        <v>0</v>
      </c>
      <c r="P20" s="970">
        <f>transport!O14</f>
        <v>0</v>
      </c>
      <c r="Q20" s="971">
        <f>transport!P14</f>
        <v>0</v>
      </c>
      <c r="R20" s="666">
        <f>SUM(C20:Q20)</f>
        <v>336124.50904327462</v>
      </c>
      <c r="S20" s="67"/>
    </row>
    <row r="21" spans="1:19" s="439" customFormat="1" ht="15" thickBot="1">
      <c r="A21" s="797" t="s">
        <v>814</v>
      </c>
      <c r="B21" s="973"/>
      <c r="C21" s="974"/>
      <c r="D21" s="974"/>
      <c r="E21" s="974"/>
      <c r="F21" s="974"/>
      <c r="G21" s="974"/>
      <c r="H21" s="974"/>
      <c r="I21" s="974"/>
      <c r="J21" s="974"/>
      <c r="K21" s="974"/>
      <c r="L21" s="974"/>
      <c r="M21" s="974"/>
      <c r="N21" s="974"/>
      <c r="O21" s="974"/>
      <c r="P21" s="974"/>
      <c r="Q21" s="975"/>
      <c r="R21" s="665"/>
      <c r="S21" s="67"/>
    </row>
    <row r="22" spans="1:19" s="439" customFormat="1" ht="15.75" thickBot="1">
      <c r="A22" s="671" t="s">
        <v>219</v>
      </c>
      <c r="B22" s="783"/>
      <c r="C22" s="778">
        <f>SUM(C18:C21)</f>
        <v>95.391525809989233</v>
      </c>
      <c r="D22" s="778">
        <f t="shared" ref="D22:R22" si="1">SUM(D18:D21)</f>
        <v>0</v>
      </c>
      <c r="E22" s="778">
        <f t="shared" si="1"/>
        <v>131.44789704104298</v>
      </c>
      <c r="F22" s="778">
        <f t="shared" si="1"/>
        <v>642.99035943710169</v>
      </c>
      <c r="G22" s="778">
        <f t="shared" si="1"/>
        <v>0</v>
      </c>
      <c r="H22" s="778">
        <f t="shared" si="1"/>
        <v>284351.22814854037</v>
      </c>
      <c r="I22" s="778">
        <f t="shared" si="1"/>
        <v>43070.367739391048</v>
      </c>
      <c r="J22" s="778">
        <f t="shared" si="1"/>
        <v>0</v>
      </c>
      <c r="K22" s="778">
        <f t="shared" si="1"/>
        <v>0</v>
      </c>
      <c r="L22" s="778">
        <f t="shared" si="1"/>
        <v>0</v>
      </c>
      <c r="M22" s="778">
        <f t="shared" si="1"/>
        <v>0</v>
      </c>
      <c r="N22" s="778">
        <f t="shared" si="1"/>
        <v>10235.901015144696</v>
      </c>
      <c r="O22" s="778">
        <f t="shared" si="1"/>
        <v>0</v>
      </c>
      <c r="P22" s="778">
        <f t="shared" si="1"/>
        <v>0</v>
      </c>
      <c r="Q22" s="778">
        <f t="shared" si="1"/>
        <v>0</v>
      </c>
      <c r="R22" s="778">
        <f t="shared" si="1"/>
        <v>338527.32668536424</v>
      </c>
      <c r="S22" s="67"/>
    </row>
    <row r="23" spans="1:19" s="439" customFormat="1" ht="15.75">
      <c r="A23" s="777" t="s">
        <v>226</v>
      </c>
      <c r="B23" s="702"/>
      <c r="C23" s="1122"/>
      <c r="D23" s="1122"/>
      <c r="E23" s="1122"/>
      <c r="F23" s="1122"/>
      <c r="G23" s="1122"/>
      <c r="H23" s="1122"/>
      <c r="I23" s="1122"/>
      <c r="J23" s="1122"/>
      <c r="K23" s="1122"/>
      <c r="L23" s="1122"/>
      <c r="M23" s="1122"/>
      <c r="N23" s="1122"/>
      <c r="O23" s="1122"/>
      <c r="P23" s="1122"/>
      <c r="Q23" s="1122"/>
      <c r="R23" s="668"/>
      <c r="S23" s="67"/>
    </row>
    <row r="24" spans="1:19" s="439" customFormat="1">
      <c r="A24" s="775" t="s">
        <v>623</v>
      </c>
      <c r="B24" s="780"/>
      <c r="C24" s="970">
        <f>+landbouw!B8</f>
        <v>1342.9681037340001</v>
      </c>
      <c r="D24" s="970">
        <f>+landbouw!C8</f>
        <v>62.357142857142847</v>
      </c>
      <c r="E24" s="970">
        <f>+landbouw!D8</f>
        <v>203.29262014670402</v>
      </c>
      <c r="F24" s="970">
        <f>+landbouw!E8</f>
        <v>34.629990993937611</v>
      </c>
      <c r="G24" s="970">
        <f>+landbouw!F8</f>
        <v>4908.804174999239</v>
      </c>
      <c r="H24" s="970">
        <f>+landbouw!G8</f>
        <v>0</v>
      </c>
      <c r="I24" s="970">
        <f>+landbouw!H8</f>
        <v>0</v>
      </c>
      <c r="J24" s="970">
        <f>+landbouw!I8</f>
        <v>0</v>
      </c>
      <c r="K24" s="970">
        <f>+landbouw!J8</f>
        <v>193.33800363060251</v>
      </c>
      <c r="L24" s="970">
        <f>+landbouw!K8</f>
        <v>0</v>
      </c>
      <c r="M24" s="970">
        <f>+landbouw!L8</f>
        <v>0</v>
      </c>
      <c r="N24" s="970">
        <f>+landbouw!M8</f>
        <v>0</v>
      </c>
      <c r="O24" s="970">
        <f>+landbouw!N8</f>
        <v>0</v>
      </c>
      <c r="P24" s="970">
        <f>+landbouw!O8</f>
        <v>0</v>
      </c>
      <c r="Q24" s="971">
        <f>+landbouw!P8</f>
        <v>0</v>
      </c>
      <c r="R24" s="666">
        <f>SUM(C24:Q24)</f>
        <v>6745.3900363616258</v>
      </c>
      <c r="S24" s="67"/>
    </row>
    <row r="25" spans="1:19" s="439" customFormat="1" ht="15" thickBot="1">
      <c r="A25" s="797" t="s">
        <v>815</v>
      </c>
      <c r="B25" s="973"/>
      <c r="C25" s="974">
        <f>IF(Onbekend_ele_kWh="---",0,Onbekend_ele_kWh)/1000+IF(REST_rest_ele_kWh="---",0,REST_rest_ele_kWh)/1000</f>
        <v>1373.4241987</v>
      </c>
      <c r="D25" s="974"/>
      <c r="E25" s="974">
        <f>IF(onbekend_gas_kWh="---",0,onbekend_gas_kWh)/1000+IF(REST_rest_gas_kWh="---",0,REST_rest_gas_kWh)/1000</f>
        <v>5868.8496117000004</v>
      </c>
      <c r="F25" s="974"/>
      <c r="G25" s="974"/>
      <c r="H25" s="974"/>
      <c r="I25" s="974"/>
      <c r="J25" s="974"/>
      <c r="K25" s="974"/>
      <c r="L25" s="974"/>
      <c r="M25" s="974"/>
      <c r="N25" s="974"/>
      <c r="O25" s="974"/>
      <c r="P25" s="974"/>
      <c r="Q25" s="975"/>
      <c r="R25" s="666">
        <f>SUM(C25:Q25)</f>
        <v>7242.2738104</v>
      </c>
      <c r="S25" s="67"/>
    </row>
    <row r="26" spans="1:19" s="439" customFormat="1" ht="15.75" thickBot="1">
      <c r="A26" s="671" t="s">
        <v>816</v>
      </c>
      <c r="B26" s="783"/>
      <c r="C26" s="778">
        <f>SUM(C24:C25)</f>
        <v>2716.3923024340002</v>
      </c>
      <c r="D26" s="778">
        <f t="shared" ref="D26:R26" si="2">SUM(D24:D25)</f>
        <v>62.357142857142847</v>
      </c>
      <c r="E26" s="778">
        <f t="shared" si="2"/>
        <v>6072.1422318467048</v>
      </c>
      <c r="F26" s="778">
        <f t="shared" si="2"/>
        <v>34.629990993937611</v>
      </c>
      <c r="G26" s="778">
        <f t="shared" si="2"/>
        <v>4908.804174999239</v>
      </c>
      <c r="H26" s="778">
        <f t="shared" si="2"/>
        <v>0</v>
      </c>
      <c r="I26" s="778">
        <f t="shared" si="2"/>
        <v>0</v>
      </c>
      <c r="J26" s="778">
        <f t="shared" si="2"/>
        <v>0</v>
      </c>
      <c r="K26" s="778">
        <f t="shared" si="2"/>
        <v>193.33800363060251</v>
      </c>
      <c r="L26" s="778">
        <f t="shared" si="2"/>
        <v>0</v>
      </c>
      <c r="M26" s="778">
        <f t="shared" si="2"/>
        <v>0</v>
      </c>
      <c r="N26" s="778">
        <f t="shared" si="2"/>
        <v>0</v>
      </c>
      <c r="O26" s="778">
        <f t="shared" si="2"/>
        <v>0</v>
      </c>
      <c r="P26" s="778">
        <f t="shared" si="2"/>
        <v>0</v>
      </c>
      <c r="Q26" s="778">
        <f t="shared" si="2"/>
        <v>0</v>
      </c>
      <c r="R26" s="778">
        <f t="shared" si="2"/>
        <v>13987.663846761625</v>
      </c>
      <c r="S26" s="67"/>
    </row>
    <row r="27" spans="1:19" s="439" customFormat="1" ht="17.25" thickTop="1" thickBot="1">
      <c r="A27" s="672" t="s">
        <v>109</v>
      </c>
      <c r="B27" s="771"/>
      <c r="C27" s="673">
        <f ca="1">C22+C16+C26</f>
        <v>135766.10358885681</v>
      </c>
      <c r="D27" s="673">
        <f t="shared" ref="D27:R27" ca="1" si="3">D22+D16+D26</f>
        <v>62.357142857142847</v>
      </c>
      <c r="E27" s="673">
        <f t="shared" ca="1" si="3"/>
        <v>189003.20664777744</v>
      </c>
      <c r="F27" s="673">
        <f t="shared" si="3"/>
        <v>6189.6605808475069</v>
      </c>
      <c r="G27" s="673">
        <f t="shared" ca="1" si="3"/>
        <v>75500.002584042071</v>
      </c>
      <c r="H27" s="673">
        <f t="shared" si="3"/>
        <v>284351.22814854037</v>
      </c>
      <c r="I27" s="673">
        <f t="shared" si="3"/>
        <v>43070.367739391048</v>
      </c>
      <c r="J27" s="673">
        <f t="shared" si="3"/>
        <v>0</v>
      </c>
      <c r="K27" s="673">
        <f t="shared" si="3"/>
        <v>1350.3687361974212</v>
      </c>
      <c r="L27" s="673">
        <f t="shared" si="3"/>
        <v>0</v>
      </c>
      <c r="M27" s="673">
        <f t="shared" ca="1" si="3"/>
        <v>0</v>
      </c>
      <c r="N27" s="673">
        <f t="shared" si="3"/>
        <v>10235.901015144696</v>
      </c>
      <c r="O27" s="673">
        <f t="shared" ca="1" si="3"/>
        <v>22380.165780592823</v>
      </c>
      <c r="P27" s="673">
        <f t="shared" si="3"/>
        <v>268.89333333333337</v>
      </c>
      <c r="Q27" s="673">
        <f t="shared" si="3"/>
        <v>1220.2666666666667</v>
      </c>
      <c r="R27" s="673">
        <f t="shared" ca="1" si="3"/>
        <v>769398.52196424722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332</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333</v>
      </c>
      <c r="B30" s="680"/>
      <c r="C30" s="681" t="s">
        <v>204</v>
      </c>
      <c r="D30" s="682"/>
      <c r="E30" s="682"/>
      <c r="F30" s="682"/>
      <c r="G30" s="682"/>
      <c r="H30" s="683"/>
      <c r="I30" s="684"/>
      <c r="J30" s="684"/>
      <c r="K30" s="684"/>
      <c r="L30" s="684"/>
      <c r="M30" s="684"/>
      <c r="N30" s="684"/>
      <c r="O30" s="684"/>
      <c r="P30" s="684"/>
      <c r="Q30" s="684"/>
      <c r="R30" s="684"/>
    </row>
    <row r="31" spans="1:19" ht="15" thickTop="1">
      <c r="A31" s="1123"/>
      <c r="B31" s="1123"/>
      <c r="C31" s="1123"/>
      <c r="D31" s="685"/>
      <c r="E31" s="684"/>
      <c r="F31" s="684"/>
      <c r="G31" s="684"/>
      <c r="H31" s="684"/>
      <c r="I31" s="684"/>
      <c r="J31" s="684"/>
      <c r="K31" s="684"/>
      <c r="L31" s="684"/>
      <c r="M31" s="684"/>
      <c r="N31" s="684"/>
      <c r="O31" s="684"/>
      <c r="P31" s="684"/>
      <c r="Q31" s="684"/>
      <c r="R31" s="684"/>
    </row>
    <row r="32" spans="1:19" ht="15.75">
      <c r="A32" s="686" t="s">
        <v>220</v>
      </c>
      <c r="B32" s="686"/>
      <c r="C32" s="685"/>
      <c r="D32" s="685"/>
      <c r="E32" s="684"/>
      <c r="F32" s="684"/>
      <c r="G32" s="684"/>
      <c r="H32" s="684"/>
      <c r="I32" s="684"/>
      <c r="J32" s="684"/>
      <c r="K32" s="684"/>
      <c r="L32" s="684"/>
      <c r="M32" s="684"/>
      <c r="N32" s="684"/>
      <c r="O32" s="684"/>
      <c r="P32" s="684"/>
      <c r="Q32" s="684"/>
      <c r="R32" s="684"/>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24"/>
      <c r="B35" s="785"/>
      <c r="C35" s="1126" t="s">
        <v>334</v>
      </c>
      <c r="D35" s="1127"/>
      <c r="E35" s="1127"/>
      <c r="F35" s="1127"/>
      <c r="G35" s="1127"/>
      <c r="H35" s="1127"/>
      <c r="I35" s="1127"/>
      <c r="J35" s="1127"/>
      <c r="K35" s="1127"/>
      <c r="L35" s="1127"/>
      <c r="M35" s="1127"/>
      <c r="N35" s="1127"/>
      <c r="O35" s="1127"/>
      <c r="P35" s="1127"/>
      <c r="Q35" s="1127"/>
      <c r="R35" s="1128"/>
    </row>
    <row r="36" spans="1:18" ht="16.5" thickTop="1">
      <c r="A36" s="1125"/>
      <c r="B36" s="786"/>
      <c r="C36" s="1129" t="s">
        <v>20</v>
      </c>
      <c r="D36" s="1072" t="s">
        <v>221</v>
      </c>
      <c r="E36" s="1131" t="s">
        <v>190</v>
      </c>
      <c r="F36" s="1132"/>
      <c r="G36" s="1132"/>
      <c r="H36" s="1132"/>
      <c r="I36" s="1132"/>
      <c r="J36" s="1132"/>
      <c r="K36" s="1132"/>
      <c r="L36" s="1133"/>
      <c r="M36" s="1131" t="s">
        <v>191</v>
      </c>
      <c r="N36" s="1132"/>
      <c r="O36" s="1132"/>
      <c r="P36" s="1132"/>
      <c r="Q36" s="1132"/>
      <c r="R36" s="1087" t="s">
        <v>109</v>
      </c>
    </row>
    <row r="37" spans="1:18" ht="45.75" thickBot="1">
      <c r="A37" s="1125"/>
      <c r="B37" s="786"/>
      <c r="C37" s="1130"/>
      <c r="D37" s="1075"/>
      <c r="E37" s="689" t="s">
        <v>192</v>
      </c>
      <c r="F37" s="689" t="s">
        <v>193</v>
      </c>
      <c r="G37" s="689" t="s">
        <v>194</v>
      </c>
      <c r="H37" s="689" t="s">
        <v>195</v>
      </c>
      <c r="I37" s="689" t="s">
        <v>113</v>
      </c>
      <c r="J37" s="689" t="s">
        <v>196</v>
      </c>
      <c r="K37" s="690" t="s">
        <v>222</v>
      </c>
      <c r="L37" s="690" t="s">
        <v>198</v>
      </c>
      <c r="M37" s="64" t="s">
        <v>199</v>
      </c>
      <c r="N37" s="65" t="s">
        <v>200</v>
      </c>
      <c r="O37" s="689" t="s">
        <v>223</v>
      </c>
      <c r="P37" s="689" t="s">
        <v>224</v>
      </c>
      <c r="Q37" s="690" t="s">
        <v>203</v>
      </c>
      <c r="R37" s="1089"/>
    </row>
    <row r="38" spans="1:18" ht="17.25" thickTop="1" thickBot="1">
      <c r="A38" s="798" t="s">
        <v>331</v>
      </c>
      <c r="B38" s="799"/>
      <c r="C38" s="691" t="s">
        <v>225</v>
      </c>
      <c r="D38" s="692"/>
      <c r="E38" s="693"/>
      <c r="F38" s="693"/>
      <c r="G38" s="693"/>
      <c r="H38" s="693"/>
      <c r="I38" s="693"/>
      <c r="J38" s="693"/>
      <c r="K38" s="693"/>
      <c r="L38" s="693"/>
      <c r="M38" s="976"/>
      <c r="N38" s="976"/>
      <c r="O38" s="693"/>
      <c r="P38" s="976"/>
      <c r="Q38" s="694"/>
      <c r="R38" s="695"/>
    </row>
    <row r="39" spans="1:18" ht="15" thickTop="1">
      <c r="A39" s="977" t="s">
        <v>212</v>
      </c>
      <c r="B39" s="795"/>
      <c r="C39" s="970">
        <f ca="1">'Eigen gebouwen'!B19</f>
        <v>0</v>
      </c>
      <c r="D39" s="970">
        <f ca="1">'Eigen gebouwen'!C19</f>
        <v>0</v>
      </c>
      <c r="E39" s="970">
        <f>'Eigen gebouwen'!D19</f>
        <v>0</v>
      </c>
      <c r="F39" s="970">
        <f>'Eigen gebouwen'!E19</f>
        <v>0</v>
      </c>
      <c r="G39" s="970">
        <f>'Eigen gebouwen'!F19</f>
        <v>0</v>
      </c>
      <c r="H39" s="970">
        <f>'Eigen gebouwen'!G19</f>
        <v>0</v>
      </c>
      <c r="I39" s="970">
        <f>'Eigen gebouwen'!H19</f>
        <v>0</v>
      </c>
      <c r="J39" s="970">
        <f>'Eigen gebouwen'!I19</f>
        <v>0</v>
      </c>
      <c r="K39" s="970">
        <f>'Eigen gebouwen'!J19</f>
        <v>0</v>
      </c>
      <c r="L39" s="970">
        <f>'Eigen gebouwen'!K19</f>
        <v>0</v>
      </c>
      <c r="M39" s="970">
        <f>'Eigen gebouwen'!L19</f>
        <v>0</v>
      </c>
      <c r="N39" s="970">
        <f>'Eigen gebouwen'!M19</f>
        <v>0</v>
      </c>
      <c r="O39" s="970">
        <f>'Eigen gebouwen'!N19</f>
        <v>0</v>
      </c>
      <c r="P39" s="970">
        <f>'Eigen gebouwen'!O19</f>
        <v>0</v>
      </c>
      <c r="Q39" s="740">
        <f>'Eigen gebouwen'!P19</f>
        <v>0</v>
      </c>
      <c r="R39" s="978">
        <f t="shared" ref="R39:R44" ca="1" si="4">SUM(C39:Q39)</f>
        <v>0</v>
      </c>
    </row>
    <row r="40" spans="1:18">
      <c r="A40" s="776" t="s">
        <v>213</v>
      </c>
      <c r="B40" s="796"/>
      <c r="C40" s="970">
        <f ca="1">tertiair!B20+'openbare verlichting'!B12</f>
        <v>8030.5344243170075</v>
      </c>
      <c r="D40" s="970">
        <f ca="1">tertiair!C20</f>
        <v>0</v>
      </c>
      <c r="E40" s="970">
        <f ca="1">tertiair!D20</f>
        <v>8888.2268490674905</v>
      </c>
      <c r="F40" s="970">
        <f>tertiair!E20</f>
        <v>178.54675117059628</v>
      </c>
      <c r="G40" s="970">
        <f ca="1">tertiair!F20</f>
        <v>2570.6122037801015</v>
      </c>
      <c r="H40" s="970">
        <f>tertiair!G20</f>
        <v>0</v>
      </c>
      <c r="I40" s="970">
        <f>tertiair!H20</f>
        <v>0</v>
      </c>
      <c r="J40" s="970">
        <f>tertiair!I20</f>
        <v>0</v>
      </c>
      <c r="K40" s="970">
        <f>tertiair!J20</f>
        <v>0</v>
      </c>
      <c r="L40" s="970">
        <f>tertiair!K20</f>
        <v>0</v>
      </c>
      <c r="M40" s="970">
        <f ca="1">tertiair!L20</f>
        <v>0</v>
      </c>
      <c r="N40" s="970">
        <f>tertiair!M20</f>
        <v>0</v>
      </c>
      <c r="O40" s="970">
        <f ca="1">tertiair!N20</f>
        <v>0</v>
      </c>
      <c r="P40" s="970">
        <f>tertiair!O20</f>
        <v>0</v>
      </c>
      <c r="Q40" s="740">
        <f>tertiair!P20</f>
        <v>0</v>
      </c>
      <c r="R40" s="816">
        <f t="shared" ca="1" si="4"/>
        <v>19667.920228335199</v>
      </c>
    </row>
    <row r="41" spans="1:18">
      <c r="A41" s="788" t="s">
        <v>214</v>
      </c>
      <c r="B41" s="795"/>
      <c r="C41" s="970">
        <f ca="1">huishoudens!B12</f>
        <v>9600.9654754995627</v>
      </c>
      <c r="D41" s="970">
        <f ca="1">huishoudens!C12</f>
        <v>0</v>
      </c>
      <c r="E41" s="970">
        <f>huishoudens!D12</f>
        <v>23189.844719517518</v>
      </c>
      <c r="F41" s="970">
        <f>huishoudens!E12</f>
        <v>408.13723118026184</v>
      </c>
      <c r="G41" s="970">
        <f>huishoudens!F12</f>
        <v>13051.763894103051</v>
      </c>
      <c r="H41" s="970">
        <f>huishoudens!G12</f>
        <v>0</v>
      </c>
      <c r="I41" s="970">
        <f>huishoudens!H12</f>
        <v>0</v>
      </c>
      <c r="J41" s="970">
        <f>huishoudens!I12</f>
        <v>0</v>
      </c>
      <c r="K41" s="970">
        <f>huishoudens!J12</f>
        <v>319.12747098521771</v>
      </c>
      <c r="L41" s="970">
        <f>huishoudens!K12</f>
        <v>0</v>
      </c>
      <c r="M41" s="970">
        <f>huishoudens!L12</f>
        <v>0</v>
      </c>
      <c r="N41" s="970">
        <f>huishoudens!M12</f>
        <v>0</v>
      </c>
      <c r="O41" s="970">
        <f>huishoudens!N12</f>
        <v>0</v>
      </c>
      <c r="P41" s="970">
        <f>huishoudens!O12</f>
        <v>0</v>
      </c>
      <c r="Q41" s="740">
        <f>huishoudens!P12</f>
        <v>0</v>
      </c>
      <c r="R41" s="816">
        <f t="shared" ca="1" si="4"/>
        <v>46569.838791285612</v>
      </c>
    </row>
    <row r="42" spans="1:18">
      <c r="A42" s="788" t="s">
        <v>491</v>
      </c>
      <c r="B42" s="795"/>
      <c r="C42" s="970">
        <f ca="1">'Eigen openbare verlichting'!B19</f>
        <v>0</v>
      </c>
      <c r="D42" s="970"/>
      <c r="E42" s="970"/>
      <c r="F42" s="970"/>
      <c r="G42" s="970"/>
      <c r="H42" s="970"/>
      <c r="I42" s="970"/>
      <c r="J42" s="970"/>
      <c r="K42" s="970"/>
      <c r="L42" s="970"/>
      <c r="M42" s="970"/>
      <c r="N42" s="970"/>
      <c r="O42" s="970"/>
      <c r="P42" s="970"/>
      <c r="Q42" s="740"/>
      <c r="R42" s="816">
        <f t="shared" ca="1" si="4"/>
        <v>0</v>
      </c>
    </row>
    <row r="43" spans="1:18">
      <c r="A43" s="788" t="s">
        <v>629</v>
      </c>
      <c r="B43" s="803" t="s">
        <v>626</v>
      </c>
      <c r="C43" s="970">
        <f ca="1">industrie!B22</f>
        <v>8139.8251727558709</v>
      </c>
      <c r="D43" s="970">
        <f ca="1">industrie!C22</f>
        <v>0</v>
      </c>
      <c r="E43" s="970">
        <f>industrie!D22</f>
        <v>4847.4509682307134</v>
      </c>
      <c r="F43" s="970">
        <f>industrie!E22</f>
        <v>664.54914995367994</v>
      </c>
      <c r="G43" s="970">
        <f>industrie!F22</f>
        <v>3225.4738773312847</v>
      </c>
      <c r="H43" s="970">
        <f>industrie!G22</f>
        <v>0</v>
      </c>
      <c r="I43" s="970">
        <f>industrie!H22</f>
        <v>0</v>
      </c>
      <c r="J43" s="970">
        <f>industrie!I22</f>
        <v>0</v>
      </c>
      <c r="K43" s="970">
        <f>industrie!J22</f>
        <v>90.461408343436062</v>
      </c>
      <c r="L43" s="970">
        <f>industrie!K22</f>
        <v>0</v>
      </c>
      <c r="M43" s="970">
        <f>industrie!L22</f>
        <v>0</v>
      </c>
      <c r="N43" s="970">
        <f>industrie!M22</f>
        <v>0</v>
      </c>
      <c r="O43" s="970">
        <f>industrie!N22</f>
        <v>0</v>
      </c>
      <c r="P43" s="970">
        <f>industrie!O22</f>
        <v>0</v>
      </c>
      <c r="Q43" s="740">
        <f>industrie!P22</f>
        <v>0</v>
      </c>
      <c r="R43" s="815">
        <f t="shared" ca="1" si="4"/>
        <v>16967.760576614986</v>
      </c>
    </row>
    <row r="44" spans="1:18">
      <c r="A44" s="788"/>
      <c r="B44" s="795" t="s">
        <v>627</v>
      </c>
      <c r="C44" s="970"/>
      <c r="D44" s="970"/>
      <c r="E44" s="970"/>
      <c r="F44" s="970"/>
      <c r="G44" s="970"/>
      <c r="H44" s="970"/>
      <c r="I44" s="970"/>
      <c r="J44" s="970"/>
      <c r="K44" s="970"/>
      <c r="L44" s="970"/>
      <c r="M44" s="970"/>
      <c r="N44" s="970"/>
      <c r="O44" s="970"/>
      <c r="P44" s="970"/>
      <c r="Q44" s="740"/>
      <c r="R44" s="816">
        <f t="shared" si="4"/>
        <v>0</v>
      </c>
    </row>
    <row r="45" spans="1:18" ht="15" thickBot="1">
      <c r="A45" s="972" t="s">
        <v>813</v>
      </c>
      <c r="B45" s="979"/>
      <c r="C45" s="974"/>
      <c r="D45" s="974"/>
      <c r="E45" s="974"/>
      <c r="F45" s="974"/>
      <c r="G45" s="974"/>
      <c r="H45" s="974"/>
      <c r="I45" s="974"/>
      <c r="J45" s="974"/>
      <c r="K45" s="974"/>
      <c r="L45" s="974"/>
      <c r="M45" s="974"/>
      <c r="N45" s="974"/>
      <c r="O45" s="974"/>
      <c r="P45" s="974"/>
      <c r="Q45" s="975"/>
      <c r="R45" s="980"/>
    </row>
    <row r="46" spans="1:18" ht="15.75" thickBot="1">
      <c r="A46" s="789" t="s">
        <v>215</v>
      </c>
      <c r="B46" s="802"/>
      <c r="C46" s="698">
        <f ca="1">SUM(C39:C45)</f>
        <v>25771.325072572439</v>
      </c>
      <c r="D46" s="698">
        <f t="shared" ref="D46:Q46" ca="1" si="5">SUM(D39:D45)</f>
        <v>0</v>
      </c>
      <c r="E46" s="698">
        <f t="shared" ca="1" si="5"/>
        <v>36925.522536815719</v>
      </c>
      <c r="F46" s="698">
        <f t="shared" si="5"/>
        <v>1251.233132304538</v>
      </c>
      <c r="G46" s="698">
        <f t="shared" ca="1" si="5"/>
        <v>18847.849975214438</v>
      </c>
      <c r="H46" s="698">
        <f t="shared" si="5"/>
        <v>0</v>
      </c>
      <c r="I46" s="698">
        <f t="shared" si="5"/>
        <v>0</v>
      </c>
      <c r="J46" s="698">
        <f t="shared" si="5"/>
        <v>0</v>
      </c>
      <c r="K46" s="698">
        <f t="shared" si="5"/>
        <v>409.58887932865377</v>
      </c>
      <c r="L46" s="698">
        <f t="shared" si="5"/>
        <v>0</v>
      </c>
      <c r="M46" s="698">
        <f t="shared" ca="1" si="5"/>
        <v>0</v>
      </c>
      <c r="N46" s="698">
        <f t="shared" si="5"/>
        <v>0</v>
      </c>
      <c r="O46" s="698">
        <f t="shared" ca="1" si="5"/>
        <v>0</v>
      </c>
      <c r="P46" s="698">
        <f t="shared" si="5"/>
        <v>0</v>
      </c>
      <c r="Q46" s="698">
        <f t="shared" si="5"/>
        <v>0</v>
      </c>
      <c r="R46" s="698">
        <f ca="1">SUM(R39:R45)</f>
        <v>83205.519596235798</v>
      </c>
    </row>
    <row r="47" spans="1:18" ht="15.75">
      <c r="A47" s="790" t="s">
        <v>216</v>
      </c>
      <c r="B47" s="800"/>
      <c r="C47" s="691"/>
      <c r="D47" s="692"/>
      <c r="E47" s="692"/>
      <c r="F47" s="692"/>
      <c r="G47" s="692"/>
      <c r="H47" s="692"/>
      <c r="I47" s="692"/>
      <c r="J47" s="692"/>
      <c r="K47" s="692"/>
      <c r="L47" s="692"/>
      <c r="M47" s="701"/>
      <c r="N47" s="701"/>
      <c r="O47" s="692"/>
      <c r="P47" s="701"/>
      <c r="Q47" s="701"/>
      <c r="R47" s="695"/>
    </row>
    <row r="48" spans="1:18">
      <c r="A48" s="788" t="s">
        <v>217</v>
      </c>
      <c r="B48" s="795"/>
      <c r="C48" s="970">
        <f ca="1">'Eigen vloot'!B31</f>
        <v>0</v>
      </c>
      <c r="D48" s="970">
        <f>'Eigen vloot'!C31</f>
        <v>0</v>
      </c>
      <c r="E48" s="970">
        <f>'Eigen vloot'!D31</f>
        <v>0</v>
      </c>
      <c r="F48" s="970">
        <f>'Eigen vloot'!E31</f>
        <v>0</v>
      </c>
      <c r="G48" s="970">
        <f>'Eigen vloot'!F31</f>
        <v>0</v>
      </c>
      <c r="H48" s="970">
        <f>'Eigen vloot'!G31</f>
        <v>0</v>
      </c>
      <c r="I48" s="970">
        <f>'Eigen vloot'!H31</f>
        <v>0</v>
      </c>
      <c r="J48" s="970">
        <f>'Eigen vloot'!I31</f>
        <v>0</v>
      </c>
      <c r="K48" s="970">
        <f>'Eigen vloot'!J31</f>
        <v>0</v>
      </c>
      <c r="L48" s="970">
        <f>'Eigen vloot'!K31</f>
        <v>0</v>
      </c>
      <c r="M48" s="970">
        <f>'Eigen vloot'!L31</f>
        <v>0</v>
      </c>
      <c r="N48" s="970">
        <f>'Eigen vloot'!M31</f>
        <v>0</v>
      </c>
      <c r="O48" s="970">
        <f>'Eigen vloot'!N31</f>
        <v>0</v>
      </c>
      <c r="P48" s="970">
        <f>'Eigen vloot'!O31</f>
        <v>0</v>
      </c>
      <c r="Q48" s="970">
        <f>'Eigen vloot'!P31</f>
        <v>0</v>
      </c>
      <c r="R48" s="696">
        <f ca="1">SUM(C48:Q48)</f>
        <v>0</v>
      </c>
    </row>
    <row r="49" spans="1:18">
      <c r="A49" s="788" t="s">
        <v>218</v>
      </c>
      <c r="B49" s="795"/>
      <c r="C49" s="970">
        <f ca="1">transport!B58</f>
        <v>2.5193779866609312</v>
      </c>
      <c r="D49" s="970">
        <f ca="1">transport!C58</f>
        <v>0</v>
      </c>
      <c r="E49" s="970">
        <f>transport!D58</f>
        <v>0</v>
      </c>
      <c r="F49" s="970">
        <f>transport!E58</f>
        <v>0</v>
      </c>
      <c r="G49" s="970">
        <f>transport!F58</f>
        <v>0</v>
      </c>
      <c r="H49" s="970">
        <f>transport!G58</f>
        <v>618.76649189229352</v>
      </c>
      <c r="I49" s="970">
        <f>transport!H58</f>
        <v>0</v>
      </c>
      <c r="J49" s="970">
        <f>transport!I58</f>
        <v>0</v>
      </c>
      <c r="K49" s="970">
        <f>transport!J58</f>
        <v>0</v>
      </c>
      <c r="L49" s="970">
        <f>transport!K58</f>
        <v>0</v>
      </c>
      <c r="M49" s="970">
        <f>transport!L58</f>
        <v>0</v>
      </c>
      <c r="N49" s="970">
        <f>transport!M58</f>
        <v>0</v>
      </c>
      <c r="O49" s="970">
        <f>transport!N58</f>
        <v>0</v>
      </c>
      <c r="P49" s="970">
        <f>transport!O58</f>
        <v>0</v>
      </c>
      <c r="Q49" s="971">
        <f>transport!P58</f>
        <v>0</v>
      </c>
      <c r="R49" s="696">
        <f ca="1">SUM(C49:Q49)</f>
        <v>621.28586987895449</v>
      </c>
    </row>
    <row r="50" spans="1:18">
      <c r="A50" s="791" t="s">
        <v>296</v>
      </c>
      <c r="B50" s="801"/>
      <c r="C50" s="669">
        <f ca="1">transport!B18</f>
        <v>15.970927745745946</v>
      </c>
      <c r="D50" s="669">
        <f>transport!C18</f>
        <v>0</v>
      </c>
      <c r="E50" s="669">
        <f>transport!D18</f>
        <v>26.552475202290683</v>
      </c>
      <c r="F50" s="669">
        <f>transport!E18</f>
        <v>145.95881159222208</v>
      </c>
      <c r="G50" s="669">
        <f>transport!F18</f>
        <v>0</v>
      </c>
      <c r="H50" s="669">
        <f>transport!G18</f>
        <v>75303.011423767995</v>
      </c>
      <c r="I50" s="669">
        <f>transport!H18</f>
        <v>10724.521567108372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86216.015205416625</v>
      </c>
    </row>
    <row r="51" spans="1:18" ht="15" thickBot="1">
      <c r="A51" s="788" t="s">
        <v>814</v>
      </c>
      <c r="B51" s="795"/>
      <c r="C51" s="970"/>
      <c r="D51" s="970"/>
      <c r="E51" s="970"/>
      <c r="F51" s="970"/>
      <c r="G51" s="970"/>
      <c r="H51" s="970"/>
      <c r="I51" s="970"/>
      <c r="J51" s="970"/>
      <c r="K51" s="970"/>
      <c r="L51" s="970"/>
      <c r="M51" s="970"/>
      <c r="N51" s="970"/>
      <c r="O51" s="970"/>
      <c r="P51" s="970"/>
      <c r="Q51" s="971"/>
      <c r="R51" s="696"/>
    </row>
    <row r="52" spans="1:18" ht="15.75" thickBot="1">
      <c r="A52" s="789" t="s">
        <v>219</v>
      </c>
      <c r="B52" s="802"/>
      <c r="C52" s="698">
        <f ca="1">SUM(C48:C51)</f>
        <v>18.490305732406878</v>
      </c>
      <c r="D52" s="698">
        <f t="shared" ref="D52:Q52" ca="1" si="6">SUM(D48:D51)</f>
        <v>0</v>
      </c>
      <c r="E52" s="698">
        <f t="shared" si="6"/>
        <v>26.552475202290683</v>
      </c>
      <c r="F52" s="698">
        <f t="shared" si="6"/>
        <v>145.95881159222208</v>
      </c>
      <c r="G52" s="698">
        <f t="shared" si="6"/>
        <v>0</v>
      </c>
      <c r="H52" s="698">
        <f t="shared" si="6"/>
        <v>75921.777915660292</v>
      </c>
      <c r="I52" s="698">
        <f t="shared" si="6"/>
        <v>10724.521567108372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86837.301075295574</v>
      </c>
    </row>
    <row r="53" spans="1:18" ht="15.75">
      <c r="A53" s="790" t="s">
        <v>226</v>
      </c>
      <c r="B53" s="770"/>
      <c r="C53" s="691"/>
      <c r="D53" s="692"/>
      <c r="E53" s="692"/>
      <c r="F53" s="692"/>
      <c r="G53" s="692"/>
      <c r="H53" s="692"/>
      <c r="I53" s="692"/>
      <c r="J53" s="692"/>
      <c r="K53" s="692"/>
      <c r="L53" s="692"/>
      <c r="M53" s="701"/>
      <c r="N53" s="701"/>
      <c r="O53" s="692"/>
      <c r="P53" s="701"/>
      <c r="Q53" s="701"/>
      <c r="R53" s="695"/>
    </row>
    <row r="54" spans="1:18">
      <c r="A54" s="791" t="s">
        <v>623</v>
      </c>
      <c r="B54" s="801"/>
      <c r="C54" s="669">
        <f ca="1">+landbouw!B12</f>
        <v>260.31547997644071</v>
      </c>
      <c r="D54" s="669">
        <f ca="1">+landbouw!C12</f>
        <v>0</v>
      </c>
      <c r="E54" s="669">
        <f>+landbouw!D12</f>
        <v>41.065109269634213</v>
      </c>
      <c r="F54" s="669">
        <f>+landbouw!E12</f>
        <v>7.8610079556238377</v>
      </c>
      <c r="G54" s="669">
        <f>+landbouw!F12</f>
        <v>1310.6507147247969</v>
      </c>
      <c r="H54" s="669">
        <f>+landbouw!G12</f>
        <v>0</v>
      </c>
      <c r="I54" s="669">
        <f>+landbouw!H12</f>
        <v>0</v>
      </c>
      <c r="J54" s="669">
        <f>+landbouw!I12</f>
        <v>0</v>
      </c>
      <c r="K54" s="669">
        <f>+landbouw!J12</f>
        <v>68.441653285233286</v>
      </c>
      <c r="L54" s="669">
        <f>+landbouw!K12</f>
        <v>0</v>
      </c>
      <c r="M54" s="669">
        <f>+landbouw!L12</f>
        <v>0</v>
      </c>
      <c r="N54" s="669">
        <f>+landbouw!M12</f>
        <v>0</v>
      </c>
      <c r="O54" s="669">
        <f>+landbouw!N12</f>
        <v>0</v>
      </c>
      <c r="P54" s="669">
        <f>+landbouw!O12</f>
        <v>0</v>
      </c>
      <c r="Q54" s="670">
        <f>+landbouw!P12</f>
        <v>0</v>
      </c>
      <c r="R54" s="697">
        <f ca="1">SUM(C54:Q54)</f>
        <v>1688.333965211729</v>
      </c>
    </row>
    <row r="55" spans="1:18" ht="15" thickBot="1">
      <c r="A55" s="791" t="s">
        <v>815</v>
      </c>
      <c r="B55" s="801"/>
      <c r="C55" s="669">
        <f ca="1">C25*'EF ele_warmte'!B12</f>
        <v>266.21896566402978</v>
      </c>
      <c r="D55" s="669"/>
      <c r="E55" s="669">
        <f>E25*EF_CO2_aardgas</f>
        <v>1185.5076215634001</v>
      </c>
      <c r="F55" s="669"/>
      <c r="G55" s="669"/>
      <c r="H55" s="669"/>
      <c r="I55" s="669"/>
      <c r="J55" s="669"/>
      <c r="K55" s="669"/>
      <c r="L55" s="669"/>
      <c r="M55" s="669"/>
      <c r="N55" s="669"/>
      <c r="O55" s="669"/>
      <c r="P55" s="669"/>
      <c r="Q55" s="670"/>
      <c r="R55" s="697">
        <f ca="1">SUM(C55:Q55)</f>
        <v>1451.7265872274299</v>
      </c>
    </row>
    <row r="56" spans="1:18" ht="15.75" thickBot="1">
      <c r="A56" s="789" t="s">
        <v>816</v>
      </c>
      <c r="B56" s="802"/>
      <c r="C56" s="698">
        <f ca="1">SUM(C54:C55)</f>
        <v>526.53444564047049</v>
      </c>
      <c r="D56" s="698">
        <f t="shared" ref="D56:Q56" ca="1" si="7">SUM(D54:D55)</f>
        <v>0</v>
      </c>
      <c r="E56" s="698">
        <f t="shared" si="7"/>
        <v>1226.5727308330343</v>
      </c>
      <c r="F56" s="698">
        <f t="shared" si="7"/>
        <v>7.8610079556238377</v>
      </c>
      <c r="G56" s="698">
        <f t="shared" si="7"/>
        <v>1310.6507147247969</v>
      </c>
      <c r="H56" s="698">
        <f t="shared" si="7"/>
        <v>0</v>
      </c>
      <c r="I56" s="698">
        <f t="shared" si="7"/>
        <v>0</v>
      </c>
      <c r="J56" s="698">
        <f t="shared" si="7"/>
        <v>0</v>
      </c>
      <c r="K56" s="698">
        <f t="shared" si="7"/>
        <v>68.441653285233286</v>
      </c>
      <c r="L56" s="698">
        <f t="shared" si="7"/>
        <v>0</v>
      </c>
      <c r="M56" s="698">
        <f t="shared" si="7"/>
        <v>0</v>
      </c>
      <c r="N56" s="698">
        <f t="shared" si="7"/>
        <v>0</v>
      </c>
      <c r="O56" s="698">
        <f t="shared" si="7"/>
        <v>0</v>
      </c>
      <c r="P56" s="698">
        <f t="shared" si="7"/>
        <v>0</v>
      </c>
      <c r="Q56" s="699">
        <f t="shared" si="7"/>
        <v>0</v>
      </c>
      <c r="R56" s="700">
        <f ca="1">SUM(R54:R55)</f>
        <v>3140.060552439159</v>
      </c>
    </row>
    <row r="57" spans="1:18" ht="15.75">
      <c r="A57" s="770" t="s">
        <v>624</v>
      </c>
      <c r="B57" s="770"/>
      <c r="C57" s="703"/>
      <c r="D57" s="692"/>
      <c r="E57" s="692"/>
      <c r="F57" s="692"/>
      <c r="G57" s="692"/>
      <c r="H57" s="692"/>
      <c r="I57" s="692"/>
      <c r="J57" s="692"/>
      <c r="K57" s="692"/>
      <c r="L57" s="692"/>
      <c r="M57" s="701"/>
      <c r="N57" s="701"/>
      <c r="O57" s="692"/>
      <c r="P57" s="701"/>
      <c r="Q57" s="701"/>
      <c r="R57" s="695"/>
    </row>
    <row r="58" spans="1:18" ht="15">
      <c r="A58" s="792" t="s">
        <v>227</v>
      </c>
      <c r="B58" s="806"/>
      <c r="C58" s="1117"/>
      <c r="D58" s="1118"/>
      <c r="E58" s="1118"/>
      <c r="F58" s="1118"/>
      <c r="G58" s="1118"/>
      <c r="H58" s="1118"/>
      <c r="I58" s="1118"/>
      <c r="J58" s="1118"/>
      <c r="K58" s="1118"/>
      <c r="L58" s="1118"/>
      <c r="M58" s="1118"/>
      <c r="N58" s="1118"/>
      <c r="O58" s="1118"/>
      <c r="P58" s="1118"/>
      <c r="Q58" s="1118"/>
      <c r="R58" s="704"/>
    </row>
    <row r="59" spans="1:18" ht="15">
      <c r="A59" s="793" t="s">
        <v>228</v>
      </c>
      <c r="B59" s="780"/>
      <c r="C59" s="1119"/>
      <c r="D59" s="1120"/>
      <c r="E59" s="1120"/>
      <c r="F59" s="1120"/>
      <c r="G59" s="1120"/>
      <c r="H59" s="1120"/>
      <c r="I59" s="1120"/>
      <c r="J59" s="1120"/>
      <c r="K59" s="1120"/>
      <c r="L59" s="1120"/>
      <c r="M59" s="1120"/>
      <c r="N59" s="1120"/>
      <c r="O59" s="1120"/>
      <c r="P59" s="1120"/>
      <c r="Q59" s="1120"/>
      <c r="R59" s="705"/>
    </row>
    <row r="60" spans="1:18" ht="15" thickBot="1">
      <c r="A60" s="804" t="s">
        <v>229</v>
      </c>
      <c r="B60" s="805"/>
      <c r="C60" s="1119"/>
      <c r="D60" s="1120"/>
      <c r="E60" s="1120"/>
      <c r="F60" s="1120"/>
      <c r="G60" s="1120"/>
      <c r="H60" s="1120"/>
      <c r="I60" s="1120"/>
      <c r="J60" s="1120"/>
      <c r="K60" s="1120"/>
      <c r="L60" s="1120"/>
      <c r="M60" s="1120"/>
      <c r="N60" s="1120"/>
      <c r="O60" s="1120"/>
      <c r="P60" s="1120"/>
      <c r="Q60" s="1120"/>
      <c r="R60" s="697"/>
    </row>
    <row r="61" spans="1:18" ht="16.5" thickBot="1">
      <c r="A61" s="807" t="s">
        <v>109</v>
      </c>
      <c r="B61" s="808"/>
      <c r="C61" s="706">
        <f ca="1">C46+C52+C56</f>
        <v>26316.349823945318</v>
      </c>
      <c r="D61" s="706">
        <f t="shared" ref="D61:Q61" ca="1" si="8">D46+D52+D56</f>
        <v>0</v>
      </c>
      <c r="E61" s="706">
        <f t="shared" ca="1" si="8"/>
        <v>38178.647742851041</v>
      </c>
      <c r="F61" s="706">
        <f t="shared" si="8"/>
        <v>1405.0529518523838</v>
      </c>
      <c r="G61" s="706">
        <f t="shared" ca="1" si="8"/>
        <v>20158.500689939236</v>
      </c>
      <c r="H61" s="706">
        <f t="shared" si="8"/>
        <v>75921.777915660292</v>
      </c>
      <c r="I61" s="706">
        <f t="shared" si="8"/>
        <v>10724.521567108372</v>
      </c>
      <c r="J61" s="706">
        <f t="shared" si="8"/>
        <v>0</v>
      </c>
      <c r="K61" s="706">
        <f t="shared" si="8"/>
        <v>478.03053261388709</v>
      </c>
      <c r="L61" s="706">
        <f t="shared" si="8"/>
        <v>0</v>
      </c>
      <c r="M61" s="706">
        <f t="shared" ca="1" si="8"/>
        <v>0</v>
      </c>
      <c r="N61" s="706">
        <f t="shared" si="8"/>
        <v>0</v>
      </c>
      <c r="O61" s="706">
        <f t="shared" ca="1" si="8"/>
        <v>0</v>
      </c>
      <c r="P61" s="706">
        <f t="shared" si="8"/>
        <v>0</v>
      </c>
      <c r="Q61" s="706">
        <f t="shared" si="8"/>
        <v>0</v>
      </c>
      <c r="R61" s="706">
        <f ca="1">R46+R52+R56</f>
        <v>173182.88122397053</v>
      </c>
    </row>
    <row r="62" spans="1:18" ht="15.75" thickTop="1" thickBot="1">
      <c r="A62" s="960"/>
      <c r="B62" s="960"/>
      <c r="C62" s="707"/>
      <c r="D62" s="707"/>
      <c r="E62" s="708"/>
      <c r="F62" s="708"/>
      <c r="G62" s="708"/>
      <c r="H62" s="708"/>
      <c r="I62" s="708"/>
      <c r="J62" s="708"/>
      <c r="K62" s="708"/>
      <c r="L62" s="708"/>
      <c r="M62" s="708"/>
      <c r="N62" s="708"/>
      <c r="O62" s="708"/>
      <c r="P62" s="708"/>
      <c r="Q62" s="708"/>
      <c r="R62" s="708"/>
    </row>
    <row r="63" spans="1:18" ht="20.25" thickTop="1" thickBot="1">
      <c r="A63" s="709" t="s">
        <v>335</v>
      </c>
      <c r="B63" s="787"/>
      <c r="C63" s="747">
        <f t="shared" ref="C63:Q63" ca="1" si="9">IF(ISERROR(C61/C27),0,C61/C27)</f>
        <v>0.19383593642518934</v>
      </c>
      <c r="D63" s="747">
        <f t="shared" ca="1" si="9"/>
        <v>0</v>
      </c>
      <c r="E63" s="981">
        <f t="shared" ca="1" si="9"/>
        <v>0.20199999999999999</v>
      </c>
      <c r="F63" s="747">
        <f t="shared" si="9"/>
        <v>0.22699999999999995</v>
      </c>
      <c r="G63" s="747">
        <f t="shared" ca="1" si="9"/>
        <v>0.26700000000000002</v>
      </c>
      <c r="H63" s="747">
        <f t="shared" si="9"/>
        <v>0.26700000000000007</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336</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337</v>
      </c>
      <c r="B66" s="711"/>
      <c r="C66" s="684"/>
      <c r="D66" s="712"/>
      <c r="E66" s="684"/>
      <c r="F66" s="684"/>
      <c r="G66" s="684"/>
      <c r="H66" s="684"/>
      <c r="I66" s="684"/>
      <c r="J66" s="684"/>
      <c r="K66" s="684"/>
      <c r="L66" s="684"/>
      <c r="M66" s="684"/>
      <c r="N66" s="684"/>
      <c r="O66" s="684"/>
      <c r="P66" s="713"/>
      <c r="Q66" s="713"/>
      <c r="R66" s="713"/>
    </row>
    <row r="67" spans="1:18">
      <c r="A67" s="1086"/>
      <c r="B67" s="1086"/>
      <c r="C67" s="1086"/>
      <c r="D67" s="1086"/>
      <c r="E67" s="1086"/>
      <c r="F67" s="1086"/>
      <c r="G67" s="1086"/>
      <c r="H67" s="1086"/>
      <c r="I67" s="1086"/>
      <c r="J67" s="1086"/>
      <c r="K67" s="1086"/>
      <c r="L67" s="1086"/>
      <c r="M67" s="1086"/>
      <c r="N67" s="1086"/>
      <c r="O67" s="1086"/>
      <c r="P67" s="1086"/>
      <c r="Q67" s="1086"/>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87" t="s">
        <v>230</v>
      </c>
      <c r="B69" s="1065" t="s">
        <v>338</v>
      </c>
      <c r="C69" s="1066"/>
      <c r="D69" s="1109" t="s">
        <v>339</v>
      </c>
      <c r="E69" s="1110"/>
      <c r="F69" s="1110"/>
      <c r="G69" s="1110"/>
      <c r="H69" s="1110"/>
      <c r="I69" s="1110"/>
      <c r="J69" s="1110"/>
      <c r="K69" s="1110"/>
      <c r="L69" s="1110"/>
      <c r="M69" s="1110"/>
      <c r="N69" s="1110"/>
      <c r="O69" s="1111"/>
      <c r="P69" s="982" t="s">
        <v>632</v>
      </c>
      <c r="Q69" s="1112" t="s">
        <v>631</v>
      </c>
      <c r="R69" s="1113"/>
    </row>
    <row r="70" spans="1:18" ht="61.5" thickTop="1" thickBot="1">
      <c r="A70" s="1088"/>
      <c r="B70" s="1107"/>
      <c r="C70" s="1108"/>
      <c r="D70" s="1114" t="s">
        <v>190</v>
      </c>
      <c r="E70" s="1115"/>
      <c r="F70" s="1115"/>
      <c r="G70" s="1115"/>
      <c r="H70" s="1116"/>
      <c r="I70" s="953" t="s">
        <v>235</v>
      </c>
      <c r="J70" s="953" t="s">
        <v>223</v>
      </c>
      <c r="K70" s="953" t="s">
        <v>202</v>
      </c>
      <c r="L70" s="953" t="s">
        <v>203</v>
      </c>
      <c r="M70" s="715" t="s">
        <v>234</v>
      </c>
      <c r="N70" s="953" t="s">
        <v>236</v>
      </c>
      <c r="O70" s="955" t="s">
        <v>120</v>
      </c>
      <c r="P70" s="983"/>
      <c r="Q70" s="822"/>
      <c r="R70" s="823"/>
    </row>
    <row r="71" spans="1:18" ht="95.25" customHeight="1" thickTop="1" thickBot="1">
      <c r="A71" s="1089"/>
      <c r="B71" s="958" t="s">
        <v>630</v>
      </c>
      <c r="C71" s="958" t="s">
        <v>817</v>
      </c>
      <c r="D71" s="984" t="s">
        <v>192</v>
      </c>
      <c r="E71" s="985" t="s">
        <v>193</v>
      </c>
      <c r="F71" s="953" t="s">
        <v>194</v>
      </c>
      <c r="G71" s="950" t="s">
        <v>196</v>
      </c>
      <c r="H71" s="986" t="s">
        <v>197</v>
      </c>
      <c r="I71" s="954"/>
      <c r="J71" s="954"/>
      <c r="K71" s="954"/>
      <c r="L71" s="954"/>
      <c r="M71" s="951"/>
      <c r="N71" s="954"/>
      <c r="O71" s="959"/>
      <c r="P71" s="987"/>
      <c r="Q71" s="961" t="s">
        <v>633</v>
      </c>
      <c r="R71" s="959" t="s">
        <v>634</v>
      </c>
    </row>
    <row r="72" spans="1:18" ht="15.75" thickTop="1">
      <c r="A72" s="716" t="s">
        <v>238</v>
      </c>
      <c r="B72" s="809">
        <f>'lokale energieproductie'!B4</f>
        <v>0</v>
      </c>
      <c r="C72" s="1105"/>
      <c r="D72" s="1105"/>
      <c r="E72" s="1106"/>
      <c r="F72" s="1106"/>
      <c r="G72" s="1096"/>
      <c r="H72" s="1099"/>
      <c r="I72" s="1102"/>
      <c r="J72" s="956"/>
      <c r="K72" s="1080"/>
      <c r="L72" s="1080"/>
      <c r="M72" s="1080"/>
      <c r="N72" s="1080"/>
      <c r="O72" s="1083"/>
      <c r="P72" s="817">
        <v>0</v>
      </c>
      <c r="Q72" s="988"/>
      <c r="R72" s="817">
        <v>0</v>
      </c>
    </row>
    <row r="73" spans="1:18" ht="15">
      <c r="A73" s="717" t="s">
        <v>239</v>
      </c>
      <c r="B73" s="716">
        <f>'lokale energieproductie'!B5</f>
        <v>0</v>
      </c>
      <c r="C73" s="1103"/>
      <c r="D73" s="1103"/>
      <c r="E73" s="1081"/>
      <c r="F73" s="1081"/>
      <c r="G73" s="1097"/>
      <c r="H73" s="1100"/>
      <c r="I73" s="1103"/>
      <c r="J73" s="957"/>
      <c r="K73" s="1081"/>
      <c r="L73" s="1081"/>
      <c r="M73" s="1081"/>
      <c r="N73" s="1081"/>
      <c r="O73" s="1084"/>
      <c r="P73" s="818">
        <v>0</v>
      </c>
      <c r="Q73" s="824"/>
      <c r="R73" s="818">
        <v>0</v>
      </c>
    </row>
    <row r="74" spans="1:18" ht="15">
      <c r="A74" s="717" t="s">
        <v>240</v>
      </c>
      <c r="B74" s="716">
        <f>'lokale energieproductie'!B6</f>
        <v>16643.947598154045</v>
      </c>
      <c r="C74" s="1103"/>
      <c r="D74" s="1103"/>
      <c r="E74" s="1081"/>
      <c r="F74" s="1081"/>
      <c r="G74" s="1097"/>
      <c r="H74" s="1100"/>
      <c r="I74" s="1103"/>
      <c r="J74" s="957"/>
      <c r="K74" s="1081"/>
      <c r="L74" s="1081"/>
      <c r="M74" s="1081"/>
      <c r="N74" s="1081"/>
      <c r="O74" s="1084"/>
      <c r="P74" s="818">
        <v>0</v>
      </c>
      <c r="Q74" s="824"/>
      <c r="R74" s="818">
        <v>0</v>
      </c>
    </row>
    <row r="75" spans="1:18" ht="15.75" thickBot="1">
      <c r="A75" s="717" t="s">
        <v>818</v>
      </c>
      <c r="B75" s="716">
        <f>'lokale energieproductie'!B7</f>
        <v>0</v>
      </c>
      <c r="C75" s="1104"/>
      <c r="D75" s="1104"/>
      <c r="E75" s="1082"/>
      <c r="F75" s="1082"/>
      <c r="G75" s="1098"/>
      <c r="H75" s="1101"/>
      <c r="I75" s="1104"/>
      <c r="J75" s="989"/>
      <c r="K75" s="1082"/>
      <c r="L75" s="1082"/>
      <c r="M75" s="1082"/>
      <c r="N75" s="1082"/>
      <c r="O75" s="1085"/>
      <c r="P75" s="818">
        <v>0</v>
      </c>
      <c r="Q75" s="990"/>
      <c r="R75" s="818">
        <v>0</v>
      </c>
    </row>
    <row r="76" spans="1:18" ht="15">
      <c r="A76" s="718" t="s">
        <v>241</v>
      </c>
      <c r="B76" s="716">
        <f>'lokale energieproductie'!B8*IFERROR(SUM(I76:O76)/SUM(D76:O76),0)</f>
        <v>43.649999999999991</v>
      </c>
      <c r="C76" s="716">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993">
        <f>'lokale energieproductie'!L8</f>
        <v>0</v>
      </c>
      <c r="P76" s="994"/>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340</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993">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16687.597598154047</v>
      </c>
      <c r="C78" s="721">
        <f>SUM(C72:C77)</f>
        <v>0</v>
      </c>
      <c r="D78" s="722">
        <f t="shared" ref="D78:H78" si="10">SUM(D76:D77)</f>
        <v>0</v>
      </c>
      <c r="E78" s="722">
        <f t="shared" si="10"/>
        <v>0</v>
      </c>
      <c r="F78" s="722">
        <f t="shared" si="10"/>
        <v>0</v>
      </c>
      <c r="G78" s="722">
        <f t="shared" si="10"/>
        <v>0</v>
      </c>
      <c r="H78" s="722">
        <f t="shared" si="10"/>
        <v>0</v>
      </c>
      <c r="I78" s="722">
        <f>SUM(I76:I77)</f>
        <v>0</v>
      </c>
      <c r="J78" s="722">
        <f>SUM(J76:J77)</f>
        <v>51.35294117647058</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60"/>
      <c r="B80" s="960"/>
      <c r="C80" s="725"/>
      <c r="D80" s="725"/>
      <c r="E80" s="684"/>
      <c r="F80" s="684"/>
      <c r="G80" s="684"/>
      <c r="H80" s="684"/>
      <c r="I80" s="684"/>
      <c r="J80" s="684"/>
      <c r="K80" s="684"/>
      <c r="L80" s="684"/>
      <c r="M80" s="684"/>
      <c r="N80" s="684"/>
      <c r="O80" s="684"/>
      <c r="P80" s="684"/>
      <c r="Q80" s="684"/>
      <c r="R80" s="684"/>
    </row>
    <row r="81" spans="1:19" ht="18.75">
      <c r="A81" s="728" t="s">
        <v>341</v>
      </c>
      <c r="B81" s="728"/>
      <c r="C81" s="729"/>
      <c r="D81" s="712"/>
      <c r="E81" s="684"/>
      <c r="F81" s="684"/>
      <c r="G81" s="684"/>
      <c r="H81" s="684"/>
      <c r="I81" s="684"/>
      <c r="J81" s="684"/>
      <c r="K81" s="684"/>
      <c r="L81" s="684"/>
      <c r="M81" s="684"/>
      <c r="N81" s="684"/>
      <c r="O81" s="684"/>
      <c r="P81" s="684"/>
      <c r="Q81" s="684"/>
      <c r="R81" s="684"/>
    </row>
    <row r="82" spans="1:19">
      <c r="A82" s="1086"/>
      <c r="B82" s="1086"/>
      <c r="C82" s="1086"/>
      <c r="D82" s="1086"/>
      <c r="E82" s="1086"/>
      <c r="F82" s="1086"/>
      <c r="G82" s="1086"/>
      <c r="H82" s="1086"/>
      <c r="I82" s="1086"/>
      <c r="J82" s="1086"/>
      <c r="K82" s="1086"/>
      <c r="L82" s="1086"/>
      <c r="M82" s="1086"/>
      <c r="N82" s="1086"/>
      <c r="O82" s="1086"/>
      <c r="P82" s="1086"/>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87" t="s">
        <v>242</v>
      </c>
      <c r="B84" s="1065" t="s">
        <v>342</v>
      </c>
      <c r="C84" s="1090"/>
      <c r="D84" s="1093" t="s">
        <v>343</v>
      </c>
      <c r="E84" s="1094"/>
      <c r="F84" s="1094"/>
      <c r="G84" s="1094"/>
      <c r="H84" s="1094"/>
      <c r="I84" s="1094"/>
      <c r="J84" s="1094"/>
      <c r="K84" s="1094"/>
      <c r="L84" s="1094"/>
      <c r="M84" s="1094"/>
      <c r="N84" s="1094"/>
      <c r="O84" s="1095"/>
      <c r="P84" s="982" t="s">
        <v>632</v>
      </c>
      <c r="Q84" s="1065" t="s">
        <v>631</v>
      </c>
      <c r="R84" s="1066"/>
    </row>
    <row r="85" spans="1:19" ht="16.5" customHeight="1" thickTop="1" thickBot="1">
      <c r="A85" s="1088"/>
      <c r="B85" s="1091"/>
      <c r="C85" s="1092"/>
      <c r="D85" s="1067" t="s">
        <v>190</v>
      </c>
      <c r="E85" s="1068"/>
      <c r="F85" s="1068"/>
      <c r="G85" s="1068"/>
      <c r="H85" s="1069"/>
      <c r="I85" s="1070" t="s">
        <v>235</v>
      </c>
      <c r="J85" s="1072" t="s">
        <v>223</v>
      </c>
      <c r="K85" s="1074" t="s">
        <v>202</v>
      </c>
      <c r="L85" s="1074" t="s">
        <v>203</v>
      </c>
      <c r="M85" s="1076" t="s">
        <v>234</v>
      </c>
      <c r="N85" s="1074" t="s">
        <v>246</v>
      </c>
      <c r="O85" s="1078" t="s">
        <v>120</v>
      </c>
      <c r="P85" s="983"/>
      <c r="Q85" s="822"/>
      <c r="R85" s="823"/>
    </row>
    <row r="86" spans="1:19" ht="110.25" customHeight="1" thickTop="1" thickBot="1">
      <c r="A86" s="1089"/>
      <c r="B86" s="810" t="s">
        <v>630</v>
      </c>
      <c r="C86" s="810" t="s">
        <v>817</v>
      </c>
      <c r="D86" s="961" t="s">
        <v>192</v>
      </c>
      <c r="E86" s="954" t="s">
        <v>193</v>
      </c>
      <c r="F86" s="952" t="s">
        <v>194</v>
      </c>
      <c r="G86" s="954" t="s">
        <v>196</v>
      </c>
      <c r="H86" s="730" t="s">
        <v>197</v>
      </c>
      <c r="I86" s="1071"/>
      <c r="J86" s="1073"/>
      <c r="K86" s="1075"/>
      <c r="L86" s="1075"/>
      <c r="M86" s="1077"/>
      <c r="N86" s="1075"/>
      <c r="O86" s="1079"/>
      <c r="P86" s="987"/>
      <c r="Q86" s="961" t="s">
        <v>633</v>
      </c>
      <c r="R86" s="959" t="s">
        <v>634</v>
      </c>
    </row>
    <row r="87" spans="1:19" ht="15.75" thickTop="1">
      <c r="A87" s="731" t="s">
        <v>241</v>
      </c>
      <c r="B87" s="732">
        <f>'lokale energieproductie'!B17*IFERROR(SUM(I87:O87)/SUM(D87:O87),0)</f>
        <v>62.357142857142847</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062"/>
      <c r="Q87" s="825">
        <f>D87*EF_CO2_aardgas+E87*EF_VLgas_CO2+'SEAP template'!F87*EF_stookolie_CO2+EF_bruinkool_CO2*'SEAP template'!G87+'SEAP template'!H87*EF_steenkool_CO2+'EF brandstof'!M4*'SEAP template'!M87+'SEAP template'!O87*EF_anderfossiel_CO2</f>
        <v>0</v>
      </c>
      <c r="R87" s="812">
        <v>0</v>
      </c>
    </row>
    <row r="88" spans="1:19" ht="15">
      <c r="A88" s="733" t="s">
        <v>247</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063"/>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340</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064"/>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62.357142857142847</v>
      </c>
      <c r="C90" s="721">
        <f>SUM(C87:C89)</f>
        <v>0</v>
      </c>
      <c r="D90" s="721">
        <f t="shared" ref="D90:H90" si="12">SUM(D87:D89)</f>
        <v>0</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1" t="s">
        <v>540</v>
      </c>
      <c r="B1" s="1152" t="s">
        <v>536</v>
      </c>
      <c r="C1" s="1152"/>
      <c r="D1" s="1152"/>
      <c r="E1" s="1152"/>
      <c r="F1" s="1152"/>
      <c r="G1" s="1152"/>
      <c r="H1" s="1152"/>
      <c r="I1" s="1152"/>
      <c r="J1" s="1152"/>
      <c r="K1" s="1152"/>
      <c r="L1" s="1152"/>
      <c r="M1" s="1152"/>
      <c r="N1" s="1152"/>
      <c r="O1" s="1152"/>
      <c r="P1" s="1153"/>
      <c r="Q1" s="995"/>
    </row>
    <row r="2" spans="1:17">
      <c r="A2" s="1151"/>
      <c r="B2" s="1154" t="s">
        <v>20</v>
      </c>
      <c r="C2" s="1156" t="s">
        <v>189</v>
      </c>
      <c r="D2" s="1158" t="s">
        <v>190</v>
      </c>
      <c r="E2" s="1159"/>
      <c r="F2" s="1159"/>
      <c r="G2" s="1159"/>
      <c r="H2" s="1159"/>
      <c r="I2" s="1159"/>
      <c r="J2" s="1159"/>
      <c r="K2" s="1155"/>
      <c r="L2" s="1158" t="s">
        <v>191</v>
      </c>
      <c r="M2" s="1159"/>
      <c r="N2" s="1159"/>
      <c r="O2" s="1159"/>
      <c r="P2" s="1155"/>
      <c r="Q2" s="995"/>
    </row>
    <row r="3" spans="1:17" ht="45">
      <c r="A3" s="1151"/>
      <c r="B3" s="1155"/>
      <c r="C3" s="1157"/>
      <c r="D3" s="995" t="s">
        <v>192</v>
      </c>
      <c r="E3" s="995" t="s">
        <v>193</v>
      </c>
      <c r="F3" s="995" t="s">
        <v>194</v>
      </c>
      <c r="G3" s="995" t="s">
        <v>195</v>
      </c>
      <c r="H3" s="995" t="s">
        <v>113</v>
      </c>
      <c r="I3" s="995" t="s">
        <v>196</v>
      </c>
      <c r="J3" s="995" t="s">
        <v>197</v>
      </c>
      <c r="K3" s="995" t="s">
        <v>198</v>
      </c>
      <c r="L3" s="995" t="s">
        <v>199</v>
      </c>
      <c r="M3" s="995" t="s">
        <v>200</v>
      </c>
      <c r="N3" s="995" t="s">
        <v>201</v>
      </c>
      <c r="O3" s="995" t="s">
        <v>202</v>
      </c>
      <c r="P3" s="995" t="s">
        <v>203</v>
      </c>
      <c r="Q3" s="995" t="s">
        <v>109</v>
      </c>
    </row>
    <row r="4" spans="1:17">
      <c r="A4" s="442" t="s">
        <v>148</v>
      </c>
      <c r="B4" s="443">
        <f>huishoudens!B8</f>
        <v>49531.400897918844</v>
      </c>
      <c r="C4" s="443">
        <f>huishoudens!C8</f>
        <v>0</v>
      </c>
      <c r="D4" s="443">
        <f>huishoudens!D8</f>
        <v>114801.21148275999</v>
      </c>
      <c r="E4" s="443">
        <f>huishoudens!E8</f>
        <v>1797.9613708381578</v>
      </c>
      <c r="F4" s="443">
        <f>huishoudens!F8</f>
        <v>48883.010839337265</v>
      </c>
      <c r="G4" s="443">
        <f>huishoudens!G8</f>
        <v>0</v>
      </c>
      <c r="H4" s="443">
        <f>huishoudens!H8</f>
        <v>0</v>
      </c>
      <c r="I4" s="443">
        <f>huishoudens!I8</f>
        <v>0</v>
      </c>
      <c r="J4" s="443">
        <f>huishoudens!J8</f>
        <v>901.49003103168855</v>
      </c>
      <c r="K4" s="443">
        <f>huishoudens!K8</f>
        <v>0</v>
      </c>
      <c r="L4" s="443">
        <f>huishoudens!L8</f>
        <v>0</v>
      </c>
      <c r="M4" s="443">
        <f>huishoudens!M8</f>
        <v>0</v>
      </c>
      <c r="N4" s="443">
        <f>huishoudens!N8</f>
        <v>15211.536752719894</v>
      </c>
      <c r="O4" s="443">
        <f>huishoudens!O8</f>
        <v>264.20333333333338</v>
      </c>
      <c r="P4" s="444">
        <f>huishoudens!P8</f>
        <v>1182.1333333333332</v>
      </c>
      <c r="Q4" s="445">
        <f>SUM(B4:P4)</f>
        <v>232572.9480412725</v>
      </c>
    </row>
    <row r="5" spans="1:17">
      <c r="A5" s="442" t="s">
        <v>149</v>
      </c>
      <c r="B5" s="443">
        <f ca="1">tertiair!B16</f>
        <v>39813.397831859991</v>
      </c>
      <c r="C5" s="443">
        <f ca="1">tertiair!C16</f>
        <v>0</v>
      </c>
      <c r="D5" s="443">
        <f ca="1">tertiair!D16</f>
        <v>44001.123015185593</v>
      </c>
      <c r="E5" s="443">
        <f>tertiair!E16</f>
        <v>786.54956462817745</v>
      </c>
      <c r="F5" s="443">
        <f ca="1">tertiair!F16</f>
        <v>9627.761062846821</v>
      </c>
      <c r="G5" s="443">
        <f>tertiair!G16</f>
        <v>0</v>
      </c>
      <c r="H5" s="443">
        <f>tertiair!H16</f>
        <v>0</v>
      </c>
      <c r="I5" s="443">
        <f>tertiair!I16</f>
        <v>0</v>
      </c>
      <c r="J5" s="443">
        <f>tertiair!J16</f>
        <v>0</v>
      </c>
      <c r="K5" s="443">
        <f>tertiair!K16</f>
        <v>0</v>
      </c>
      <c r="L5" s="443">
        <f ca="1">tertiair!L16</f>
        <v>0</v>
      </c>
      <c r="M5" s="443">
        <f>tertiair!M16</f>
        <v>0</v>
      </c>
      <c r="N5" s="443">
        <f ca="1">tertiair!N16</f>
        <v>3581.0082475010722</v>
      </c>
      <c r="O5" s="443">
        <f>tertiair!O16</f>
        <v>4.6900000000000004</v>
      </c>
      <c r="P5" s="444">
        <f>tertiair!P16</f>
        <v>38.133333333333333</v>
      </c>
      <c r="Q5" s="442">
        <f t="shared" ref="Q5:Q14" ca="1" si="0">SUM(B5:P5)</f>
        <v>97852.663055354991</v>
      </c>
    </row>
    <row r="6" spans="1:17">
      <c r="A6" s="442" t="s">
        <v>187</v>
      </c>
      <c r="B6" s="443">
        <f>'openbare verlichting'!B8</f>
        <v>1616.146</v>
      </c>
      <c r="C6" s="443"/>
      <c r="D6" s="443"/>
      <c r="E6" s="443"/>
      <c r="F6" s="443"/>
      <c r="G6" s="443"/>
      <c r="H6" s="443"/>
      <c r="I6" s="443"/>
      <c r="J6" s="443"/>
      <c r="K6" s="443"/>
      <c r="L6" s="443"/>
      <c r="M6" s="443"/>
      <c r="N6" s="443"/>
      <c r="O6" s="443"/>
      <c r="P6" s="444"/>
      <c r="Q6" s="442">
        <f t="shared" si="0"/>
        <v>1616.146</v>
      </c>
    </row>
    <row r="7" spans="1:17">
      <c r="A7" s="442" t="s">
        <v>105</v>
      </c>
      <c r="B7" s="443">
        <f>landbouw!B8</f>
        <v>1342.9681037340001</v>
      </c>
      <c r="C7" s="443">
        <f>landbouw!C8</f>
        <v>62.357142857142847</v>
      </c>
      <c r="D7" s="443">
        <f>landbouw!D8</f>
        <v>203.29262014670402</v>
      </c>
      <c r="E7" s="443">
        <f>landbouw!E8</f>
        <v>34.629990993937611</v>
      </c>
      <c r="F7" s="443">
        <f>landbouw!F8</f>
        <v>4908.804174999239</v>
      </c>
      <c r="G7" s="443">
        <f>landbouw!G8</f>
        <v>0</v>
      </c>
      <c r="H7" s="443">
        <f>landbouw!H8</f>
        <v>0</v>
      </c>
      <c r="I7" s="443">
        <f>landbouw!I8</f>
        <v>0</v>
      </c>
      <c r="J7" s="443">
        <f>landbouw!J8</f>
        <v>193.33800363060251</v>
      </c>
      <c r="K7" s="443">
        <f>landbouw!K8</f>
        <v>0</v>
      </c>
      <c r="L7" s="443">
        <f>landbouw!L8</f>
        <v>0</v>
      </c>
      <c r="M7" s="443">
        <f>landbouw!M8</f>
        <v>0</v>
      </c>
      <c r="N7" s="443">
        <f>landbouw!N8</f>
        <v>0</v>
      </c>
      <c r="O7" s="443">
        <f>landbouw!O8</f>
        <v>0</v>
      </c>
      <c r="P7" s="444">
        <f>landbouw!P8</f>
        <v>0</v>
      </c>
      <c r="Q7" s="442">
        <f t="shared" si="0"/>
        <v>6745.3900363616258</v>
      </c>
    </row>
    <row r="8" spans="1:17">
      <c r="A8" s="442" t="s">
        <v>625</v>
      </c>
      <c r="B8" s="443">
        <f>industrie!B18</f>
        <v>41993.375030833995</v>
      </c>
      <c r="C8" s="443">
        <f>industrie!C18</f>
        <v>0</v>
      </c>
      <c r="D8" s="443">
        <f>industrie!D18</f>
        <v>23997.282020944123</v>
      </c>
      <c r="E8" s="443">
        <f>industrie!E18</f>
        <v>2927.5292949501318</v>
      </c>
      <c r="F8" s="443">
        <f>industrie!F18</f>
        <v>12080.426506858743</v>
      </c>
      <c r="G8" s="443">
        <f>industrie!G18</f>
        <v>0</v>
      </c>
      <c r="H8" s="443">
        <f>industrie!H18</f>
        <v>0</v>
      </c>
      <c r="I8" s="443">
        <f>industrie!I18</f>
        <v>0</v>
      </c>
      <c r="J8" s="443">
        <f>industrie!J18</f>
        <v>255.54070153513013</v>
      </c>
      <c r="K8" s="443">
        <f>industrie!K18</f>
        <v>0</v>
      </c>
      <c r="L8" s="443">
        <f>industrie!L18</f>
        <v>0</v>
      </c>
      <c r="M8" s="443">
        <f>industrie!M18</f>
        <v>0</v>
      </c>
      <c r="N8" s="443">
        <f>industrie!N18</f>
        <v>3587.6207803718576</v>
      </c>
      <c r="O8" s="443">
        <f>industrie!O18</f>
        <v>0</v>
      </c>
      <c r="P8" s="444">
        <f>industrie!P18</f>
        <v>0</v>
      </c>
      <c r="Q8" s="442">
        <f t="shared" si="0"/>
        <v>84841.774335493974</v>
      </c>
    </row>
    <row r="9" spans="1:17" s="448" customFormat="1">
      <c r="A9" s="446" t="s">
        <v>551</v>
      </c>
      <c r="B9" s="447">
        <f>transport!B14</f>
        <v>82.394049526053195</v>
      </c>
      <c r="C9" s="447">
        <f>transport!C14</f>
        <v>0</v>
      </c>
      <c r="D9" s="447">
        <f>transport!D14</f>
        <v>131.44789704104298</v>
      </c>
      <c r="E9" s="447">
        <f>transport!E14</f>
        <v>642.99035943710169</v>
      </c>
      <c r="F9" s="447">
        <f>transport!F14</f>
        <v>0</v>
      </c>
      <c r="G9" s="447">
        <f>transport!G14</f>
        <v>282033.75065081642</v>
      </c>
      <c r="H9" s="447">
        <f>transport!H14</f>
        <v>43070.367739391048</v>
      </c>
      <c r="I9" s="447">
        <f>transport!I14</f>
        <v>0</v>
      </c>
      <c r="J9" s="447">
        <f>transport!J14</f>
        <v>0</v>
      </c>
      <c r="K9" s="447">
        <f>transport!K14</f>
        <v>0</v>
      </c>
      <c r="L9" s="447">
        <f>transport!L14</f>
        <v>0</v>
      </c>
      <c r="M9" s="447">
        <f>transport!M14</f>
        <v>10163.558347062968</v>
      </c>
      <c r="N9" s="447">
        <f>transport!N14</f>
        <v>0</v>
      </c>
      <c r="O9" s="447">
        <f>transport!O14</f>
        <v>0</v>
      </c>
      <c r="P9" s="447">
        <f>transport!P14</f>
        <v>0</v>
      </c>
      <c r="Q9" s="446">
        <f>SUM(B9:P9)</f>
        <v>336124.50904327462</v>
      </c>
    </row>
    <row r="10" spans="1:17">
      <c r="A10" s="442" t="s">
        <v>541</v>
      </c>
      <c r="B10" s="443">
        <f>transport!B54</f>
        <v>12.997476283936034</v>
      </c>
      <c r="C10" s="443">
        <f>transport!C54</f>
        <v>0</v>
      </c>
      <c r="D10" s="443">
        <f>transport!D54</f>
        <v>0</v>
      </c>
      <c r="E10" s="443">
        <f>transport!E54</f>
        <v>0</v>
      </c>
      <c r="F10" s="443">
        <f>transport!F54</f>
        <v>0</v>
      </c>
      <c r="G10" s="443">
        <f>transport!G54</f>
        <v>2317.4774977239458</v>
      </c>
      <c r="H10" s="443">
        <f>transport!H54</f>
        <v>0</v>
      </c>
      <c r="I10" s="443">
        <f>transport!I54</f>
        <v>0</v>
      </c>
      <c r="J10" s="443">
        <f>transport!J54</f>
        <v>0</v>
      </c>
      <c r="K10" s="443">
        <f>transport!K54</f>
        <v>0</v>
      </c>
      <c r="L10" s="443">
        <f>transport!L54</f>
        <v>0</v>
      </c>
      <c r="M10" s="443">
        <f>transport!M54</f>
        <v>72.342668081729059</v>
      </c>
      <c r="N10" s="443">
        <f>transport!N54</f>
        <v>0</v>
      </c>
      <c r="O10" s="443">
        <f>transport!O54</f>
        <v>0</v>
      </c>
      <c r="P10" s="444">
        <f>transport!P54</f>
        <v>0</v>
      </c>
      <c r="Q10" s="442">
        <f t="shared" si="0"/>
        <v>2402.8176420896111</v>
      </c>
    </row>
    <row r="11" spans="1:17">
      <c r="A11" s="442" t="s">
        <v>542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543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819</v>
      </c>
      <c r="B14" s="450">
        <f>'SEAP template'!C25</f>
        <v>1373.4241987</v>
      </c>
      <c r="C14" s="450"/>
      <c r="D14" s="450">
        <f>'SEAP template'!E25</f>
        <v>5868.8496117000004</v>
      </c>
      <c r="E14" s="450"/>
      <c r="F14" s="450"/>
      <c r="G14" s="450"/>
      <c r="H14" s="450"/>
      <c r="I14" s="450"/>
      <c r="J14" s="450"/>
      <c r="K14" s="450"/>
      <c r="L14" s="450"/>
      <c r="M14" s="450"/>
      <c r="N14" s="450"/>
      <c r="O14" s="450"/>
      <c r="P14" s="451"/>
      <c r="Q14" s="442">
        <f t="shared" si="0"/>
        <v>7242.2738104</v>
      </c>
    </row>
    <row r="15" spans="1:17" s="452" customFormat="1">
      <c r="A15" s="996" t="s">
        <v>545</v>
      </c>
      <c r="B15" s="936">
        <f ca="1">SUM(B4:B14)</f>
        <v>135766.10358885679</v>
      </c>
      <c r="C15" s="936">
        <f t="shared" ref="C15:Q15" ca="1" si="1">SUM(C4:C14)</f>
        <v>62.357142857142847</v>
      </c>
      <c r="D15" s="936">
        <f t="shared" ca="1" si="1"/>
        <v>189003.20664777744</v>
      </c>
      <c r="E15" s="936">
        <f t="shared" si="1"/>
        <v>6189.660580847506</v>
      </c>
      <c r="F15" s="936">
        <f t="shared" ca="1" si="1"/>
        <v>75500.002584042071</v>
      </c>
      <c r="G15" s="936">
        <f t="shared" si="1"/>
        <v>284351.22814854037</v>
      </c>
      <c r="H15" s="936">
        <f t="shared" si="1"/>
        <v>43070.367739391048</v>
      </c>
      <c r="I15" s="936">
        <f t="shared" si="1"/>
        <v>0</v>
      </c>
      <c r="J15" s="936">
        <f t="shared" si="1"/>
        <v>1350.3687361974212</v>
      </c>
      <c r="K15" s="936">
        <f t="shared" si="1"/>
        <v>0</v>
      </c>
      <c r="L15" s="936">
        <f t="shared" ca="1" si="1"/>
        <v>0</v>
      </c>
      <c r="M15" s="936">
        <f t="shared" si="1"/>
        <v>10235.901015144696</v>
      </c>
      <c r="N15" s="936">
        <f t="shared" ca="1" si="1"/>
        <v>22380.165780592823</v>
      </c>
      <c r="O15" s="936">
        <f t="shared" si="1"/>
        <v>268.89333333333337</v>
      </c>
      <c r="P15" s="936">
        <f t="shared" si="1"/>
        <v>1220.2666666666667</v>
      </c>
      <c r="Q15" s="936">
        <f t="shared" ca="1" si="1"/>
        <v>769398.52196424734</v>
      </c>
    </row>
    <row r="17" spans="1:17">
      <c r="A17" s="453" t="s">
        <v>546</v>
      </c>
      <c r="B17" s="752">
        <f ca="1">huishoudens!B10</f>
        <v>0.19383593642518931</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1" t="s">
        <v>548</v>
      </c>
      <c r="B19" s="1152" t="s">
        <v>547</v>
      </c>
      <c r="C19" s="1152"/>
      <c r="D19" s="1152"/>
      <c r="E19" s="1152"/>
      <c r="F19" s="1152"/>
      <c r="G19" s="1152"/>
      <c r="H19" s="1152"/>
      <c r="I19" s="1152"/>
      <c r="J19" s="1152"/>
      <c r="K19" s="1152"/>
      <c r="L19" s="1152"/>
      <c r="M19" s="1152"/>
      <c r="N19" s="1152"/>
      <c r="O19" s="1152"/>
      <c r="P19" s="1153"/>
      <c r="Q19" s="995"/>
    </row>
    <row r="20" spans="1:17" ht="15" customHeight="1">
      <c r="A20" s="1151"/>
      <c r="B20" s="1154" t="s">
        <v>20</v>
      </c>
      <c r="C20" s="1156" t="s">
        <v>189</v>
      </c>
      <c r="D20" s="1158" t="s">
        <v>190</v>
      </c>
      <c r="E20" s="1159"/>
      <c r="F20" s="1159"/>
      <c r="G20" s="1159"/>
      <c r="H20" s="1159"/>
      <c r="I20" s="1159"/>
      <c r="J20" s="1159"/>
      <c r="K20" s="1155"/>
      <c r="L20" s="1158" t="s">
        <v>191</v>
      </c>
      <c r="M20" s="1159"/>
      <c r="N20" s="1159"/>
      <c r="O20" s="1159"/>
      <c r="P20" s="1155"/>
      <c r="Q20" s="995"/>
    </row>
    <row r="21" spans="1:17" ht="45">
      <c r="A21" s="1151"/>
      <c r="B21" s="1155"/>
      <c r="C21" s="1157"/>
      <c r="D21" s="995" t="s">
        <v>192</v>
      </c>
      <c r="E21" s="995" t="s">
        <v>193</v>
      </c>
      <c r="F21" s="995" t="s">
        <v>194</v>
      </c>
      <c r="G21" s="995" t="s">
        <v>195</v>
      </c>
      <c r="H21" s="995" t="s">
        <v>113</v>
      </c>
      <c r="I21" s="995" t="s">
        <v>196</v>
      </c>
      <c r="J21" s="995" t="s">
        <v>197</v>
      </c>
      <c r="K21" s="995" t="s">
        <v>198</v>
      </c>
      <c r="L21" s="995" t="s">
        <v>199</v>
      </c>
      <c r="M21" s="995" t="s">
        <v>200</v>
      </c>
      <c r="N21" s="995" t="s">
        <v>201</v>
      </c>
      <c r="O21" s="995" t="s">
        <v>202</v>
      </c>
      <c r="P21" s="995" t="s">
        <v>203</v>
      </c>
      <c r="Q21" s="995" t="s">
        <v>109</v>
      </c>
    </row>
    <row r="22" spans="1:17">
      <c r="A22" s="442" t="s">
        <v>148</v>
      </c>
      <c r="B22" s="443">
        <f t="shared" ref="B22:B32" ca="1" si="2">B4*$B$17</f>
        <v>9600.9654754995627</v>
      </c>
      <c r="C22" s="443">
        <f t="shared" ref="C22:C32" ca="1" si="3">C4*$C$17</f>
        <v>0</v>
      </c>
      <c r="D22" s="443">
        <f t="shared" ref="D22:D32" si="4">D4*$D$17</f>
        <v>23189.844719517518</v>
      </c>
      <c r="E22" s="443">
        <f t="shared" ref="E22:E32" si="5">E4*$E$17</f>
        <v>408.13723118026184</v>
      </c>
      <c r="F22" s="443">
        <f t="shared" ref="F22:F32" si="6">F4*$F$17</f>
        <v>13051.763894103051</v>
      </c>
      <c r="G22" s="443">
        <f t="shared" ref="G22:G32" si="7">G4*$G$17</f>
        <v>0</v>
      </c>
      <c r="H22" s="443">
        <f t="shared" ref="H22:H32" si="8">H4*$H$17</f>
        <v>0</v>
      </c>
      <c r="I22" s="443">
        <f t="shared" ref="I22:I32" si="9">I4*$I$17</f>
        <v>0</v>
      </c>
      <c r="J22" s="443">
        <f t="shared" ref="J22:J32" si="10">J4*$J$17</f>
        <v>319.12747098521771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46569.838791285612</v>
      </c>
    </row>
    <row r="23" spans="1:17">
      <c r="A23" s="442" t="s">
        <v>149</v>
      </c>
      <c r="B23" s="443">
        <f t="shared" ca="1" si="2"/>
        <v>7717.2672510071834</v>
      </c>
      <c r="C23" s="443">
        <f t="shared" ca="1" si="3"/>
        <v>0</v>
      </c>
      <c r="D23" s="443">
        <f t="shared" ca="1" si="4"/>
        <v>8888.2268490674905</v>
      </c>
      <c r="E23" s="443">
        <f t="shared" si="5"/>
        <v>178.54675117059628</v>
      </c>
      <c r="F23" s="443">
        <f t="shared" ca="1" si="6"/>
        <v>2570.6122037801015</v>
      </c>
      <c r="G23" s="443">
        <f t="shared" si="7"/>
        <v>0</v>
      </c>
      <c r="H23" s="443">
        <f t="shared" si="8"/>
        <v>0</v>
      </c>
      <c r="I23" s="443">
        <f t="shared" si="9"/>
        <v>0</v>
      </c>
      <c r="J23" s="443">
        <f t="shared" si="10"/>
        <v>0</v>
      </c>
      <c r="K23" s="443">
        <f t="shared" si="11"/>
        <v>0</v>
      </c>
      <c r="L23" s="443">
        <f t="shared" ca="1" si="12"/>
        <v>0</v>
      </c>
      <c r="M23" s="443">
        <f t="shared" si="13"/>
        <v>0</v>
      </c>
      <c r="N23" s="443">
        <f t="shared" ca="1" si="14"/>
        <v>0</v>
      </c>
      <c r="O23" s="443">
        <f t="shared" si="15"/>
        <v>0</v>
      </c>
      <c r="P23" s="444">
        <f t="shared" si="16"/>
        <v>0</v>
      </c>
      <c r="Q23" s="442">
        <f t="shared" ref="Q23:Q32" ca="1" si="17">SUM(B23:P23)</f>
        <v>19354.653055025374</v>
      </c>
    </row>
    <row r="24" spans="1:17">
      <c r="A24" s="442" t="s">
        <v>187</v>
      </c>
      <c r="B24" s="443">
        <f t="shared" ca="1" si="2"/>
        <v>313.26717330982399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313.26717330982399</v>
      </c>
    </row>
    <row r="25" spans="1:17">
      <c r="A25" s="442" t="s">
        <v>105</v>
      </c>
      <c r="B25" s="443">
        <f t="shared" ca="1" si="2"/>
        <v>260.31547997644071</v>
      </c>
      <c r="C25" s="443">
        <f t="shared" ca="1" si="3"/>
        <v>0</v>
      </c>
      <c r="D25" s="443">
        <f t="shared" si="4"/>
        <v>41.065109269634213</v>
      </c>
      <c r="E25" s="443">
        <f t="shared" si="5"/>
        <v>7.8610079556238377</v>
      </c>
      <c r="F25" s="443">
        <f t="shared" si="6"/>
        <v>1310.6507147247969</v>
      </c>
      <c r="G25" s="443">
        <f t="shared" si="7"/>
        <v>0</v>
      </c>
      <c r="H25" s="443">
        <f t="shared" si="8"/>
        <v>0</v>
      </c>
      <c r="I25" s="443">
        <f t="shared" si="9"/>
        <v>0</v>
      </c>
      <c r="J25" s="443">
        <f t="shared" si="10"/>
        <v>68.441653285233286</v>
      </c>
      <c r="K25" s="443">
        <f t="shared" si="11"/>
        <v>0</v>
      </c>
      <c r="L25" s="443">
        <f t="shared" si="12"/>
        <v>0</v>
      </c>
      <c r="M25" s="443">
        <f t="shared" si="13"/>
        <v>0</v>
      </c>
      <c r="N25" s="443">
        <f t="shared" si="14"/>
        <v>0</v>
      </c>
      <c r="O25" s="443">
        <f t="shared" si="15"/>
        <v>0</v>
      </c>
      <c r="P25" s="444">
        <f t="shared" si="16"/>
        <v>0</v>
      </c>
      <c r="Q25" s="442">
        <f t="shared" ca="1" si="17"/>
        <v>1688.333965211729</v>
      </c>
    </row>
    <row r="26" spans="1:17">
      <c r="A26" s="442" t="s">
        <v>625</v>
      </c>
      <c r="B26" s="443">
        <f t="shared" ca="1" si="2"/>
        <v>8139.8251727558709</v>
      </c>
      <c r="C26" s="443">
        <f t="shared" ca="1" si="3"/>
        <v>0</v>
      </c>
      <c r="D26" s="443">
        <f t="shared" si="4"/>
        <v>4847.4509682307134</v>
      </c>
      <c r="E26" s="443">
        <f t="shared" si="5"/>
        <v>664.54914995367994</v>
      </c>
      <c r="F26" s="443">
        <f t="shared" si="6"/>
        <v>3225.4738773312847</v>
      </c>
      <c r="G26" s="443">
        <f t="shared" si="7"/>
        <v>0</v>
      </c>
      <c r="H26" s="443">
        <f t="shared" si="8"/>
        <v>0</v>
      </c>
      <c r="I26" s="443">
        <f t="shared" si="9"/>
        <v>0</v>
      </c>
      <c r="J26" s="443">
        <f t="shared" si="10"/>
        <v>90.461408343436062</v>
      </c>
      <c r="K26" s="443">
        <f t="shared" si="11"/>
        <v>0</v>
      </c>
      <c r="L26" s="443">
        <f t="shared" si="12"/>
        <v>0</v>
      </c>
      <c r="M26" s="443">
        <f t="shared" si="13"/>
        <v>0</v>
      </c>
      <c r="N26" s="443">
        <f t="shared" si="14"/>
        <v>0</v>
      </c>
      <c r="O26" s="443">
        <f t="shared" si="15"/>
        <v>0</v>
      </c>
      <c r="P26" s="444">
        <f t="shared" si="16"/>
        <v>0</v>
      </c>
      <c r="Q26" s="442">
        <f t="shared" ca="1" si="17"/>
        <v>16967.760576614986</v>
      </c>
    </row>
    <row r="27" spans="1:17" s="448" customFormat="1">
      <c r="A27" s="446" t="s">
        <v>551</v>
      </c>
      <c r="B27" s="746">
        <f t="shared" ca="1" si="2"/>
        <v>15.970927745745946</v>
      </c>
      <c r="C27" s="447">
        <f t="shared" ca="1" si="3"/>
        <v>0</v>
      </c>
      <c r="D27" s="447">
        <f t="shared" si="4"/>
        <v>26.552475202290683</v>
      </c>
      <c r="E27" s="447">
        <f t="shared" si="5"/>
        <v>145.95881159222208</v>
      </c>
      <c r="F27" s="447">
        <f t="shared" si="6"/>
        <v>0</v>
      </c>
      <c r="G27" s="447">
        <f t="shared" si="7"/>
        <v>75303.011423767995</v>
      </c>
      <c r="H27" s="447">
        <f t="shared" si="8"/>
        <v>10724.521567108372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86216.015205416625</v>
      </c>
    </row>
    <row r="28" spans="1:17">
      <c r="A28" s="442" t="s">
        <v>541</v>
      </c>
      <c r="B28" s="443">
        <f t="shared" ca="1" si="2"/>
        <v>2.5193779866609312</v>
      </c>
      <c r="C28" s="443">
        <f t="shared" ca="1" si="3"/>
        <v>0</v>
      </c>
      <c r="D28" s="443">
        <f t="shared" si="4"/>
        <v>0</v>
      </c>
      <c r="E28" s="443">
        <f t="shared" si="5"/>
        <v>0</v>
      </c>
      <c r="F28" s="443">
        <f t="shared" si="6"/>
        <v>0</v>
      </c>
      <c r="G28" s="443">
        <f t="shared" si="7"/>
        <v>618.76649189229352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621.28586987895449</v>
      </c>
    </row>
    <row r="29" spans="1:17">
      <c r="A29" s="442" t="s">
        <v>542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543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819</v>
      </c>
      <c r="B32" s="443">
        <f t="shared" ca="1" si="2"/>
        <v>266.21896566402978</v>
      </c>
      <c r="C32" s="443">
        <f t="shared" ca="1" si="3"/>
        <v>0</v>
      </c>
      <c r="D32" s="443">
        <f t="shared" si="4"/>
        <v>1185.5076215634001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1451.7265872274299</v>
      </c>
    </row>
    <row r="33" spans="1:17" s="452" customFormat="1">
      <c r="A33" s="996" t="s">
        <v>545</v>
      </c>
      <c r="B33" s="936">
        <f ca="1">SUM(B22:B32)</f>
        <v>26316.349823945322</v>
      </c>
      <c r="C33" s="936">
        <f t="shared" ref="C33:Q33" ca="1" si="18">SUM(C22:C32)</f>
        <v>0</v>
      </c>
      <c r="D33" s="936">
        <f t="shared" ca="1" si="18"/>
        <v>38178.647742851048</v>
      </c>
      <c r="E33" s="936">
        <f t="shared" si="18"/>
        <v>1405.0529518523838</v>
      </c>
      <c r="F33" s="936">
        <f t="shared" ca="1" si="18"/>
        <v>20158.500689939236</v>
      </c>
      <c r="G33" s="936">
        <f t="shared" si="18"/>
        <v>75921.777915660292</v>
      </c>
      <c r="H33" s="936">
        <f t="shared" si="18"/>
        <v>10724.521567108372</v>
      </c>
      <c r="I33" s="936">
        <f t="shared" si="18"/>
        <v>0</v>
      </c>
      <c r="J33" s="936">
        <f t="shared" si="18"/>
        <v>478.03053261388703</v>
      </c>
      <c r="K33" s="936">
        <f t="shared" si="18"/>
        <v>0</v>
      </c>
      <c r="L33" s="936">
        <f t="shared" ca="1" si="18"/>
        <v>0</v>
      </c>
      <c r="M33" s="936">
        <f t="shared" si="18"/>
        <v>0</v>
      </c>
      <c r="N33" s="936">
        <f t="shared" ca="1" si="18"/>
        <v>0</v>
      </c>
      <c r="O33" s="936">
        <f t="shared" si="18"/>
        <v>0</v>
      </c>
      <c r="P33" s="936">
        <f t="shared" si="18"/>
        <v>0</v>
      </c>
      <c r="Q33" s="936">
        <f t="shared" ca="1" si="18"/>
        <v>173182.88122397053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tabColor theme="6"/>
  </sheetPr>
  <dimension ref="A1:Q20"/>
  <sheetViews>
    <sheetView zoomScale="40" zoomScaleNormal="40"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3" customFormat="1" ht="21">
      <c r="A1" s="1160" t="s">
        <v>540</v>
      </c>
      <c r="B1" s="1161" t="s">
        <v>776</v>
      </c>
      <c r="C1" s="1161"/>
      <c r="D1" s="1161"/>
      <c r="E1" s="1161"/>
      <c r="F1" s="1161"/>
      <c r="G1" s="1161"/>
      <c r="H1" s="1161"/>
      <c r="I1" s="1161"/>
      <c r="J1" s="1161"/>
      <c r="K1" s="1161"/>
      <c r="L1" s="1161"/>
      <c r="M1" s="1161"/>
      <c r="N1" s="1161"/>
      <c r="O1" s="1161"/>
      <c r="P1" s="1162"/>
      <c r="Q1" s="902"/>
    </row>
    <row r="2" spans="1:17" s="903" customFormat="1" ht="21">
      <c r="A2" s="1160"/>
      <c r="B2" s="1163" t="s">
        <v>20</v>
      </c>
      <c r="C2" s="1165" t="s">
        <v>189</v>
      </c>
      <c r="D2" s="1167" t="s">
        <v>190</v>
      </c>
      <c r="E2" s="1168"/>
      <c r="F2" s="1168"/>
      <c r="G2" s="1168"/>
      <c r="H2" s="1168"/>
      <c r="I2" s="1168"/>
      <c r="J2" s="1168"/>
      <c r="K2" s="1164"/>
      <c r="L2" s="1167" t="s">
        <v>191</v>
      </c>
      <c r="M2" s="1168"/>
      <c r="N2" s="1168"/>
      <c r="O2" s="1168"/>
      <c r="P2" s="1164"/>
      <c r="Q2" s="902"/>
    </row>
    <row r="3" spans="1:17" s="903" customFormat="1" ht="42">
      <c r="A3" s="1160"/>
      <c r="B3" s="1164"/>
      <c r="C3" s="1166"/>
      <c r="D3" s="904" t="s">
        <v>192</v>
      </c>
      <c r="E3" s="904" t="s">
        <v>193</v>
      </c>
      <c r="F3" s="904" t="s">
        <v>194</v>
      </c>
      <c r="G3" s="904" t="s">
        <v>195</v>
      </c>
      <c r="H3" s="904" t="s">
        <v>113</v>
      </c>
      <c r="I3" s="904" t="s">
        <v>196</v>
      </c>
      <c r="J3" s="904" t="s">
        <v>197</v>
      </c>
      <c r="K3" s="904" t="s">
        <v>198</v>
      </c>
      <c r="L3" s="904" t="s">
        <v>199</v>
      </c>
      <c r="M3" s="904" t="s">
        <v>200</v>
      </c>
      <c r="N3" s="904" t="s">
        <v>201</v>
      </c>
      <c r="O3" s="904" t="s">
        <v>202</v>
      </c>
      <c r="P3" s="904" t="s">
        <v>203</v>
      </c>
      <c r="Q3" s="902" t="s">
        <v>109</v>
      </c>
    </row>
    <row r="4" spans="1:17" ht="124.35" customHeight="1">
      <c r="A4" s="905" t="s">
        <v>148</v>
      </c>
      <c r="B4" s="906" t="s">
        <v>777</v>
      </c>
      <c r="C4" s="907" t="s">
        <v>778</v>
      </c>
      <c r="D4" s="908" t="s">
        <v>779</v>
      </c>
      <c r="E4" s="909" t="s">
        <v>780</v>
      </c>
      <c r="F4" s="909" t="s">
        <v>781</v>
      </c>
      <c r="G4" s="910" t="s">
        <v>784</v>
      </c>
      <c r="H4" s="910" t="s">
        <v>784</v>
      </c>
      <c r="I4" s="910" t="s">
        <v>784</v>
      </c>
      <c r="J4" s="909" t="s">
        <v>783</v>
      </c>
      <c r="K4" s="910" t="s">
        <v>784</v>
      </c>
      <c r="L4" s="910" t="s">
        <v>784</v>
      </c>
      <c r="M4" s="910" t="s">
        <v>784</v>
      </c>
      <c r="N4" s="909" t="s">
        <v>785</v>
      </c>
      <c r="O4" s="911" t="s">
        <v>786</v>
      </c>
      <c r="P4" s="912" t="s">
        <v>787</v>
      </c>
      <c r="Q4" s="913"/>
    </row>
    <row r="5" spans="1:17" ht="124.35" customHeight="1">
      <c r="A5" s="914" t="s">
        <v>149</v>
      </c>
      <c r="B5" s="915" t="s">
        <v>788</v>
      </c>
      <c r="C5" s="916" t="s">
        <v>789</v>
      </c>
      <c r="D5" s="916" t="s">
        <v>790</v>
      </c>
      <c r="E5" s="917" t="s">
        <v>791</v>
      </c>
      <c r="F5" s="917" t="s">
        <v>792</v>
      </c>
      <c r="G5" s="918" t="s">
        <v>784</v>
      </c>
      <c r="H5" s="918" t="s">
        <v>784</v>
      </c>
      <c r="I5" s="918" t="s">
        <v>784</v>
      </c>
      <c r="J5" s="917" t="s">
        <v>793</v>
      </c>
      <c r="K5" s="915" t="s">
        <v>794</v>
      </c>
      <c r="L5" s="918" t="s">
        <v>784</v>
      </c>
      <c r="M5" s="918" t="s">
        <v>784</v>
      </c>
      <c r="N5" s="917" t="s">
        <v>795</v>
      </c>
      <c r="O5" s="919" t="s">
        <v>786</v>
      </c>
      <c r="P5" s="920" t="s">
        <v>787</v>
      </c>
      <c r="Q5" s="921"/>
    </row>
    <row r="6" spans="1:17" ht="124.35" customHeight="1">
      <c r="A6" s="914" t="s">
        <v>187</v>
      </c>
      <c r="B6" s="922" t="s">
        <v>796</v>
      </c>
      <c r="C6" s="923" t="s">
        <v>782</v>
      </c>
      <c r="D6" s="918" t="s">
        <v>782</v>
      </c>
      <c r="E6" s="918" t="s">
        <v>782</v>
      </c>
      <c r="F6" s="918" t="s">
        <v>782</v>
      </c>
      <c r="G6" s="918" t="s">
        <v>782</v>
      </c>
      <c r="H6" s="918" t="s">
        <v>782</v>
      </c>
      <c r="I6" s="918" t="s">
        <v>782</v>
      </c>
      <c r="J6" s="918" t="s">
        <v>782</v>
      </c>
      <c r="K6" s="918" t="s">
        <v>782</v>
      </c>
      <c r="L6" s="918" t="s">
        <v>782</v>
      </c>
      <c r="M6" s="918" t="s">
        <v>782</v>
      </c>
      <c r="N6" s="918" t="s">
        <v>782</v>
      </c>
      <c r="O6" s="924" t="s">
        <v>782</v>
      </c>
      <c r="P6" s="925" t="s">
        <v>782</v>
      </c>
      <c r="Q6" s="926"/>
    </row>
    <row r="7" spans="1:17" ht="124.35" customHeight="1">
      <c r="A7" s="914" t="s">
        <v>105</v>
      </c>
      <c r="B7" s="922" t="s">
        <v>796</v>
      </c>
      <c r="C7" s="916" t="s">
        <v>789</v>
      </c>
      <c r="D7" s="916" t="s">
        <v>790</v>
      </c>
      <c r="E7" s="917" t="s">
        <v>791</v>
      </c>
      <c r="F7" s="917" t="s">
        <v>792</v>
      </c>
      <c r="G7" s="918" t="s">
        <v>784</v>
      </c>
      <c r="H7" s="918" t="s">
        <v>784</v>
      </c>
      <c r="I7" s="918" t="s">
        <v>784</v>
      </c>
      <c r="J7" s="917" t="s">
        <v>793</v>
      </c>
      <c r="K7" s="918" t="s">
        <v>784</v>
      </c>
      <c r="L7" s="918" t="s">
        <v>784</v>
      </c>
      <c r="M7" s="918" t="s">
        <v>784</v>
      </c>
      <c r="N7" s="927" t="s">
        <v>784</v>
      </c>
      <c r="O7" s="923" t="s">
        <v>784</v>
      </c>
      <c r="P7" s="928" t="s">
        <v>784</v>
      </c>
      <c r="Q7" s="921"/>
    </row>
    <row r="8" spans="1:17" ht="124.35" customHeight="1">
      <c r="A8" s="914" t="s">
        <v>625</v>
      </c>
      <c r="B8" s="915" t="s">
        <v>797</v>
      </c>
      <c r="C8" s="916" t="s">
        <v>789</v>
      </c>
      <c r="D8" s="916" t="s">
        <v>790</v>
      </c>
      <c r="E8" s="917" t="s">
        <v>791</v>
      </c>
      <c r="F8" s="917" t="s">
        <v>792</v>
      </c>
      <c r="G8" s="918" t="s">
        <v>784</v>
      </c>
      <c r="H8" s="918" t="s">
        <v>784</v>
      </c>
      <c r="I8" s="918" t="s">
        <v>784</v>
      </c>
      <c r="J8" s="917" t="s">
        <v>793</v>
      </c>
      <c r="K8" s="915" t="s">
        <v>794</v>
      </c>
      <c r="L8" s="918" t="s">
        <v>784</v>
      </c>
      <c r="M8" s="918" t="s">
        <v>784</v>
      </c>
      <c r="N8" s="917" t="s">
        <v>795</v>
      </c>
      <c r="O8" s="919" t="s">
        <v>786</v>
      </c>
      <c r="P8" s="920" t="s">
        <v>787</v>
      </c>
      <c r="Q8" s="921"/>
    </row>
    <row r="9" spans="1:17" s="448" customFormat="1" ht="124.35" customHeight="1">
      <c r="A9" s="929" t="s">
        <v>551</v>
      </c>
      <c r="B9" s="917" t="s">
        <v>798</v>
      </c>
      <c r="C9" s="924" t="s">
        <v>782</v>
      </c>
      <c r="D9" s="917" t="s">
        <v>799</v>
      </c>
      <c r="E9" s="917" t="s">
        <v>800</v>
      </c>
      <c r="F9" s="918" t="s">
        <v>782</v>
      </c>
      <c r="G9" s="917" t="s">
        <v>801</v>
      </c>
      <c r="H9" s="917" t="s">
        <v>802</v>
      </c>
      <c r="I9" s="918" t="s">
        <v>782</v>
      </c>
      <c r="J9" s="918" t="s">
        <v>782</v>
      </c>
      <c r="K9" s="918" t="s">
        <v>782</v>
      </c>
      <c r="L9" s="918" t="s">
        <v>782</v>
      </c>
      <c r="M9" s="917" t="s">
        <v>798</v>
      </c>
      <c r="N9" s="918" t="s">
        <v>782</v>
      </c>
      <c r="O9" s="918" t="s">
        <v>782</v>
      </c>
      <c r="P9" s="930" t="s">
        <v>782</v>
      </c>
      <c r="Q9" s="931"/>
    </row>
    <row r="10" spans="1:17" ht="124.35" customHeight="1">
      <c r="A10" s="914" t="s">
        <v>541</v>
      </c>
      <c r="B10" s="915" t="s">
        <v>812</v>
      </c>
      <c r="C10" s="924" t="s">
        <v>782</v>
      </c>
      <c r="D10" s="924" t="s">
        <v>782</v>
      </c>
      <c r="E10" s="924" t="s">
        <v>782</v>
      </c>
      <c r="F10" s="918" t="s">
        <v>782</v>
      </c>
      <c r="G10" s="915" t="s">
        <v>803</v>
      </c>
      <c r="H10" s="918" t="s">
        <v>782</v>
      </c>
      <c r="I10" s="918" t="s">
        <v>782</v>
      </c>
      <c r="J10" s="918" t="s">
        <v>782</v>
      </c>
      <c r="K10" s="918" t="s">
        <v>782</v>
      </c>
      <c r="L10" s="918" t="s">
        <v>782</v>
      </c>
      <c r="M10" s="915" t="s">
        <v>804</v>
      </c>
      <c r="N10" s="918" t="s">
        <v>782</v>
      </c>
      <c r="O10" s="918" t="s">
        <v>782</v>
      </c>
      <c r="P10" s="930" t="s">
        <v>782</v>
      </c>
      <c r="Q10" s="921"/>
    </row>
    <row r="11" spans="1:17" ht="21">
      <c r="A11" s="914" t="s">
        <v>542</v>
      </c>
      <c r="B11" s="932" t="s">
        <v>805</v>
      </c>
      <c r="C11" s="932" t="s">
        <v>805</v>
      </c>
      <c r="D11" s="932" t="s">
        <v>805</v>
      </c>
      <c r="E11" s="932" t="s">
        <v>805</v>
      </c>
      <c r="F11" s="932" t="s">
        <v>805</v>
      </c>
      <c r="G11" s="932" t="s">
        <v>805</v>
      </c>
      <c r="H11" s="932" t="s">
        <v>805</v>
      </c>
      <c r="I11" s="932" t="s">
        <v>805</v>
      </c>
      <c r="J11" s="932" t="s">
        <v>805</v>
      </c>
      <c r="K11" s="932" t="s">
        <v>805</v>
      </c>
      <c r="L11" s="932" t="s">
        <v>805</v>
      </c>
      <c r="M11" s="932" t="s">
        <v>805</v>
      </c>
      <c r="N11" s="932" t="s">
        <v>805</v>
      </c>
      <c r="O11" s="932" t="s">
        <v>805</v>
      </c>
      <c r="P11" s="948" t="s">
        <v>805</v>
      </c>
      <c r="Q11" s="949"/>
    </row>
    <row r="12" spans="1:17" ht="21">
      <c r="A12" s="914" t="s">
        <v>543</v>
      </c>
      <c r="B12" s="932" t="s">
        <v>805</v>
      </c>
      <c r="C12" s="932" t="s">
        <v>782</v>
      </c>
      <c r="D12" s="932" t="s">
        <v>782</v>
      </c>
      <c r="E12" s="932" t="s">
        <v>782</v>
      </c>
      <c r="F12" s="932" t="s">
        <v>782</v>
      </c>
      <c r="G12" s="932" t="s">
        <v>782</v>
      </c>
      <c r="H12" s="932" t="s">
        <v>782</v>
      </c>
      <c r="I12" s="932" t="s">
        <v>782</v>
      </c>
      <c r="J12" s="932" t="s">
        <v>782</v>
      </c>
      <c r="K12" s="932" t="s">
        <v>782</v>
      </c>
      <c r="L12" s="932" t="s">
        <v>782</v>
      </c>
      <c r="M12" s="932" t="s">
        <v>782</v>
      </c>
      <c r="N12" s="932" t="s">
        <v>782</v>
      </c>
      <c r="O12" s="932" t="s">
        <v>782</v>
      </c>
      <c r="P12" s="933" t="s">
        <v>782</v>
      </c>
      <c r="Q12" s="444"/>
    </row>
    <row r="13" spans="1:17" ht="21">
      <c r="A13" s="914" t="s">
        <v>544</v>
      </c>
      <c r="B13" s="932" t="s">
        <v>805</v>
      </c>
      <c r="C13" s="932" t="s">
        <v>782</v>
      </c>
      <c r="D13" s="932" t="s">
        <v>805</v>
      </c>
      <c r="E13" s="932" t="s">
        <v>805</v>
      </c>
      <c r="F13" s="932" t="s">
        <v>782</v>
      </c>
      <c r="G13" s="932" t="s">
        <v>805</v>
      </c>
      <c r="H13" s="932" t="s">
        <v>805</v>
      </c>
      <c r="I13" s="932" t="s">
        <v>782</v>
      </c>
      <c r="J13" s="932" t="s">
        <v>782</v>
      </c>
      <c r="K13" s="932" t="s">
        <v>782</v>
      </c>
      <c r="L13" s="932" t="s">
        <v>782</v>
      </c>
      <c r="M13" s="932" t="s">
        <v>805</v>
      </c>
      <c r="N13" s="932" t="s">
        <v>782</v>
      </c>
      <c r="O13" s="932" t="s">
        <v>782</v>
      </c>
      <c r="P13" s="933" t="s">
        <v>782</v>
      </c>
      <c r="Q13" s="444"/>
    </row>
    <row r="14" spans="1:17" ht="30">
      <c r="A14" s="934" t="s">
        <v>819</v>
      </c>
      <c r="B14" s="922" t="s">
        <v>796</v>
      </c>
      <c r="C14" s="932" t="s">
        <v>782</v>
      </c>
      <c r="D14" s="922" t="s">
        <v>796</v>
      </c>
      <c r="E14" s="932" t="s">
        <v>782</v>
      </c>
      <c r="F14" s="932" t="s">
        <v>782</v>
      </c>
      <c r="G14" s="932" t="s">
        <v>782</v>
      </c>
      <c r="H14" s="932" t="s">
        <v>782</v>
      </c>
      <c r="I14" s="932" t="s">
        <v>782</v>
      </c>
      <c r="J14" s="932" t="s">
        <v>782</v>
      </c>
      <c r="K14" s="932" t="s">
        <v>782</v>
      </c>
      <c r="L14" s="932" t="s">
        <v>782</v>
      </c>
      <c r="M14" s="932" t="s">
        <v>782</v>
      </c>
      <c r="N14" s="932" t="s">
        <v>782</v>
      </c>
      <c r="O14" s="932" t="s">
        <v>782</v>
      </c>
      <c r="P14" s="948" t="s">
        <v>782</v>
      </c>
      <c r="Q14" s="997"/>
    </row>
    <row r="15" spans="1:17" s="452" customFormat="1" ht="21">
      <c r="A15" s="935" t="s">
        <v>545</v>
      </c>
      <c r="B15" s="936"/>
      <c r="C15" s="936"/>
      <c r="D15" s="936"/>
      <c r="E15" s="936"/>
      <c r="F15" s="936"/>
      <c r="G15" s="936"/>
      <c r="H15" s="936"/>
      <c r="I15" s="936"/>
      <c r="J15" s="936"/>
      <c r="K15" s="936"/>
      <c r="L15" s="936"/>
      <c r="M15" s="937"/>
      <c r="N15" s="936"/>
      <c r="O15" s="936"/>
      <c r="P15" s="938"/>
      <c r="Q15" s="939"/>
    </row>
    <row r="16" spans="1:17">
      <c r="M16" s="940"/>
    </row>
    <row r="17" spans="1:4">
      <c r="B17" s="941">
        <v>1</v>
      </c>
      <c r="C17" s="942">
        <v>2</v>
      </c>
      <c r="D17" s="943">
        <v>3</v>
      </c>
    </row>
    <row r="18" spans="1:4" ht="252">
      <c r="A18" s="944" t="s">
        <v>806</v>
      </c>
      <c r="B18" s="945" t="s">
        <v>807</v>
      </c>
      <c r="C18" s="946" t="s">
        <v>808</v>
      </c>
      <c r="D18" s="947" t="s">
        <v>809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60">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16643.947598154045</v>
      </c>
      <c r="C6" s="1013"/>
      <c r="D6" s="1013"/>
      <c r="E6" s="1013"/>
      <c r="F6" s="1013"/>
      <c r="G6" s="1013"/>
      <c r="H6" s="1013"/>
      <c r="I6" s="1013"/>
      <c r="J6" s="1013"/>
      <c r="K6" s="1013"/>
      <c r="L6" s="1013"/>
      <c r="M6" s="1013"/>
      <c r="N6" s="1013"/>
      <c r="O6" s="1013"/>
      <c r="P6" s="1014">
        <f>'SEAP template'!Q74</f>
        <v>0</v>
      </c>
    </row>
    <row r="7" spans="1:16">
      <c r="A7" s="1015" t="s">
        <v>818</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43.649999999999991</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51.35294117647058</v>
      </c>
      <c r="K8" s="1013">
        <f>'SEAP template'!K76</f>
        <v>0</v>
      </c>
      <c r="L8" s="1013">
        <f>'SEAP template'!L76</f>
        <v>0</v>
      </c>
      <c r="M8" s="1013">
        <f>'SEAP template'!M76</f>
        <v>0</v>
      </c>
      <c r="N8" s="1013">
        <f>'SEAP template'!N76</f>
        <v>0</v>
      </c>
      <c r="O8" s="1013">
        <f>'SEAP template'!O76</f>
        <v>0</v>
      </c>
      <c r="P8" s="1014">
        <f>'SEAP template'!Q76</f>
        <v>0</v>
      </c>
    </row>
    <row r="9" spans="1:16">
      <c r="A9" s="1016" t="s">
        <v>830</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16687.597598154047</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61"/>
      <c r="B11" s="861"/>
      <c r="C11" s="861"/>
      <c r="D11" s="861"/>
      <c r="E11" s="861"/>
      <c r="F11" s="861"/>
      <c r="G11" s="861"/>
      <c r="H11" s="861"/>
      <c r="I11" s="861"/>
      <c r="J11" s="861"/>
      <c r="K11" s="861"/>
      <c r="L11" s="861"/>
      <c r="M11" s="861"/>
      <c r="N11" s="861"/>
      <c r="O11" s="861"/>
      <c r="P11" s="861"/>
    </row>
    <row r="12" spans="1:16">
      <c r="A12" s="453" t="s">
        <v>831</v>
      </c>
      <c r="B12" s="752" t="s">
        <v>832</v>
      </c>
      <c r="C12" s="752">
        <f ca="1">'EF ele_warmte'!B12</f>
        <v>0.19383593642518931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c r="A17" s="1018" t="s">
        <v>241</v>
      </c>
      <c r="B17" s="1019">
        <f>'SEAP template'!B87</f>
        <v>62.357142857142847</v>
      </c>
      <c r="C17" s="1019">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73.361344537815114</v>
      </c>
      <c r="K17" s="1014">
        <f>'SEAP template'!K87</f>
        <v>0</v>
      </c>
      <c r="L17" s="1014">
        <f>'SEAP template'!L87</f>
        <v>0</v>
      </c>
      <c r="M17" s="1014">
        <f>'SEAP template'!M87</f>
        <v>0</v>
      </c>
      <c r="N17" s="1014">
        <f>'SEAP template'!N87</f>
        <v>0</v>
      </c>
      <c r="O17" s="1014">
        <f>'SEAP template'!O87</f>
        <v>0</v>
      </c>
      <c r="P17" s="1014">
        <f>'SEAP template'!Q87</f>
        <v>0</v>
      </c>
    </row>
    <row r="18" spans="1:16">
      <c r="A18" s="1020" t="s">
        <v>247</v>
      </c>
      <c r="B18" s="1019">
        <f>'SEAP template'!B88</f>
        <v>0</v>
      </c>
      <c r="C18" s="1019">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837</v>
      </c>
      <c r="B19" s="1019">
        <f>'SEAP template'!B89</f>
        <v>0</v>
      </c>
      <c r="C19" s="1019">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1" t="s">
        <v>109</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2" spans="1:16">
      <c r="A22" s="453" t="s">
        <v>838</v>
      </c>
      <c r="B22" s="752" t="s">
        <v>832</v>
      </c>
      <c r="C22" s="752">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15.75">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ht="135">
      <c r="A4" s="1022" t="s">
        <v>238</v>
      </c>
      <c r="B4" s="1023" t="s">
        <v>839</v>
      </c>
      <c r="C4" s="1024" t="s">
        <v>782</v>
      </c>
      <c r="D4" s="1024" t="s">
        <v>782</v>
      </c>
      <c r="E4" s="1024" t="s">
        <v>782</v>
      </c>
      <c r="F4" s="1024" t="s">
        <v>782</v>
      </c>
      <c r="G4" s="1024" t="s">
        <v>782</v>
      </c>
      <c r="H4" s="1024" t="s">
        <v>782</v>
      </c>
      <c r="I4" s="1024" t="s">
        <v>782</v>
      </c>
      <c r="J4" s="1024" t="s">
        <v>782</v>
      </c>
      <c r="K4" s="1024" t="s">
        <v>782</v>
      </c>
      <c r="L4" s="1024" t="s">
        <v>782</v>
      </c>
      <c r="M4" s="1024" t="s">
        <v>782</v>
      </c>
      <c r="N4" s="1024" t="s">
        <v>782</v>
      </c>
      <c r="O4" s="1024" t="s">
        <v>782</v>
      </c>
      <c r="P4" s="1025" t="s">
        <v>840</v>
      </c>
    </row>
    <row r="5" spans="1:16" ht="135">
      <c r="A5" s="1026" t="s">
        <v>239</v>
      </c>
      <c r="B5" s="1023" t="s">
        <v>839</v>
      </c>
      <c r="C5" s="1024" t="s">
        <v>782</v>
      </c>
      <c r="D5" s="1024" t="s">
        <v>782</v>
      </c>
      <c r="E5" s="1024" t="s">
        <v>782</v>
      </c>
      <c r="F5" s="1024" t="s">
        <v>782</v>
      </c>
      <c r="G5" s="1024" t="s">
        <v>782</v>
      </c>
      <c r="H5" s="1024" t="s">
        <v>782</v>
      </c>
      <c r="I5" s="1024" t="s">
        <v>782</v>
      </c>
      <c r="J5" s="1024" t="s">
        <v>782</v>
      </c>
      <c r="K5" s="1024" t="s">
        <v>782</v>
      </c>
      <c r="L5" s="1024" t="s">
        <v>782</v>
      </c>
      <c r="M5" s="1024" t="s">
        <v>782</v>
      </c>
      <c r="N5" s="1024" t="s">
        <v>782</v>
      </c>
      <c r="O5" s="1024" t="s">
        <v>782</v>
      </c>
      <c r="P5" s="1025" t="s">
        <v>840</v>
      </c>
    </row>
    <row r="6" spans="1:16" ht="135">
      <c r="A6" s="1026" t="s">
        <v>240</v>
      </c>
      <c r="B6" s="1023" t="s">
        <v>839</v>
      </c>
      <c r="C6" s="1024" t="s">
        <v>782</v>
      </c>
      <c r="D6" s="1024" t="s">
        <v>782</v>
      </c>
      <c r="E6" s="1024" t="s">
        <v>782</v>
      </c>
      <c r="F6" s="1024" t="s">
        <v>782</v>
      </c>
      <c r="G6" s="1024" t="s">
        <v>782</v>
      </c>
      <c r="H6" s="1024" t="s">
        <v>782</v>
      </c>
      <c r="I6" s="1024" t="s">
        <v>782</v>
      </c>
      <c r="J6" s="1024" t="s">
        <v>782</v>
      </c>
      <c r="K6" s="1024" t="s">
        <v>782</v>
      </c>
      <c r="L6" s="1024" t="s">
        <v>782</v>
      </c>
      <c r="M6" s="1024" t="s">
        <v>782</v>
      </c>
      <c r="N6" s="1024" t="s">
        <v>782</v>
      </c>
      <c r="O6" s="1024" t="s">
        <v>782</v>
      </c>
      <c r="P6" s="1025" t="s">
        <v>840</v>
      </c>
    </row>
    <row r="7" spans="1:16" ht="135">
      <c r="A7" s="1026" t="s">
        <v>818</v>
      </c>
      <c r="B7" s="1024" t="s">
        <v>782</v>
      </c>
      <c r="C7" s="1024" t="s">
        <v>782</v>
      </c>
      <c r="D7" s="1024" t="s">
        <v>782</v>
      </c>
      <c r="E7" s="1024" t="s">
        <v>782</v>
      </c>
      <c r="F7" s="1024" t="s">
        <v>782</v>
      </c>
      <c r="G7" s="1024" t="s">
        <v>782</v>
      </c>
      <c r="H7" s="1024" t="s">
        <v>782</v>
      </c>
      <c r="I7" s="1024" t="s">
        <v>782</v>
      </c>
      <c r="J7" s="1024" t="s">
        <v>782</v>
      </c>
      <c r="K7" s="1024" t="s">
        <v>782</v>
      </c>
      <c r="L7" s="1024" t="s">
        <v>782</v>
      </c>
      <c r="M7" s="1024" t="s">
        <v>782</v>
      </c>
      <c r="N7" s="1024" t="s">
        <v>782</v>
      </c>
      <c r="O7" s="1024" t="s">
        <v>782</v>
      </c>
      <c r="P7" s="1025" t="s">
        <v>840</v>
      </c>
    </row>
    <row r="8" spans="1:16" ht="210">
      <c r="A8" s="1022" t="s">
        <v>241</v>
      </c>
      <c r="B8" s="1023" t="s">
        <v>841</v>
      </c>
      <c r="C8" s="1023" t="s">
        <v>841</v>
      </c>
      <c r="D8" s="1023" t="s">
        <v>841</v>
      </c>
      <c r="E8" s="1023" t="s">
        <v>841</v>
      </c>
      <c r="F8" s="1023" t="s">
        <v>841</v>
      </c>
      <c r="G8" s="1023" t="s">
        <v>841</v>
      </c>
      <c r="H8" s="1023" t="s">
        <v>841</v>
      </c>
      <c r="I8" s="1023" t="s">
        <v>841</v>
      </c>
      <c r="J8" s="1023" t="s">
        <v>841</v>
      </c>
      <c r="K8" s="1024" t="s">
        <v>782</v>
      </c>
      <c r="L8" s="1024" t="s">
        <v>782</v>
      </c>
      <c r="M8" s="1024" t="s">
        <v>782</v>
      </c>
      <c r="N8" s="1023" t="s">
        <v>842</v>
      </c>
      <c r="O8" s="1023" t="s">
        <v>842</v>
      </c>
      <c r="P8" s="1027"/>
    </row>
    <row r="9" spans="1:16" ht="210">
      <c r="A9" s="1028" t="s">
        <v>830</v>
      </c>
      <c r="B9" s="1023" t="s">
        <v>842</v>
      </c>
      <c r="C9" s="1023" t="s">
        <v>842</v>
      </c>
      <c r="D9" s="1023" t="s">
        <v>842</v>
      </c>
      <c r="E9" s="1023" t="s">
        <v>842</v>
      </c>
      <c r="F9" s="1023" t="s">
        <v>842</v>
      </c>
      <c r="G9" s="1023" t="s">
        <v>842</v>
      </c>
      <c r="H9" s="1023" t="s">
        <v>842</v>
      </c>
      <c r="I9" s="1023" t="s">
        <v>842</v>
      </c>
      <c r="J9" s="1023" t="s">
        <v>842</v>
      </c>
      <c r="K9" s="1024" t="s">
        <v>782</v>
      </c>
      <c r="L9" s="1023" t="s">
        <v>842</v>
      </c>
      <c r="M9" s="1023" t="s">
        <v>842</v>
      </c>
      <c r="N9" s="1023" t="s">
        <v>842</v>
      </c>
      <c r="O9" s="1023" t="s">
        <v>842</v>
      </c>
      <c r="P9" s="1027"/>
    </row>
    <row r="10" spans="1:16">
      <c r="A10" s="1026" t="s">
        <v>109</v>
      </c>
      <c r="B10" s="1029"/>
      <c r="C10" s="1029"/>
      <c r="D10" s="1029"/>
      <c r="E10" s="1029"/>
      <c r="F10" s="1029"/>
      <c r="G10" s="1029"/>
      <c r="H10" s="1029"/>
      <c r="I10" s="1029"/>
      <c r="J10" s="1029"/>
      <c r="K10" s="1029"/>
      <c r="L10" s="1029"/>
      <c r="M10" s="1029"/>
      <c r="N10" s="1029"/>
      <c r="O10" s="1029"/>
      <c r="P10" s="1029"/>
    </row>
    <row r="11" spans="1:16">
      <c r="A11" s="861"/>
      <c r="B11" s="861"/>
      <c r="C11" s="861"/>
      <c r="D11" s="861"/>
      <c r="E11" s="861"/>
      <c r="F11" s="861"/>
      <c r="G11" s="861"/>
      <c r="H11" s="861"/>
      <c r="I11" s="861"/>
      <c r="J11" s="861"/>
      <c r="K11" s="861"/>
      <c r="L11" s="861"/>
      <c r="M11" s="861"/>
      <c r="N11" s="861"/>
      <c r="O11" s="861"/>
      <c r="P11" s="861"/>
    </row>
    <row r="12" spans="1:16" ht="150">
      <c r="A12" s="453" t="s">
        <v>831</v>
      </c>
      <c r="B12" s="752" t="s">
        <v>832</v>
      </c>
      <c r="C12" s="1030" t="s">
        <v>843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ht="210">
      <c r="A17" s="1018" t="s">
        <v>241</v>
      </c>
      <c r="B17" s="1023" t="s">
        <v>842</v>
      </c>
      <c r="C17" s="1023" t="s">
        <v>842</v>
      </c>
      <c r="D17" s="1023" t="s">
        <v>842</v>
      </c>
      <c r="E17" s="1023" t="s">
        <v>842</v>
      </c>
      <c r="F17" s="1023" t="s">
        <v>842</v>
      </c>
      <c r="G17" s="1023" t="s">
        <v>842</v>
      </c>
      <c r="H17" s="1023" t="s">
        <v>842</v>
      </c>
      <c r="I17" s="1023" t="s">
        <v>842</v>
      </c>
      <c r="J17" s="1023" t="s">
        <v>842</v>
      </c>
      <c r="K17" s="1024" t="s">
        <v>782</v>
      </c>
      <c r="L17" s="1024" t="s">
        <v>782</v>
      </c>
      <c r="M17" s="1024" t="s">
        <v>782</v>
      </c>
      <c r="N17" s="1023" t="s">
        <v>842</v>
      </c>
      <c r="O17" s="1023" t="s">
        <v>842</v>
      </c>
      <c r="P17" s="1031"/>
    </row>
    <row r="18" spans="1:16" ht="45">
      <c r="A18" s="1020" t="s">
        <v>247</v>
      </c>
      <c r="B18" s="1025" t="s">
        <v>805</v>
      </c>
      <c r="C18" s="1025" t="s">
        <v>805</v>
      </c>
      <c r="D18" s="1025" t="s">
        <v>805</v>
      </c>
      <c r="E18" s="1025" t="s">
        <v>805</v>
      </c>
      <c r="F18" s="1025" t="s">
        <v>805</v>
      </c>
      <c r="G18" s="1025" t="s">
        <v>805</v>
      </c>
      <c r="H18" s="1025" t="s">
        <v>805</v>
      </c>
      <c r="I18" s="1025" t="s">
        <v>805</v>
      </c>
      <c r="J18" s="1025" t="s">
        <v>805</v>
      </c>
      <c r="K18" s="1025" t="s">
        <v>805</v>
      </c>
      <c r="L18" s="1025" t="s">
        <v>805</v>
      </c>
      <c r="M18" s="1025" t="s">
        <v>805</v>
      </c>
      <c r="N18" s="1025" t="s">
        <v>805</v>
      </c>
      <c r="O18" s="1025" t="s">
        <v>805</v>
      </c>
      <c r="P18" s="1025" t="s">
        <v>805</v>
      </c>
    </row>
    <row r="19" spans="1:16" ht="45">
      <c r="A19" s="1016" t="s">
        <v>837</v>
      </c>
      <c r="B19" s="1025" t="s">
        <v>805</v>
      </c>
      <c r="C19" s="1025" t="s">
        <v>805</v>
      </c>
      <c r="D19" s="1025" t="s">
        <v>805</v>
      </c>
      <c r="E19" s="1025" t="s">
        <v>805</v>
      </c>
      <c r="F19" s="1025" t="s">
        <v>805</v>
      </c>
      <c r="G19" s="1025" t="s">
        <v>805</v>
      </c>
      <c r="H19" s="1025" t="s">
        <v>805</v>
      </c>
      <c r="I19" s="1025" t="s">
        <v>805</v>
      </c>
      <c r="J19" s="1025" t="s">
        <v>805</v>
      </c>
      <c r="K19" s="1025" t="s">
        <v>805</v>
      </c>
      <c r="L19" s="1025" t="s">
        <v>805</v>
      </c>
      <c r="M19" s="1025" t="s">
        <v>805</v>
      </c>
      <c r="N19" s="1025" t="s">
        <v>805</v>
      </c>
      <c r="O19" s="1025" t="s">
        <v>805</v>
      </c>
      <c r="P19" s="1025" t="s">
        <v>805</v>
      </c>
    </row>
    <row r="20" spans="1:16">
      <c r="A20" s="1021" t="s">
        <v>109</v>
      </c>
      <c r="B20" s="1017"/>
      <c r="C20" s="1017"/>
      <c r="D20" s="1017"/>
      <c r="E20" s="1017"/>
      <c r="F20" s="1017"/>
      <c r="G20" s="1017"/>
      <c r="H20" s="1017"/>
      <c r="I20" s="1017"/>
      <c r="J20" s="1017"/>
      <c r="K20" s="1017"/>
      <c r="L20" s="1017"/>
      <c r="M20" s="1017"/>
      <c r="N20" s="1017"/>
      <c r="O20" s="1017"/>
      <c r="P20" s="1017"/>
    </row>
    <row r="22" spans="1:16" ht="90">
      <c r="A22" s="453" t="s">
        <v>838</v>
      </c>
      <c r="B22" s="752" t="s">
        <v>832</v>
      </c>
      <c r="C22" s="1030" t="s">
        <v>844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568</v>
      </c>
      <c r="B6" s="75" t="s">
        <v>569</v>
      </c>
      <c r="C6" s="426" t="s">
        <v>552</v>
      </c>
    </row>
    <row r="7" spans="1:3">
      <c r="A7" s="125"/>
      <c r="B7" s="129"/>
      <c r="C7" s="122"/>
    </row>
    <row r="8" spans="1:3">
      <c r="A8" s="113" t="s">
        <v>571</v>
      </c>
      <c r="B8" s="75" t="s">
        <v>570</v>
      </c>
      <c r="C8" s="426" t="s">
        <v>374</v>
      </c>
    </row>
    <row r="9" spans="1:3">
      <c r="A9" s="125"/>
      <c r="B9" s="129"/>
      <c r="C9" s="122"/>
    </row>
    <row r="10" spans="1:3">
      <c r="A10" s="113" t="s">
        <v>316</v>
      </c>
      <c r="B10" s="75" t="s">
        <v>372</v>
      </c>
      <c r="C10" s="114" t="s">
        <v>374</v>
      </c>
    </row>
    <row r="11" spans="1:3">
      <c r="A11" s="125"/>
      <c r="B11" s="129"/>
      <c r="C11" s="122"/>
    </row>
    <row r="12" spans="1:3" ht="30">
      <c r="A12" s="113" t="s">
        <v>397</v>
      </c>
      <c r="B12" s="75" t="s">
        <v>511</v>
      </c>
      <c r="C12" s="306" t="s">
        <v>605</v>
      </c>
    </row>
    <row r="13" spans="1:3">
      <c r="A13" s="140"/>
      <c r="B13" s="124"/>
      <c r="C13" s="294"/>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600</v>
      </c>
      <c r="B4" s="456"/>
      <c r="C4" s="456"/>
      <c r="D4" s="456"/>
      <c r="E4" s="456"/>
      <c r="F4" s="456"/>
      <c r="G4" s="488"/>
      <c r="H4" s="488"/>
      <c r="I4" s="456"/>
      <c r="J4" s="456"/>
      <c r="K4" s="456"/>
      <c r="L4" s="456"/>
      <c r="M4" s="456"/>
      <c r="N4" s="456"/>
      <c r="O4" s="456"/>
      <c r="P4" s="456"/>
    </row>
    <row r="5" spans="1:16" outlineLevel="1">
      <c r="A5" s="660" t="s">
        <v>601</v>
      </c>
      <c r="B5" s="456"/>
      <c r="C5" s="456"/>
      <c r="D5" s="456"/>
      <c r="E5" s="456"/>
      <c r="F5" s="456"/>
      <c r="G5" s="488"/>
      <c r="H5" s="488"/>
      <c r="I5" s="456"/>
      <c r="J5" s="456"/>
      <c r="K5" s="456"/>
      <c r="L5" s="456"/>
      <c r="M5" s="456"/>
      <c r="N5" s="456"/>
      <c r="O5" s="456"/>
      <c r="P5" s="456"/>
    </row>
    <row r="6" spans="1:16" outlineLevel="1">
      <c r="A6" s="660" t="s">
        <v>602</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603</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604</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566</v>
      </c>
      <c r="B13" s="443"/>
      <c r="C13" s="460"/>
      <c r="D13" s="460"/>
      <c r="E13" s="460"/>
      <c r="F13" s="460"/>
      <c r="G13" s="460"/>
      <c r="H13" s="460"/>
      <c r="I13" s="460"/>
      <c r="J13" s="460"/>
      <c r="K13" s="460"/>
      <c r="L13" s="460"/>
      <c r="M13" s="460"/>
      <c r="N13" s="460"/>
      <c r="O13" s="753" t="s">
        <v>621</v>
      </c>
      <c r="P13" s="753" t="s">
        <v>620</v>
      </c>
    </row>
    <row r="14" spans="1:16" outlineLevel="1"/>
    <row r="15" spans="1:16" s="452" customFormat="1" outlineLevel="1">
      <c r="A15" s="461" t="s">
        <v>294</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0.19383593642518931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473</v>
      </c>
      <c r="B22" s="469"/>
      <c r="C22" s="470"/>
      <c r="D22" s="471"/>
      <c r="E22" s="472"/>
    </row>
    <row r="23" spans="1:16" s="48" customFormat="1" ht="15" customHeight="1" outlineLevel="1">
      <c r="A23" s="473"/>
      <c r="B23" s="474"/>
      <c r="C23" s="475" t="s">
        <v>364</v>
      </c>
      <c r="D23" s="475" t="s">
        <v>175</v>
      </c>
      <c r="E23" s="476"/>
    </row>
    <row r="24" spans="1:16" s="443" customFormat="1" ht="15" customHeight="1" outlineLevel="1">
      <c r="A24" s="477" t="s">
        <v>255</v>
      </c>
      <c r="B24" s="47">
        <f>EigenZB</f>
        <v>0</v>
      </c>
      <c r="C24" s="478"/>
      <c r="D24" s="859" t="s">
        <v>641</v>
      </c>
      <c r="E24" s="444"/>
    </row>
    <row r="25" spans="1:16" s="443" customFormat="1" outlineLevel="1">
      <c r="A25" s="477" t="s">
        <v>440</v>
      </c>
      <c r="B25" s="48">
        <v>4.2</v>
      </c>
      <c r="C25" s="478"/>
      <c r="D25" s="479" t="s">
        <v>497</v>
      </c>
      <c r="E25" s="455"/>
    </row>
    <row r="26" spans="1:16" s="443" customFormat="1" outlineLevel="1">
      <c r="A26" s="757" t="s">
        <v>441</v>
      </c>
      <c r="B26" s="758">
        <f>1.34/3.6</f>
        <v>0.37222222222222223</v>
      </c>
      <c r="C26" s="478" t="s">
        <v>208</v>
      </c>
      <c r="D26" s="479" t="s">
        <v>497</v>
      </c>
      <c r="E26" s="455"/>
    </row>
    <row r="27" spans="1:16" s="443" customFormat="1" outlineLevel="1">
      <c r="A27" s="480" t="s">
        <v>612</v>
      </c>
      <c r="B27" s="760">
        <f>B24*B25*B26</f>
        <v>0</v>
      </c>
      <c r="C27" s="481" t="s">
        <v>613</v>
      </c>
      <c r="D27" s="482"/>
      <c r="E27" s="483"/>
    </row>
    <row r="28" spans="1:16" s="443" customFormat="1" outlineLevel="1">
      <c r="A28" s="48"/>
      <c r="B28" s="48"/>
      <c r="C28" s="484"/>
      <c r="D28" s="478"/>
    </row>
    <row r="29" spans="1:16" s="443" customFormat="1" outlineLevel="1">
      <c r="A29" s="485" t="s">
        <v>474</v>
      </c>
      <c r="B29" s="469"/>
      <c r="C29" s="470"/>
      <c r="D29" s="471"/>
      <c r="E29" s="472"/>
    </row>
    <row r="30" spans="1:16" s="48" customFormat="1" outlineLevel="1">
      <c r="A30" s="486"/>
      <c r="B30" s="474"/>
      <c r="C30" s="475" t="s">
        <v>364</v>
      </c>
      <c r="D30" s="475" t="s">
        <v>175</v>
      </c>
      <c r="E30" s="476"/>
    </row>
    <row r="31" spans="1:16" s="443" customFormat="1" outlineLevel="1">
      <c r="A31" s="477" t="s">
        <v>439</v>
      </c>
      <c r="B31" s="47">
        <f>EigenWP</f>
        <v>0</v>
      </c>
      <c r="C31" s="478"/>
      <c r="D31" s="859" t="s">
        <v>641</v>
      </c>
      <c r="E31" s="444"/>
    </row>
    <row r="32" spans="1:16" s="443" customFormat="1" outlineLevel="1">
      <c r="A32" s="477" t="s">
        <v>437</v>
      </c>
      <c r="B32" s="48">
        <v>13</v>
      </c>
      <c r="C32" s="484" t="s">
        <v>252</v>
      </c>
      <c r="D32" s="479" t="s">
        <v>497</v>
      </c>
      <c r="E32" s="444"/>
    </row>
    <row r="33" spans="1:5" s="443" customFormat="1" outlineLevel="1">
      <c r="A33" s="477" t="s">
        <v>438</v>
      </c>
      <c r="B33" s="48">
        <v>2000</v>
      </c>
      <c r="C33" s="484" t="s">
        <v>254</v>
      </c>
      <c r="D33" s="479" t="s">
        <v>497</v>
      </c>
      <c r="E33" s="444"/>
    </row>
    <row r="34" spans="1:5" s="443" customFormat="1" outlineLevel="1">
      <c r="A34" s="757" t="s">
        <v>369</v>
      </c>
      <c r="B34" s="48">
        <v>3.75</v>
      </c>
      <c r="C34" s="484"/>
      <c r="D34" s="479" t="s">
        <v>497</v>
      </c>
      <c r="E34" s="444"/>
    </row>
    <row r="35" spans="1:5" s="443" customFormat="1" outlineLevel="1">
      <c r="A35" s="480" t="s">
        <v>612</v>
      </c>
      <c r="B35" s="759">
        <f>B31*B32*B33/1000-B31*B32*B33/1000/B34</f>
        <v>0</v>
      </c>
      <c r="C35" s="487" t="s">
        <v>613</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566</v>
      </c>
      <c r="B13" s="443"/>
      <c r="C13" s="460"/>
      <c r="D13" s="460"/>
      <c r="E13" s="460"/>
      <c r="F13" s="460"/>
      <c r="G13" s="460"/>
      <c r="H13" s="460"/>
      <c r="I13" s="460"/>
      <c r="J13" s="460"/>
      <c r="K13" s="460"/>
      <c r="L13" s="460"/>
      <c r="M13" s="460"/>
      <c r="N13" s="460"/>
      <c r="O13" s="1181"/>
      <c r="P13" s="1181"/>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295</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0.19383593642518931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4" t="s">
        <v>316</v>
      </c>
      <c r="B1" s="1175" t="s">
        <v>188</v>
      </c>
      <c r="C1" s="1176"/>
      <c r="D1" s="1176"/>
      <c r="E1" s="1176"/>
      <c r="F1" s="1176"/>
      <c r="G1" s="1176"/>
      <c r="H1" s="1176"/>
      <c r="I1" s="1176"/>
      <c r="J1" s="1176"/>
      <c r="K1" s="1176"/>
      <c r="L1" s="1176"/>
      <c r="M1" s="1176"/>
      <c r="N1" s="1176"/>
      <c r="O1" s="1176"/>
      <c r="P1" s="1176"/>
    </row>
    <row r="2" spans="1:16" ht="15" customHeight="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566</v>
      </c>
    </row>
    <row r="26" spans="1:16" s="452" customFormat="1">
      <c r="A26" s="461" t="s">
        <v>515</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584</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593</v>
      </c>
      <c r="B29" s="491">
        <f ca="1">'EF ele_warmte'!B12</f>
        <v>0.19383593642518931</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512</v>
      </c>
      <c r="B2" s="492"/>
      <c r="C2" s="182"/>
      <c r="D2" s="183"/>
    </row>
    <row r="3" spans="1:11">
      <c r="A3" s="101"/>
      <c r="B3" s="493"/>
      <c r="C3" s="141" t="s">
        <v>175</v>
      </c>
      <c r="D3" s="144" t="s">
        <v>378</v>
      </c>
    </row>
    <row r="4" spans="1:11">
      <c r="A4" s="44" t="s">
        <v>431</v>
      </c>
      <c r="B4" s="47"/>
      <c r="C4" s="32"/>
      <c r="D4" s="143" t="s">
        <v>380</v>
      </c>
    </row>
    <row r="5" spans="1:11">
      <c r="A5" s="44"/>
      <c r="B5" s="48"/>
      <c r="C5" s="32"/>
      <c r="D5" s="143"/>
    </row>
    <row r="6" spans="1:11" s="10" customFormat="1" ht="21.75" thickBot="1">
      <c r="A6" s="186" t="s">
        <v>464</v>
      </c>
      <c r="B6" s="494"/>
      <c r="C6" s="187"/>
      <c r="D6" s="188"/>
    </row>
    <row r="7" spans="1:11" s="43" customFormat="1" ht="15.75" thickBot="1">
      <c r="B7" s="443"/>
    </row>
    <row r="8" spans="1:11" s="43" customFormat="1">
      <c r="A8" s="181" t="s">
        <v>525</v>
      </c>
      <c r="B8" s="492"/>
      <c r="C8" s="182"/>
      <c r="D8" s="183"/>
    </row>
    <row r="9" spans="1:11" s="32" customFormat="1">
      <c r="A9" s="46"/>
      <c r="B9" s="495"/>
      <c r="C9" s="42"/>
      <c r="D9" s="295"/>
    </row>
    <row r="10" spans="1:11">
      <c r="A10" s="296" t="s">
        <v>554</v>
      </c>
      <c r="B10" s="493"/>
      <c r="C10" s="141" t="s">
        <v>175</v>
      </c>
      <c r="D10" s="144" t="s">
        <v>378</v>
      </c>
      <c r="I10" s="1182"/>
      <c r="K10" s="58"/>
    </row>
    <row r="11" spans="1:11" s="43" customFormat="1">
      <c r="A11" s="44" t="s">
        <v>555</v>
      </c>
      <c r="B11" s="47"/>
      <c r="D11" s="142" t="s">
        <v>379</v>
      </c>
      <c r="I11" s="1182"/>
      <c r="K11" s="58"/>
    </row>
    <row r="12" spans="1:11" s="43" customFormat="1">
      <c r="A12" s="44" t="s">
        <v>556</v>
      </c>
      <c r="B12" s="47"/>
      <c r="D12" s="142" t="s">
        <v>379</v>
      </c>
      <c r="I12" s="1182"/>
      <c r="K12" s="58"/>
    </row>
    <row r="13" spans="1:11" s="43" customFormat="1">
      <c r="A13" s="44"/>
      <c r="B13" s="443"/>
      <c r="D13" s="96"/>
      <c r="I13" s="1182"/>
    </row>
    <row r="14" spans="1:11" s="43" customFormat="1">
      <c r="A14" s="296" t="s">
        <v>553</v>
      </c>
      <c r="B14" s="493"/>
      <c r="C14" s="141" t="s">
        <v>175</v>
      </c>
      <c r="D14" s="144" t="s">
        <v>378</v>
      </c>
      <c r="I14" s="1182"/>
    </row>
    <row r="15" spans="1:11" s="43" customFormat="1">
      <c r="A15" s="44" t="s">
        <v>70</v>
      </c>
      <c r="B15" s="47"/>
      <c r="D15" s="142" t="s">
        <v>379</v>
      </c>
      <c r="I15" s="1182"/>
      <c r="J15" s="1182"/>
    </row>
    <row r="16" spans="1:11" s="43" customFormat="1">
      <c r="A16" s="44" t="s">
        <v>517</v>
      </c>
      <c r="B16" s="47"/>
      <c r="D16" s="142" t="s">
        <v>379</v>
      </c>
      <c r="I16" s="1182"/>
      <c r="J16" s="1182"/>
    </row>
    <row r="17" spans="1:11" s="43" customFormat="1">
      <c r="A17" s="44" t="s">
        <v>77</v>
      </c>
      <c r="B17" s="47"/>
      <c r="D17" s="142" t="s">
        <v>379</v>
      </c>
      <c r="I17" s="1182"/>
      <c r="J17" s="1182"/>
    </row>
    <row r="18" spans="1:11" s="43" customFormat="1">
      <c r="A18" s="44" t="s">
        <v>518</v>
      </c>
      <c r="B18" s="47"/>
      <c r="D18" s="142" t="s">
        <v>379</v>
      </c>
      <c r="I18" s="1182"/>
      <c r="J18" s="1182"/>
      <c r="K18" s="58"/>
    </row>
    <row r="19" spans="1:11" s="43" customFormat="1">
      <c r="A19" s="44" t="s">
        <v>76</v>
      </c>
      <c r="B19" s="47"/>
      <c r="D19" s="142" t="s">
        <v>379</v>
      </c>
      <c r="I19" s="1182"/>
      <c r="J19" s="1183"/>
      <c r="K19" s="58"/>
    </row>
    <row r="20" spans="1:11" s="43" customFormat="1">
      <c r="A20" s="32" t="s">
        <v>519</v>
      </c>
      <c r="B20" s="47"/>
      <c r="D20" s="142" t="s">
        <v>379</v>
      </c>
      <c r="I20" s="297"/>
      <c r="J20" s="298"/>
      <c r="K20" s="58"/>
    </row>
    <row r="21" spans="1:11" s="43" customFormat="1">
      <c r="A21" s="32" t="s">
        <v>520</v>
      </c>
      <c r="B21" s="47"/>
      <c r="D21" s="142" t="s">
        <v>379</v>
      </c>
      <c r="I21" s="297"/>
      <c r="J21" s="298"/>
      <c r="K21" s="58"/>
    </row>
    <row r="22" spans="1:11" s="43" customFormat="1">
      <c r="A22" s="32" t="s">
        <v>521</v>
      </c>
      <c r="B22" s="47"/>
      <c r="D22" s="142" t="s">
        <v>379</v>
      </c>
      <c r="I22" s="297"/>
      <c r="J22" s="298"/>
      <c r="K22" s="58"/>
    </row>
    <row r="23" spans="1:11">
      <c r="A23" s="32" t="s">
        <v>522</v>
      </c>
      <c r="B23" s="47"/>
      <c r="C23" s="43"/>
      <c r="D23" s="142" t="s">
        <v>379</v>
      </c>
      <c r="I23" s="58"/>
      <c r="J23" s="58"/>
      <c r="K23" s="58"/>
    </row>
    <row r="24" spans="1:11">
      <c r="A24" s="32" t="s">
        <v>523</v>
      </c>
      <c r="B24" s="47"/>
      <c r="C24" s="43"/>
      <c r="D24" s="142" t="s">
        <v>379</v>
      </c>
      <c r="I24" s="58"/>
      <c r="J24" s="58"/>
      <c r="K24" s="58"/>
    </row>
    <row r="25" spans="1:11">
      <c r="A25" s="58"/>
      <c r="B25" s="48"/>
      <c r="C25" s="43"/>
      <c r="D25" s="142"/>
      <c r="I25" s="58"/>
      <c r="J25" s="58"/>
      <c r="K25" s="58"/>
    </row>
    <row r="26" spans="1:11" ht="21.75" thickBot="1">
      <c r="A26" s="186" t="s">
        <v>564</v>
      </c>
      <c r="B26" s="496"/>
      <c r="C26" s="108"/>
      <c r="D26" s="109"/>
      <c r="I26" s="58"/>
      <c r="J26" s="58"/>
      <c r="K26" s="58"/>
    </row>
    <row r="28" spans="1:11" ht="15.75" thickBot="1"/>
    <row r="29" spans="1:11" s="43" customFormat="1">
      <c r="A29" s="181" t="s">
        <v>513</v>
      </c>
      <c r="B29" s="492"/>
      <c r="C29" s="182"/>
      <c r="D29" s="183"/>
    </row>
    <row r="30" spans="1:11" s="32" customFormat="1">
      <c r="A30" s="46"/>
      <c r="B30" s="495"/>
      <c r="C30" s="42"/>
      <c r="D30" s="295"/>
    </row>
    <row r="31" spans="1:11">
      <c r="A31" s="296" t="s">
        <v>554</v>
      </c>
      <c r="B31" s="493"/>
      <c r="C31" s="141" t="s">
        <v>175</v>
      </c>
      <c r="D31" s="144" t="s">
        <v>378</v>
      </c>
    </row>
    <row r="32" spans="1:11">
      <c r="A32" s="433" t="s">
        <v>555</v>
      </c>
      <c r="B32" s="47"/>
      <c r="C32" s="48"/>
      <c r="D32" s="142" t="s">
        <v>379</v>
      </c>
    </row>
    <row r="33" spans="1:11">
      <c r="A33" s="44"/>
      <c r="B33" s="48"/>
      <c r="C33" s="48"/>
      <c r="D33" s="142"/>
    </row>
    <row r="34" spans="1:11" s="43" customFormat="1">
      <c r="A34" s="296" t="s">
        <v>553</v>
      </c>
      <c r="B34" s="493"/>
      <c r="C34" s="141" t="s">
        <v>175</v>
      </c>
      <c r="D34" s="144" t="s">
        <v>378</v>
      </c>
      <c r="I34"/>
    </row>
    <row r="35" spans="1:11" s="43" customFormat="1">
      <c r="A35" s="432" t="s">
        <v>70</v>
      </c>
      <c r="B35" s="47"/>
      <c r="D35" s="142" t="s">
        <v>379</v>
      </c>
      <c r="I35" s="1182"/>
      <c r="J35" s="1182"/>
    </row>
    <row r="36" spans="1:11" s="43" customFormat="1">
      <c r="A36" s="432" t="s">
        <v>517</v>
      </c>
      <c r="B36" s="47"/>
      <c r="D36" s="142" t="s">
        <v>379</v>
      </c>
      <c r="I36" s="1182"/>
      <c r="J36" s="1182"/>
    </row>
    <row r="37" spans="1:11" s="43" customFormat="1">
      <c r="A37" s="432" t="s">
        <v>77</v>
      </c>
      <c r="B37" s="47"/>
      <c r="D37" s="142" t="s">
        <v>379</v>
      </c>
      <c r="I37" s="1182"/>
      <c r="J37" s="1182"/>
    </row>
    <row r="38" spans="1:11" s="43" customFormat="1">
      <c r="A38" s="432" t="s">
        <v>518</v>
      </c>
      <c r="B38" s="47"/>
      <c r="D38" s="142" t="s">
        <v>379</v>
      </c>
      <c r="I38" s="1182"/>
      <c r="J38" s="1182"/>
      <c r="K38" s="58"/>
    </row>
    <row r="39" spans="1:11" s="43" customFormat="1">
      <c r="A39" s="432" t="s">
        <v>76</v>
      </c>
      <c r="B39" s="47"/>
      <c r="D39" s="142" t="s">
        <v>379</v>
      </c>
      <c r="I39" s="1182"/>
      <c r="J39" s="1183"/>
      <c r="K39" s="58"/>
    </row>
    <row r="40" spans="1:11" s="43" customFormat="1">
      <c r="A40" s="178" t="s">
        <v>519</v>
      </c>
      <c r="B40" s="48"/>
      <c r="D40" s="142" t="s">
        <v>379</v>
      </c>
      <c r="I40" s="297"/>
      <c r="J40" s="298"/>
      <c r="K40" s="58"/>
    </row>
    <row r="41" spans="1:11" s="43" customFormat="1">
      <c r="A41" s="178" t="s">
        <v>520</v>
      </c>
      <c r="B41" s="47"/>
      <c r="D41" s="142" t="s">
        <v>379</v>
      </c>
      <c r="I41" s="297"/>
      <c r="J41" s="298"/>
      <c r="K41" s="58"/>
    </row>
    <row r="42" spans="1:11" s="43" customFormat="1">
      <c r="A42" s="178" t="s">
        <v>521</v>
      </c>
      <c r="B42" s="47"/>
      <c r="D42" s="142" t="s">
        <v>379</v>
      </c>
      <c r="I42" s="297"/>
      <c r="J42" s="298"/>
      <c r="K42" s="58"/>
    </row>
    <row r="43" spans="1:11">
      <c r="A43" s="178" t="s">
        <v>522</v>
      </c>
      <c r="B43" s="47"/>
      <c r="C43" s="43"/>
      <c r="D43" s="142" t="s">
        <v>379</v>
      </c>
      <c r="I43" s="58"/>
      <c r="J43" s="58"/>
      <c r="K43" s="58"/>
    </row>
    <row r="44" spans="1:11">
      <c r="A44" s="178" t="s">
        <v>523</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2"/>
      <c r="C48" s="182"/>
      <c r="D48" s="183"/>
    </row>
    <row r="49" spans="1:4">
      <c r="A49" s="101"/>
      <c r="B49" s="493"/>
      <c r="C49" s="141" t="s">
        <v>175</v>
      </c>
      <c r="D49" s="144" t="s">
        <v>378</v>
      </c>
    </row>
    <row r="50" spans="1:4">
      <c r="A50" s="44" t="s">
        <v>557</v>
      </c>
      <c r="B50" s="47"/>
      <c r="C50" s="32"/>
      <c r="D50" s="143" t="s">
        <v>380</v>
      </c>
    </row>
    <row r="51" spans="1:4">
      <c r="A51" s="44" t="s">
        <v>558</v>
      </c>
      <c r="B51" s="47"/>
      <c r="C51" s="32"/>
      <c r="D51" s="143" t="s">
        <v>380</v>
      </c>
    </row>
    <row r="52" spans="1:4" ht="15.75" thickBot="1">
      <c r="A52" s="45"/>
      <c r="B52" s="184"/>
      <c r="C52" s="153"/>
      <c r="D52" s="189"/>
    </row>
    <row r="54" spans="1:4" ht="15.75" thickBot="1"/>
    <row r="55" spans="1:4" s="43" customFormat="1">
      <c r="A55" s="181" t="s">
        <v>514</v>
      </c>
      <c r="B55" s="492"/>
      <c r="C55" s="182"/>
      <c r="D55" s="183"/>
    </row>
    <row r="56" spans="1:4">
      <c r="A56" s="101"/>
      <c r="B56" s="493"/>
      <c r="C56" s="141" t="s">
        <v>175</v>
      </c>
      <c r="D56" s="144" t="s">
        <v>378</v>
      </c>
    </row>
    <row r="57" spans="1:4">
      <c r="A57" s="44" t="s">
        <v>559</v>
      </c>
      <c r="B57" s="47"/>
      <c r="C57" s="32"/>
      <c r="D57" s="142" t="s">
        <v>148</v>
      </c>
    </row>
    <row r="58" spans="1:4">
      <c r="A58" s="44" t="s">
        <v>560</v>
      </c>
      <c r="B58" s="47"/>
      <c r="C58" s="32"/>
      <c r="D58" s="142" t="s">
        <v>149</v>
      </c>
    </row>
    <row r="59" spans="1:4">
      <c r="A59" s="44" t="s">
        <v>561</v>
      </c>
      <c r="B59" s="47"/>
      <c r="C59" s="48"/>
      <c r="D59" s="142" t="s">
        <v>376</v>
      </c>
    </row>
    <row r="60" spans="1:4">
      <c r="A60" s="44" t="s">
        <v>562</v>
      </c>
      <c r="B60" s="47"/>
      <c r="C60" s="48"/>
      <c r="D60" s="142" t="s">
        <v>105</v>
      </c>
    </row>
    <row r="61" spans="1:4">
      <c r="A61" s="44"/>
      <c r="B61" s="48"/>
      <c r="C61" s="48"/>
      <c r="D61" s="142"/>
    </row>
    <row r="62" spans="1:4" ht="21.75" thickBot="1">
      <c r="A62" s="186" t="s">
        <v>516</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579</v>
      </c>
      <c r="B1" s="625"/>
      <c r="C1" s="625"/>
      <c r="D1" s="625"/>
      <c r="E1" s="626"/>
    </row>
    <row r="2" spans="1:5">
      <c r="A2" s="637" t="s">
        <v>381</v>
      </c>
      <c r="B2" s="642" t="s">
        <v>504</v>
      </c>
      <c r="C2" s="638"/>
      <c r="D2" s="638"/>
      <c r="E2" s="639"/>
    </row>
    <row r="3" spans="1:5">
      <c r="A3" s="640"/>
      <c r="B3" s="641"/>
      <c r="C3" s="629"/>
      <c r="D3" s="629"/>
      <c r="E3" s="630"/>
    </row>
    <row r="4" spans="1:5" s="324" customFormat="1" ht="45">
      <c r="A4" s="628" t="s">
        <v>583</v>
      </c>
      <c r="B4" s="636" t="s">
        <v>572</v>
      </c>
      <c r="C4" s="657" t="s">
        <v>594</v>
      </c>
      <c r="D4" s="658" t="s">
        <v>595</v>
      </c>
      <c r="E4" s="659" t="s">
        <v>596</v>
      </c>
    </row>
    <row r="5" spans="1:5">
      <c r="A5" s="631" t="s">
        <v>573</v>
      </c>
      <c r="B5" s="623" t="s">
        <v>574</v>
      </c>
      <c r="C5" s="654">
        <v>3.678273E-2</v>
      </c>
      <c r="D5" s="655">
        <v>0.27778000000000003</v>
      </c>
      <c r="E5" s="647">
        <f>C5*D5</f>
        <v>1.0217506739400001E-2</v>
      </c>
    </row>
    <row r="6" spans="1:5">
      <c r="A6" s="631" t="s">
        <v>573</v>
      </c>
      <c r="B6" s="623" t="s">
        <v>575</v>
      </c>
      <c r="C6" s="654">
        <v>4.2278999999999997E-2</v>
      </c>
      <c r="D6" s="655">
        <v>0.27778000000000003</v>
      </c>
      <c r="E6" s="647">
        <f t="shared" ref="E6:E21" si="0">C6*D6</f>
        <v>1.174426062E-2</v>
      </c>
    </row>
    <row r="7" spans="1:5">
      <c r="A7" s="631" t="s">
        <v>573</v>
      </c>
      <c r="B7" s="623" t="s">
        <v>576</v>
      </c>
      <c r="C7" s="654">
        <v>42.279000000000003</v>
      </c>
      <c r="D7" s="655">
        <v>0.27778000000000003</v>
      </c>
      <c r="E7" s="647">
        <f t="shared" si="0"/>
        <v>11.744260620000002</v>
      </c>
    </row>
    <row r="8" spans="1:5">
      <c r="A8" s="631" t="s">
        <v>577</v>
      </c>
      <c r="B8" s="623" t="s">
        <v>574</v>
      </c>
      <c r="C8" s="654">
        <v>3.8573799999999998E-2</v>
      </c>
      <c r="D8" s="655">
        <v>0.27778000000000003</v>
      </c>
      <c r="E8" s="647">
        <f t="shared" si="0"/>
        <v>1.0715030164E-2</v>
      </c>
    </row>
    <row r="9" spans="1:5">
      <c r="A9" s="631" t="s">
        <v>577</v>
      </c>
      <c r="B9" s="623" t="s">
        <v>575</v>
      </c>
      <c r="C9" s="654">
        <v>4.0604000000000001E-2</v>
      </c>
      <c r="D9" s="655">
        <v>0.27778000000000003</v>
      </c>
      <c r="E9" s="647">
        <f t="shared" si="0"/>
        <v>1.1278979120000001E-2</v>
      </c>
    </row>
    <row r="10" spans="1:5">
      <c r="A10" s="631" t="s">
        <v>577</v>
      </c>
      <c r="B10" s="623" t="s">
        <v>576</v>
      </c>
      <c r="C10" s="654">
        <v>40.603999999999999</v>
      </c>
      <c r="D10" s="655">
        <v>0.27778000000000003</v>
      </c>
      <c r="E10" s="647">
        <f t="shared" si="0"/>
        <v>11.278979120000001</v>
      </c>
    </row>
    <row r="11" spans="1:5">
      <c r="A11" s="631" t="s">
        <v>597</v>
      </c>
      <c r="B11" s="623" t="s">
        <v>574</v>
      </c>
      <c r="C11" s="654">
        <v>2.3511000000000001E-2</v>
      </c>
      <c r="D11" s="655">
        <v>0.27778000000000003</v>
      </c>
      <c r="E11" s="647">
        <f t="shared" si="0"/>
        <v>6.5308855800000004E-3</v>
      </c>
    </row>
    <row r="12" spans="1:5">
      <c r="A12" s="631" t="s">
        <v>597</v>
      </c>
      <c r="B12" s="623" t="s">
        <v>575</v>
      </c>
      <c r="C12" s="654">
        <v>4.6100000000000002E-2</v>
      </c>
      <c r="D12" s="655">
        <v>0.27778000000000003</v>
      </c>
      <c r="E12" s="647">
        <f t="shared" si="0"/>
        <v>1.2805658000000001E-2</v>
      </c>
    </row>
    <row r="13" spans="1:5">
      <c r="A13" s="631" t="s">
        <v>597</v>
      </c>
      <c r="B13" s="623" t="s">
        <v>576</v>
      </c>
      <c r="C13" s="654">
        <v>46.1</v>
      </c>
      <c r="D13" s="655">
        <v>0.27778000000000003</v>
      </c>
      <c r="E13" s="647">
        <f t="shared" si="0"/>
        <v>12.805658000000001</v>
      </c>
    </row>
    <row r="14" spans="1:5">
      <c r="A14" s="631" t="s">
        <v>598</v>
      </c>
      <c r="B14" s="623" t="s">
        <v>574</v>
      </c>
      <c r="C14" s="654">
        <v>2.6525139999999999E-2</v>
      </c>
      <c r="D14" s="655">
        <v>0.27778000000000003</v>
      </c>
      <c r="E14" s="647">
        <f t="shared" si="0"/>
        <v>7.3681533892000009E-3</v>
      </c>
    </row>
    <row r="15" spans="1:5">
      <c r="A15" s="631" t="s">
        <v>598</v>
      </c>
      <c r="B15" s="623" t="s">
        <v>575</v>
      </c>
      <c r="C15" s="654">
        <v>4.5733000000000003E-2</v>
      </c>
      <c r="D15" s="655">
        <v>0.27778000000000003</v>
      </c>
      <c r="E15" s="647">
        <f t="shared" si="0"/>
        <v>1.2703712740000001E-2</v>
      </c>
    </row>
    <row r="16" spans="1:5">
      <c r="A16" s="631" t="s">
        <v>598</v>
      </c>
      <c r="B16" s="623" t="s">
        <v>576</v>
      </c>
      <c r="C16" s="654">
        <v>45.732999999999997</v>
      </c>
      <c r="D16" s="655">
        <v>0.27778000000000003</v>
      </c>
      <c r="E16" s="647">
        <f t="shared" si="0"/>
        <v>12.70371274</v>
      </c>
    </row>
    <row r="17" spans="1:10">
      <c r="A17" s="631" t="s">
        <v>581</v>
      </c>
      <c r="B17" s="623" t="s">
        <v>578</v>
      </c>
      <c r="C17" s="654">
        <v>3.2923000000000001E-2</v>
      </c>
      <c r="D17" s="655">
        <f>0.27778</f>
        <v>0.27778000000000003</v>
      </c>
      <c r="E17" s="647">
        <f t="shared" si="0"/>
        <v>9.1453509400000015E-3</v>
      </c>
    </row>
    <row r="18" spans="1:10">
      <c r="A18" s="631" t="s">
        <v>582</v>
      </c>
      <c r="B18" s="623" t="s">
        <v>578</v>
      </c>
      <c r="C18" s="654">
        <v>3.8852400000000002E-2</v>
      </c>
      <c r="D18" s="655">
        <f>0.27778</f>
        <v>0.27778000000000003</v>
      </c>
      <c r="E18" s="647">
        <f t="shared" si="0"/>
        <v>1.0792419672000002E-2</v>
      </c>
    </row>
    <row r="19" spans="1:10">
      <c r="A19" s="631" t="s">
        <v>585</v>
      </c>
      <c r="B19" s="623" t="s">
        <v>574</v>
      </c>
      <c r="C19" s="654">
        <v>2.4812460000000001E-2</v>
      </c>
      <c r="D19" s="655">
        <v>0.27778000000000003</v>
      </c>
      <c r="E19" s="647">
        <f t="shared" si="0"/>
        <v>6.8924051388000009E-3</v>
      </c>
    </row>
    <row r="20" spans="1:10">
      <c r="A20" s="631" t="s">
        <v>585</v>
      </c>
      <c r="B20" s="623" t="s">
        <v>575</v>
      </c>
      <c r="C20" s="654">
        <v>4.5948999999999997E-2</v>
      </c>
      <c r="D20" s="655">
        <v>0.27778000000000003</v>
      </c>
      <c r="E20" s="647">
        <f t="shared" si="0"/>
        <v>1.276371322E-2</v>
      </c>
    </row>
    <row r="21" spans="1:10">
      <c r="A21" s="631" t="s">
        <v>585</v>
      </c>
      <c r="B21" s="623" t="s">
        <v>576</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580</v>
      </c>
      <c r="B24" s="625"/>
      <c r="C24" s="625"/>
      <c r="D24" s="625"/>
      <c r="E24" s="626"/>
    </row>
    <row r="25" spans="1:10">
      <c r="A25" s="651" t="s">
        <v>381</v>
      </c>
      <c r="B25" s="1034" t="s">
        <v>852</v>
      </c>
      <c r="C25" s="629"/>
      <c r="D25" s="629"/>
      <c r="E25" s="630"/>
    </row>
    <row r="26" spans="1:10">
      <c r="A26" s="44"/>
      <c r="B26" s="43"/>
      <c r="C26" s="43"/>
      <c r="D26" s="43"/>
      <c r="E26" s="96"/>
    </row>
    <row r="27" spans="1:10" s="324" customFormat="1">
      <c r="A27" s="628" t="s">
        <v>583</v>
      </c>
      <c r="B27" s="636" t="s">
        <v>572</v>
      </c>
      <c r="C27" s="644"/>
      <c r="D27" s="643"/>
      <c r="E27" s="659" t="s">
        <v>587</v>
      </c>
    </row>
    <row r="28" spans="1:10">
      <c r="A28" s="631" t="s">
        <v>195</v>
      </c>
      <c r="B28" s="623" t="s">
        <v>574</v>
      </c>
      <c r="C28" s="645"/>
      <c r="D28" s="646"/>
      <c r="E28" s="653">
        <f>E29*0.84</f>
        <v>9.962166666666666E-3</v>
      </c>
      <c r="G28" s="627"/>
      <c r="H28" s="763"/>
      <c r="I28" s="763"/>
      <c r="J28" s="763"/>
    </row>
    <row r="29" spans="1:10">
      <c r="A29" s="631" t="s">
        <v>195</v>
      </c>
      <c r="B29" s="623" t="s">
        <v>575</v>
      </c>
      <c r="C29" s="645"/>
      <c r="D29" s="646"/>
      <c r="E29" s="653">
        <f>0.042695/3.6</f>
        <v>1.1859722222222221E-2</v>
      </c>
      <c r="F29" s="875"/>
      <c r="G29" s="627"/>
      <c r="H29" s="763"/>
      <c r="I29" s="763"/>
      <c r="J29" s="763"/>
    </row>
    <row r="30" spans="1:10">
      <c r="A30" s="631" t="s">
        <v>113</v>
      </c>
      <c r="B30" s="623" t="s">
        <v>574</v>
      </c>
      <c r="C30" s="645"/>
      <c r="D30" s="646"/>
      <c r="E30" s="653">
        <f>E31*0.75</f>
        <v>9.1195833333333337E-3</v>
      </c>
      <c r="H30" s="763"/>
      <c r="I30" s="763"/>
      <c r="J30" s="763"/>
    </row>
    <row r="31" spans="1:10">
      <c r="A31" s="631" t="s">
        <v>113</v>
      </c>
      <c r="B31" s="623" t="s">
        <v>575</v>
      </c>
      <c r="C31" s="645"/>
      <c r="D31" s="646"/>
      <c r="E31" s="653">
        <f>0.043774/3.6</f>
        <v>1.2159444444444445E-2</v>
      </c>
      <c r="H31" s="763"/>
      <c r="I31" s="763"/>
      <c r="J31" s="763"/>
    </row>
    <row r="32" spans="1:10">
      <c r="A32" s="631" t="s">
        <v>585</v>
      </c>
      <c r="B32" s="623" t="s">
        <v>574</v>
      </c>
      <c r="C32" s="645"/>
      <c r="D32" s="646"/>
      <c r="E32" s="653">
        <f>E33*0.52</f>
        <v>6.7259111111111118E-3</v>
      </c>
      <c r="H32" s="763"/>
    </row>
    <row r="33" spans="1:8">
      <c r="A33" s="631" t="s">
        <v>585</v>
      </c>
      <c r="B33" s="623" t="s">
        <v>575</v>
      </c>
      <c r="C33" s="645"/>
      <c r="D33" s="646"/>
      <c r="E33" s="653">
        <f>0.046564/3.6</f>
        <v>1.2934444444444445E-2</v>
      </c>
      <c r="H33" s="763"/>
    </row>
    <row r="34" spans="1:8">
      <c r="A34" s="631" t="s">
        <v>586</v>
      </c>
      <c r="B34" s="623" t="s">
        <v>574</v>
      </c>
      <c r="C34" s="645"/>
      <c r="D34" s="646"/>
      <c r="E34" s="653">
        <f>E35*0.175</f>
        <v>2.3333333333333331E-3</v>
      </c>
      <c r="H34" s="763"/>
    </row>
    <row r="35" spans="1:8">
      <c r="A35" s="631" t="s">
        <v>586</v>
      </c>
      <c r="B35" s="623" t="s">
        <v>575</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380</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698</v>
      </c>
      <c r="C21" s="131" t="s">
        <v>567</v>
      </c>
    </row>
    <row r="22" spans="1:3" s="11" customFormat="1">
      <c r="A22" s="140"/>
      <c r="B22" s="158"/>
      <c r="C22" s="159"/>
    </row>
    <row r="23" spans="1:3" ht="21">
      <c r="A23" s="126" t="s">
        <v>459</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6" bestFit="1" customWidth="1"/>
    <col min="2" max="2" width="59.42578125" style="1036" bestFit="1" customWidth="1"/>
    <col min="3" max="4" width="28.7109375" style="1036" customWidth="1"/>
    <col min="5" max="5" width="44.28515625" style="1036" customWidth="1"/>
    <col min="6" max="6" width="35" style="1036" bestFit="1" customWidth="1"/>
    <col min="7" max="16384" width="9.140625" style="1036"/>
  </cols>
  <sheetData>
    <row r="1" spans="1:6" ht="62.45" customHeight="1" thickTop="1" thickBot="1">
      <c r="A1" s="136" t="s">
        <v>900</v>
      </c>
      <c r="B1" s="1275">
        <v>2015</v>
      </c>
      <c r="C1" s="1276"/>
      <c r="D1" s="1276"/>
      <c r="E1" s="1276"/>
      <c r="F1" s="1277"/>
    </row>
    <row r="2" spans="1:6">
      <c r="A2" s="324"/>
      <c r="B2" s="324"/>
      <c r="C2" s="324"/>
      <c r="D2" s="324"/>
      <c r="E2" s="324"/>
      <c r="F2" s="324"/>
    </row>
    <row r="3" spans="1:6" ht="19.5">
      <c r="A3" s="1278" t="s">
        <v>0</v>
      </c>
      <c r="B3" s="324"/>
      <c r="C3" s="324"/>
      <c r="D3" s="324"/>
      <c r="E3" s="324"/>
      <c r="F3" s="324"/>
    </row>
    <row r="4" spans="1:6" ht="22.5">
      <c r="A4" s="1279" t="s">
        <v>900</v>
      </c>
      <c r="B4" s="324"/>
      <c r="C4" s="324"/>
      <c r="D4" s="324"/>
      <c r="E4" s="324"/>
      <c r="F4" s="324"/>
    </row>
    <row r="5" spans="1:6" ht="22.5">
      <c r="A5" s="1279" t="s">
        <v>901</v>
      </c>
      <c r="B5" s="324"/>
      <c r="C5" s="324"/>
      <c r="D5" s="324"/>
      <c r="E5" s="324"/>
      <c r="F5" s="324"/>
    </row>
    <row r="6" spans="1:6" ht="15.75" thickBot="1">
      <c r="A6" s="324"/>
      <c r="B6" s="324"/>
      <c r="C6" s="324"/>
      <c r="D6" s="324"/>
      <c r="E6" s="324"/>
      <c r="F6" s="324"/>
    </row>
    <row r="7" spans="1:6" ht="20.25" thickBot="1">
      <c r="A7" s="1280" t="s">
        <v>1</v>
      </c>
      <c r="B7" s="325" t="s">
        <v>381</v>
      </c>
      <c r="C7" s="325" t="s">
        <v>382</v>
      </c>
      <c r="D7" s="325"/>
      <c r="E7" s="325"/>
      <c r="F7" s="326"/>
    </row>
    <row r="8" spans="1:6" ht="16.5" thickTop="1" thickBot="1">
      <c r="A8" s="1281" t="s">
        <v>4</v>
      </c>
      <c r="B8" s="1282"/>
      <c r="C8" s="1282"/>
      <c r="D8" s="1276"/>
      <c r="E8" s="1276"/>
      <c r="F8" s="1277"/>
    </row>
    <row r="9" spans="1:6">
      <c r="A9" s="1283" t="s">
        <v>2</v>
      </c>
      <c r="B9" s="1284">
        <v>12062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0" t="s">
        <v>3</v>
      </c>
      <c r="B12" s="325" t="s">
        <v>381</v>
      </c>
      <c r="C12" s="325" t="s">
        <v>617</v>
      </c>
      <c r="D12" s="325"/>
      <c r="E12" s="325"/>
      <c r="F12" s="329"/>
    </row>
    <row r="13" spans="1:6" ht="16.5" thickTop="1" thickBot="1">
      <c r="A13" s="1285" t="s">
        <v>4</v>
      </c>
      <c r="B13" s="1286" t="s">
        <v>5</v>
      </c>
      <c r="C13" s="1286"/>
      <c r="D13" s="1286"/>
      <c r="E13" s="1286"/>
      <c r="F13" s="1287"/>
    </row>
    <row r="14" spans="1:6">
      <c r="A14" s="1288" t="s">
        <v>669</v>
      </c>
      <c r="B14" s="1289">
        <v>1841.51</v>
      </c>
      <c r="C14" s="324"/>
      <c r="D14" s="324"/>
      <c r="E14" s="324"/>
      <c r="F14" s="324"/>
    </row>
    <row r="15" spans="1:6">
      <c r="A15" s="1288" t="s">
        <v>177</v>
      </c>
      <c r="B15" s="1289">
        <v>554</v>
      </c>
      <c r="C15" s="324"/>
      <c r="D15" s="324"/>
      <c r="E15" s="324"/>
      <c r="F15" s="324"/>
    </row>
    <row r="16" spans="1:6">
      <c r="A16" s="1288" t="s">
        <v>6</v>
      </c>
      <c r="B16" s="1289">
        <v>1141</v>
      </c>
      <c r="C16" s="324"/>
      <c r="D16" s="324"/>
      <c r="E16" s="324"/>
      <c r="F16" s="324"/>
    </row>
    <row r="17" spans="1:6">
      <c r="A17" s="1288" t="s">
        <v>7</v>
      </c>
      <c r="B17" s="1289">
        <v>682</v>
      </c>
      <c r="C17" s="324"/>
      <c r="D17" s="324"/>
      <c r="E17" s="324"/>
      <c r="F17" s="324"/>
    </row>
    <row r="18" spans="1:6">
      <c r="A18" s="1288" t="s">
        <v>8</v>
      </c>
      <c r="B18" s="1289">
        <v>1058</v>
      </c>
      <c r="C18" s="324"/>
      <c r="D18" s="324"/>
      <c r="E18" s="324"/>
      <c r="F18" s="324"/>
    </row>
    <row r="19" spans="1:6">
      <c r="A19" s="1288" t="s">
        <v>9</v>
      </c>
      <c r="B19" s="1289">
        <v>953</v>
      </c>
      <c r="C19" s="324"/>
      <c r="D19" s="324"/>
      <c r="E19" s="324"/>
      <c r="F19" s="324"/>
    </row>
    <row r="20" spans="1:6">
      <c r="A20" s="1288" t="s">
        <v>10</v>
      </c>
      <c r="B20" s="1289">
        <v>659</v>
      </c>
      <c r="C20" s="324"/>
      <c r="D20" s="324"/>
      <c r="E20" s="324"/>
      <c r="F20" s="324"/>
    </row>
    <row r="21" spans="1:6">
      <c r="A21" s="1288" t="s">
        <v>11</v>
      </c>
      <c r="B21" s="1289">
        <v>4797</v>
      </c>
      <c r="C21" s="324"/>
      <c r="D21" s="324"/>
      <c r="E21" s="324"/>
      <c r="F21" s="324"/>
    </row>
    <row r="22" spans="1:6">
      <c r="A22" s="1288" t="s">
        <v>12</v>
      </c>
      <c r="B22" s="1289">
        <v>9123</v>
      </c>
      <c r="C22" s="324"/>
      <c r="D22" s="324"/>
      <c r="E22" s="324"/>
      <c r="F22" s="324"/>
    </row>
    <row r="23" spans="1:6">
      <c r="A23" s="1288" t="s">
        <v>13</v>
      </c>
      <c r="B23" s="1289">
        <v>142</v>
      </c>
      <c r="C23" s="324"/>
      <c r="D23" s="324"/>
      <c r="E23" s="324"/>
      <c r="F23" s="324"/>
    </row>
    <row r="24" spans="1:6">
      <c r="A24" s="1288" t="s">
        <v>14</v>
      </c>
      <c r="B24" s="1289">
        <v>12</v>
      </c>
      <c r="C24" s="324"/>
      <c r="D24" s="324"/>
      <c r="E24" s="324"/>
      <c r="F24" s="324"/>
    </row>
    <row r="25" spans="1:6">
      <c r="A25" s="1288" t="s">
        <v>15</v>
      </c>
      <c r="B25" s="1289">
        <v>1314</v>
      </c>
      <c r="C25" s="324"/>
      <c r="D25" s="324"/>
      <c r="E25" s="324"/>
      <c r="F25" s="324"/>
    </row>
    <row r="26" spans="1:6">
      <c r="A26" s="1288" t="s">
        <v>16</v>
      </c>
      <c r="B26" s="1289">
        <v>5</v>
      </c>
      <c r="C26" s="324"/>
      <c r="D26" s="324"/>
      <c r="E26" s="324"/>
      <c r="F26" s="324"/>
    </row>
    <row r="27" spans="1:6">
      <c r="A27" s="1288" t="s">
        <v>17</v>
      </c>
      <c r="B27" s="1289">
        <v>0</v>
      </c>
      <c r="C27" s="324"/>
      <c r="D27" s="324"/>
      <c r="E27" s="324"/>
      <c r="F27" s="324"/>
    </row>
    <row r="28" spans="1:6">
      <c r="A28" s="1288" t="s">
        <v>18</v>
      </c>
      <c r="B28" s="1290">
        <v>50923</v>
      </c>
      <c r="C28" s="324"/>
      <c r="D28" s="324"/>
      <c r="E28" s="324"/>
      <c r="F28" s="324"/>
    </row>
    <row r="29" spans="1:6">
      <c r="A29" s="1288" t="s">
        <v>902</v>
      </c>
      <c r="B29" s="1290">
        <v>154</v>
      </c>
      <c r="C29" s="324"/>
      <c r="D29" s="324"/>
      <c r="E29" s="324"/>
      <c r="F29" s="324"/>
    </row>
    <row r="30" spans="1:6">
      <c r="A30" s="1283" t="s">
        <v>903</v>
      </c>
      <c r="B30" s="1291">
        <v>26</v>
      </c>
      <c r="C30" s="327"/>
      <c r="D30" s="327"/>
      <c r="E30" s="327"/>
      <c r="F30" s="327"/>
    </row>
    <row r="31" spans="1:6" ht="15.75" thickBot="1">
      <c r="A31" s="328"/>
      <c r="B31" s="324"/>
      <c r="C31" s="324"/>
      <c r="D31" s="324"/>
      <c r="E31" s="324"/>
      <c r="F31" s="324"/>
    </row>
    <row r="32" spans="1:6" ht="20.25" thickBot="1">
      <c r="A32" s="1280" t="s">
        <v>19</v>
      </c>
      <c r="B32" s="325" t="s">
        <v>381</v>
      </c>
      <c r="C32" s="325" t="s">
        <v>904</v>
      </c>
      <c r="D32" s="325"/>
      <c r="E32" s="325"/>
      <c r="F32" s="329"/>
    </row>
    <row r="33" spans="1:6" ht="16.5" thickTop="1" thickBot="1">
      <c r="A33" s="1292"/>
      <c r="B33" s="1293"/>
      <c r="C33" s="1293"/>
      <c r="D33" s="1293"/>
      <c r="E33" s="1293" t="s">
        <v>20</v>
      </c>
      <c r="F33" s="1294"/>
    </row>
    <row r="34" spans="1:6" ht="16.5" thickTop="1" thickBot="1">
      <c r="A34" s="1295" t="s">
        <v>21</v>
      </c>
      <c r="B34" s="1296" t="s">
        <v>22</v>
      </c>
      <c r="C34" s="1296" t="s">
        <v>5</v>
      </c>
      <c r="D34" s="1296" t="s">
        <v>23</v>
      </c>
      <c r="E34" s="1296" t="s">
        <v>5</v>
      </c>
      <c r="F34" s="1297" t="s">
        <v>23</v>
      </c>
    </row>
    <row r="35" spans="1:6">
      <c r="A35" s="1288" t="s">
        <v>24</v>
      </c>
      <c r="B35" s="1288" t="s">
        <v>25</v>
      </c>
      <c r="C35" s="1289">
        <v>0</v>
      </c>
      <c r="D35" s="1289">
        <v>0</v>
      </c>
      <c r="E35" s="1289">
        <v>0</v>
      </c>
      <c r="F35" s="1289">
        <v>0</v>
      </c>
    </row>
    <row r="36" spans="1:6">
      <c r="A36" s="1288" t="s">
        <v>24</v>
      </c>
      <c r="B36" s="1288" t="s">
        <v>26</v>
      </c>
      <c r="C36" s="1289">
        <v>0</v>
      </c>
      <c r="D36" s="1289">
        <v>0</v>
      </c>
      <c r="E36" s="1289">
        <v>5</v>
      </c>
      <c r="F36" s="1289">
        <v>16030</v>
      </c>
    </row>
    <row r="37" spans="1:6">
      <c r="A37" s="1288" t="s">
        <v>24</v>
      </c>
      <c r="B37" s="1288" t="s">
        <v>27</v>
      </c>
      <c r="C37" s="1289">
        <v>0</v>
      </c>
      <c r="D37" s="1289">
        <v>0</v>
      </c>
      <c r="E37" s="1289">
        <v>0</v>
      </c>
      <c r="F37" s="1289">
        <v>0</v>
      </c>
    </row>
    <row r="38" spans="1:6">
      <c r="A38" s="1288" t="s">
        <v>24</v>
      </c>
      <c r="B38" s="1288" t="s">
        <v>28</v>
      </c>
      <c r="C38" s="1289">
        <v>1</v>
      </c>
      <c r="D38" s="1289">
        <v>167779.79869</v>
      </c>
      <c r="E38" s="1289">
        <v>1</v>
      </c>
      <c r="F38" s="1289">
        <v>5851.25</v>
      </c>
    </row>
    <row r="39" spans="1:6">
      <c r="A39" s="1288" t="s">
        <v>29</v>
      </c>
      <c r="B39" s="1288" t="s">
        <v>30</v>
      </c>
      <c r="C39" s="1289">
        <v>9038</v>
      </c>
      <c r="D39" s="1289">
        <v>127274070.38</v>
      </c>
      <c r="E39" s="1289">
        <v>11725</v>
      </c>
      <c r="F39" s="1289">
        <v>44444987.734999999</v>
      </c>
    </row>
    <row r="40" spans="1:6">
      <c r="A40" s="1288" t="s">
        <v>29</v>
      </c>
      <c r="B40" s="1288" t="s">
        <v>28</v>
      </c>
      <c r="C40" s="1289">
        <v>0</v>
      </c>
      <c r="D40" s="1289">
        <v>0</v>
      </c>
      <c r="E40" s="1289">
        <v>0</v>
      </c>
      <c r="F40" s="1289">
        <v>0</v>
      </c>
    </row>
    <row r="41" spans="1:6">
      <c r="A41" s="1288" t="s">
        <v>31</v>
      </c>
      <c r="B41" s="1288" t="s">
        <v>32</v>
      </c>
      <c r="C41" s="1289">
        <v>142</v>
      </c>
      <c r="D41" s="1289">
        <v>5028925.3181999996</v>
      </c>
      <c r="E41" s="1289">
        <v>261</v>
      </c>
      <c r="F41" s="1289">
        <v>4214640.9820999997</v>
      </c>
    </row>
    <row r="42" spans="1:6">
      <c r="A42" s="1288" t="s">
        <v>31</v>
      </c>
      <c r="B42" s="1288" t="s">
        <v>33</v>
      </c>
      <c r="C42" s="1289">
        <v>0</v>
      </c>
      <c r="D42" s="1289">
        <v>0</v>
      </c>
      <c r="E42" s="1289">
        <v>0</v>
      </c>
      <c r="F42" s="1289">
        <v>0</v>
      </c>
    </row>
    <row r="43" spans="1:6">
      <c r="A43" s="1288" t="s">
        <v>31</v>
      </c>
      <c r="B43" s="1288" t="s">
        <v>34</v>
      </c>
      <c r="C43" s="1289">
        <v>0</v>
      </c>
      <c r="D43" s="1289">
        <v>0</v>
      </c>
      <c r="E43" s="1289">
        <v>0</v>
      </c>
      <c r="F43" s="1289">
        <v>0</v>
      </c>
    </row>
    <row r="44" spans="1:6">
      <c r="A44" s="1288" t="s">
        <v>31</v>
      </c>
      <c r="B44" s="1288" t="s">
        <v>35</v>
      </c>
      <c r="C44" s="1289">
        <v>14</v>
      </c>
      <c r="D44" s="1289">
        <v>1072085.1514999999</v>
      </c>
      <c r="E44" s="1289">
        <v>28</v>
      </c>
      <c r="F44" s="1289">
        <v>1666897.6207999999</v>
      </c>
    </row>
    <row r="45" spans="1:6">
      <c r="A45" s="1288" t="s">
        <v>31</v>
      </c>
      <c r="B45" s="1288" t="s">
        <v>36</v>
      </c>
      <c r="C45" s="1289">
        <v>0</v>
      </c>
      <c r="D45" s="1289">
        <v>0</v>
      </c>
      <c r="E45" s="1289">
        <v>5</v>
      </c>
      <c r="F45" s="1289">
        <v>249063.60915999999</v>
      </c>
    </row>
    <row r="46" spans="1:6">
      <c r="A46" s="1288" t="s">
        <v>31</v>
      </c>
      <c r="B46" s="1288" t="s">
        <v>37</v>
      </c>
      <c r="C46" s="1289">
        <v>0</v>
      </c>
      <c r="D46" s="1289">
        <v>0</v>
      </c>
      <c r="E46" s="1289">
        <v>0</v>
      </c>
      <c r="F46" s="1289">
        <v>0</v>
      </c>
    </row>
    <row r="47" spans="1:6">
      <c r="A47" s="1288" t="s">
        <v>31</v>
      </c>
      <c r="B47" s="1288" t="s">
        <v>38</v>
      </c>
      <c r="C47" s="1289">
        <v>4</v>
      </c>
      <c r="D47" s="1289">
        <v>78306.326400999998</v>
      </c>
      <c r="E47" s="1289">
        <v>5</v>
      </c>
      <c r="F47" s="1289">
        <v>45887.872543999998</v>
      </c>
    </row>
    <row r="48" spans="1:6">
      <c r="A48" s="1288" t="s">
        <v>31</v>
      </c>
      <c r="B48" s="1288" t="s">
        <v>28</v>
      </c>
      <c r="C48" s="1289">
        <v>51</v>
      </c>
      <c r="D48" s="1289">
        <v>18366777.635000002</v>
      </c>
      <c r="E48" s="1289">
        <v>57</v>
      </c>
      <c r="F48" s="1289">
        <v>31105832.427999999</v>
      </c>
    </row>
    <row r="49" spans="1:6">
      <c r="A49" s="1288" t="s">
        <v>31</v>
      </c>
      <c r="B49" s="1288" t="s">
        <v>39</v>
      </c>
      <c r="C49" s="1289">
        <v>3</v>
      </c>
      <c r="D49" s="1289">
        <v>125678.24661</v>
      </c>
      <c r="E49" s="1289">
        <v>8</v>
      </c>
      <c r="F49" s="1289">
        <v>943079.34563</v>
      </c>
    </row>
    <row r="50" spans="1:6">
      <c r="A50" s="1288" t="s">
        <v>31</v>
      </c>
      <c r="B50" s="1288" t="s">
        <v>40</v>
      </c>
      <c r="C50" s="1289">
        <v>24</v>
      </c>
      <c r="D50" s="1289">
        <v>1932752.8444000001</v>
      </c>
      <c r="E50" s="1289">
        <v>31</v>
      </c>
      <c r="F50" s="1289">
        <v>3767973.1726000002</v>
      </c>
    </row>
    <row r="51" spans="1:6">
      <c r="A51" s="1288" t="s">
        <v>41</v>
      </c>
      <c r="B51" s="1288" t="s">
        <v>42</v>
      </c>
      <c r="C51" s="1289">
        <v>6</v>
      </c>
      <c r="D51" s="1289">
        <v>79994.307811999999</v>
      </c>
      <c r="E51" s="1289">
        <v>80</v>
      </c>
      <c r="F51" s="1289">
        <v>1249103.8377</v>
      </c>
    </row>
    <row r="52" spans="1:6">
      <c r="A52" s="1288" t="s">
        <v>41</v>
      </c>
      <c r="B52" s="1288" t="s">
        <v>28</v>
      </c>
      <c r="C52" s="1289">
        <v>9</v>
      </c>
      <c r="D52" s="1289">
        <v>145385.53714</v>
      </c>
      <c r="E52" s="1289">
        <v>10</v>
      </c>
      <c r="F52" s="1289">
        <v>93864.266034</v>
      </c>
    </row>
    <row r="53" spans="1:6">
      <c r="A53" s="1288" t="s">
        <v>43</v>
      </c>
      <c r="B53" s="1288" t="s">
        <v>44</v>
      </c>
      <c r="C53" s="1289">
        <v>202</v>
      </c>
      <c r="D53" s="1289">
        <v>5868849.6117000002</v>
      </c>
      <c r="E53" s="1289">
        <v>428</v>
      </c>
      <c r="F53" s="1289">
        <v>1373424.1987000001</v>
      </c>
    </row>
    <row r="54" spans="1:6">
      <c r="A54" s="1288" t="s">
        <v>45</v>
      </c>
      <c r="B54" s="1288" t="s">
        <v>46</v>
      </c>
      <c r="C54" s="1289">
        <v>0</v>
      </c>
      <c r="D54" s="1289">
        <v>0</v>
      </c>
      <c r="E54" s="1289">
        <v>1</v>
      </c>
      <c r="F54" s="1289">
        <v>1616146</v>
      </c>
    </row>
    <row r="55" spans="1:6">
      <c r="A55" s="1288" t="s">
        <v>45</v>
      </c>
      <c r="B55" s="1288" t="s">
        <v>28</v>
      </c>
      <c r="C55" s="1289">
        <v>0</v>
      </c>
      <c r="D55" s="1289">
        <v>0</v>
      </c>
      <c r="E55" s="1289">
        <v>0</v>
      </c>
      <c r="F55" s="1289">
        <v>0</v>
      </c>
    </row>
    <row r="56" spans="1:6">
      <c r="A56" s="1288" t="s">
        <v>47</v>
      </c>
      <c r="B56" s="1288" t="s">
        <v>28</v>
      </c>
      <c r="C56" s="1289">
        <v>0</v>
      </c>
      <c r="D56" s="1289">
        <v>0</v>
      </c>
      <c r="E56" s="1289">
        <v>0</v>
      </c>
      <c r="F56" s="1289">
        <v>0</v>
      </c>
    </row>
    <row r="57" spans="1:6">
      <c r="A57" s="1288" t="s">
        <v>48</v>
      </c>
      <c r="B57" s="1288" t="s">
        <v>49</v>
      </c>
      <c r="C57" s="1289">
        <v>100</v>
      </c>
      <c r="D57" s="1289">
        <v>6577851.6749</v>
      </c>
      <c r="E57" s="1289">
        <v>183</v>
      </c>
      <c r="F57" s="1289">
        <v>3851084.4522000002</v>
      </c>
    </row>
    <row r="58" spans="1:6">
      <c r="A58" s="1288" t="s">
        <v>48</v>
      </c>
      <c r="B58" s="1288" t="s">
        <v>50</v>
      </c>
      <c r="C58" s="1289">
        <v>46</v>
      </c>
      <c r="D58" s="1289">
        <v>2708712.3612000002</v>
      </c>
      <c r="E58" s="1289">
        <v>62</v>
      </c>
      <c r="F58" s="1289">
        <v>1299583.5612000001</v>
      </c>
    </row>
    <row r="59" spans="1:6">
      <c r="A59" s="1288" t="s">
        <v>48</v>
      </c>
      <c r="B59" s="1288" t="s">
        <v>51</v>
      </c>
      <c r="C59" s="1289">
        <v>236</v>
      </c>
      <c r="D59" s="1289">
        <v>14042081.719000001</v>
      </c>
      <c r="E59" s="1289">
        <v>413</v>
      </c>
      <c r="F59" s="1289">
        <v>14226604.25</v>
      </c>
    </row>
    <row r="60" spans="1:6">
      <c r="A60" s="1288" t="s">
        <v>48</v>
      </c>
      <c r="B60" s="1288" t="s">
        <v>52</v>
      </c>
      <c r="C60" s="1289">
        <v>96</v>
      </c>
      <c r="D60" s="1289">
        <v>4889114.5575000001</v>
      </c>
      <c r="E60" s="1289">
        <v>101</v>
      </c>
      <c r="F60" s="1289">
        <v>2207741.1115000001</v>
      </c>
    </row>
    <row r="61" spans="1:6">
      <c r="A61" s="1288" t="s">
        <v>48</v>
      </c>
      <c r="B61" s="1288" t="s">
        <v>53</v>
      </c>
      <c r="C61" s="1289">
        <v>252</v>
      </c>
      <c r="D61" s="1289">
        <v>10558797.221999999</v>
      </c>
      <c r="E61" s="1289">
        <v>556</v>
      </c>
      <c r="F61" s="1289">
        <v>12052963.915999999</v>
      </c>
    </row>
    <row r="62" spans="1:6">
      <c r="A62" s="1288" t="s">
        <v>48</v>
      </c>
      <c r="B62" s="1288" t="s">
        <v>54</v>
      </c>
      <c r="C62" s="1289">
        <v>16</v>
      </c>
      <c r="D62" s="1289">
        <v>1560951.3551</v>
      </c>
      <c r="E62" s="1289">
        <v>18</v>
      </c>
      <c r="F62" s="1289">
        <v>504869.48285999999</v>
      </c>
    </row>
    <row r="63" spans="1:6">
      <c r="A63" s="1288" t="s">
        <v>48</v>
      </c>
      <c r="B63" s="1288" t="s">
        <v>28</v>
      </c>
      <c r="C63" s="1289">
        <v>100</v>
      </c>
      <c r="D63" s="1289">
        <v>8444223.9430999998</v>
      </c>
      <c r="E63" s="1289">
        <v>89</v>
      </c>
      <c r="F63" s="1289">
        <v>5670551.0581</v>
      </c>
    </row>
    <row r="64" spans="1:6">
      <c r="A64" s="1288" t="s">
        <v>55</v>
      </c>
      <c r="B64" s="1288" t="s">
        <v>56</v>
      </c>
      <c r="C64" s="1289">
        <v>0</v>
      </c>
      <c r="D64" s="1289">
        <v>0</v>
      </c>
      <c r="E64" s="1289">
        <v>0</v>
      </c>
      <c r="F64" s="1289">
        <v>0</v>
      </c>
    </row>
    <row r="65" spans="1:6">
      <c r="A65" s="1288" t="s">
        <v>55</v>
      </c>
      <c r="B65" s="1288" t="s">
        <v>28</v>
      </c>
      <c r="C65" s="1289">
        <v>6</v>
      </c>
      <c r="D65" s="1289">
        <v>209545.29764999999</v>
      </c>
      <c r="E65" s="1289">
        <v>4</v>
      </c>
      <c r="F65" s="1289">
        <v>69201.346741000001</v>
      </c>
    </row>
    <row r="66" spans="1:6">
      <c r="A66" s="1288" t="s">
        <v>55</v>
      </c>
      <c r="B66" s="1288" t="s">
        <v>57</v>
      </c>
      <c r="C66" s="1289">
        <v>0</v>
      </c>
      <c r="D66" s="1289">
        <v>0</v>
      </c>
      <c r="E66" s="1289">
        <v>17</v>
      </c>
      <c r="F66" s="1289">
        <v>696209.42697000003</v>
      </c>
    </row>
    <row r="67" spans="1:6">
      <c r="A67" s="1288" t="s">
        <v>55</v>
      </c>
      <c r="B67" s="1288" t="s">
        <v>58</v>
      </c>
      <c r="C67" s="1289">
        <v>0</v>
      </c>
      <c r="D67" s="1289">
        <v>0</v>
      </c>
      <c r="E67" s="1289">
        <v>0</v>
      </c>
      <c r="F67" s="1289">
        <v>0</v>
      </c>
    </row>
    <row r="68" spans="1:6">
      <c r="A68" s="1283" t="s">
        <v>55</v>
      </c>
      <c r="B68" s="1283" t="s">
        <v>59</v>
      </c>
      <c r="C68" s="1291">
        <v>11</v>
      </c>
      <c r="D68" s="1291">
        <v>771350.52217000001</v>
      </c>
      <c r="E68" s="1291">
        <v>19</v>
      </c>
      <c r="F68" s="1291">
        <v>814924.19415999996</v>
      </c>
    </row>
    <row r="69" spans="1:6" ht="15.75" thickBot="1">
      <c r="A69" s="328"/>
      <c r="B69" s="324"/>
      <c r="C69" s="324"/>
      <c r="D69" s="324"/>
      <c r="E69" s="324"/>
      <c r="F69" s="324"/>
    </row>
    <row r="70" spans="1:6" ht="19.5">
      <c r="A70" s="1280" t="s">
        <v>60</v>
      </c>
      <c r="B70" s="325" t="s">
        <v>392</v>
      </c>
      <c r="C70" s="325" t="s">
        <v>715</v>
      </c>
      <c r="D70" s="325"/>
      <c r="E70" s="325"/>
      <c r="F70" s="329"/>
    </row>
    <row r="71" spans="1:6" ht="20.25" thickBot="1">
      <c r="A71" s="1298"/>
      <c r="B71" s="1308"/>
      <c r="C71" s="1308"/>
      <c r="D71" s="1309" t="s">
        <v>432</v>
      </c>
      <c r="E71" s="1308"/>
      <c r="F71" s="331"/>
    </row>
    <row r="72" spans="1:6" ht="16.5" thickTop="1" thickBot="1">
      <c r="A72" s="1285" t="s">
        <v>61</v>
      </c>
      <c r="B72" s="1286" t="s">
        <v>62</v>
      </c>
      <c r="C72" s="1299" t="s">
        <v>667</v>
      </c>
      <c r="D72" s="1300"/>
      <c r="E72" s="1300"/>
      <c r="F72" s="1287"/>
    </row>
    <row r="73" spans="1:6">
      <c r="A73" s="1288" t="s">
        <v>63</v>
      </c>
      <c r="B73" s="1288" t="s">
        <v>650</v>
      </c>
      <c r="C73" s="1301" t="s">
        <v>652</v>
      </c>
      <c r="D73" s="1289">
        <v>101162520</v>
      </c>
      <c r="E73" s="441"/>
      <c r="F73" s="324"/>
    </row>
    <row r="74" spans="1:6">
      <c r="A74" s="1288" t="s">
        <v>63</v>
      </c>
      <c r="B74" s="1288" t="s">
        <v>651</v>
      </c>
      <c r="C74" s="1301" t="s">
        <v>653</v>
      </c>
      <c r="D74" s="1289">
        <v>10774180.64605975</v>
      </c>
      <c r="E74" s="441"/>
      <c r="F74" s="324"/>
    </row>
    <row r="75" spans="1:6">
      <c r="A75" s="1288" t="s">
        <v>64</v>
      </c>
      <c r="B75" s="1288" t="s">
        <v>650</v>
      </c>
      <c r="C75" s="1301" t="s">
        <v>654</v>
      </c>
      <c r="D75" s="1289">
        <v>76517979</v>
      </c>
      <c r="E75" s="441"/>
      <c r="F75" s="324"/>
    </row>
    <row r="76" spans="1:6">
      <c r="A76" s="1288" t="s">
        <v>64</v>
      </c>
      <c r="B76" s="1288" t="s">
        <v>651</v>
      </c>
      <c r="C76" s="1301" t="s">
        <v>655</v>
      </c>
      <c r="D76" s="1289">
        <v>3601762.6460597487</v>
      </c>
      <c r="E76" s="441"/>
      <c r="F76" s="324"/>
    </row>
    <row r="77" spans="1:6">
      <c r="A77" s="1288" t="s">
        <v>65</v>
      </c>
      <c r="B77" s="1288" t="s">
        <v>650</v>
      </c>
      <c r="C77" s="1301" t="s">
        <v>656</v>
      </c>
      <c r="D77" s="1289">
        <v>124527394</v>
      </c>
      <c r="E77" s="441"/>
      <c r="F77" s="324"/>
    </row>
    <row r="78" spans="1:6">
      <c r="A78" s="1283" t="s">
        <v>65</v>
      </c>
      <c r="B78" s="1283" t="s">
        <v>651</v>
      </c>
      <c r="C78" s="1283" t="s">
        <v>657</v>
      </c>
      <c r="D78" s="1291">
        <v>31434910</v>
      </c>
      <c r="E78" s="1302"/>
      <c r="F78" s="327"/>
    </row>
    <row r="79" spans="1:6">
      <c r="A79" s="1303"/>
      <c r="B79" s="1303"/>
      <c r="C79" s="324"/>
      <c r="D79" s="324"/>
      <c r="E79" s="324"/>
      <c r="F79" s="324"/>
    </row>
    <row r="80" spans="1:6" ht="15.75" thickBot="1">
      <c r="A80" s="1303"/>
      <c r="B80" s="1303"/>
      <c r="C80" s="324"/>
      <c r="D80" s="324"/>
      <c r="E80" s="324"/>
      <c r="F80" s="324"/>
    </row>
    <row r="81" spans="1:6" ht="20.25" thickBot="1">
      <c r="A81" s="1280" t="s">
        <v>321</v>
      </c>
      <c r="B81" s="1304" t="s">
        <v>381</v>
      </c>
      <c r="C81" s="325" t="s">
        <v>905</v>
      </c>
      <c r="D81" s="325"/>
      <c r="E81" s="325"/>
      <c r="F81" s="329"/>
    </row>
    <row r="82" spans="1:6" ht="16.5" thickTop="1" thickBot="1">
      <c r="A82" s="1285" t="s">
        <v>322</v>
      </c>
      <c r="B82" s="1300"/>
      <c r="C82" s="1300"/>
      <c r="D82" s="1286"/>
      <c r="E82" s="1286"/>
      <c r="F82" s="1287"/>
    </row>
    <row r="83" spans="1:6">
      <c r="A83" s="1288" t="s">
        <v>323</v>
      </c>
      <c r="B83" s="1289">
        <v>649878.70788050245</v>
      </c>
      <c r="C83" s="441"/>
      <c r="D83" s="324"/>
      <c r="E83" s="324"/>
      <c r="F83" s="324"/>
    </row>
    <row r="84" spans="1:6">
      <c r="A84" s="1283" t="s">
        <v>324</v>
      </c>
      <c r="B84" s="1291">
        <v>0</v>
      </c>
      <c r="C84" s="1302"/>
      <c r="D84" s="327"/>
      <c r="E84" s="327"/>
      <c r="F84" s="327"/>
    </row>
    <row r="85" spans="1:6">
      <c r="A85" s="1303"/>
      <c r="B85" s="1305"/>
      <c r="C85" s="324"/>
      <c r="D85" s="324"/>
      <c r="E85" s="324"/>
      <c r="F85" s="324"/>
    </row>
    <row r="86" spans="1:6" ht="15.75" thickBot="1">
      <c r="A86" s="328"/>
      <c r="B86" s="324"/>
      <c r="C86" s="324"/>
      <c r="D86" s="324"/>
      <c r="E86" s="324"/>
      <c r="F86" s="324"/>
    </row>
    <row r="87" spans="1:6" ht="20.25" thickBot="1">
      <c r="A87" s="1280" t="s">
        <v>66</v>
      </c>
      <c r="B87" s="325" t="s">
        <v>381</v>
      </c>
      <c r="C87" s="325" t="s">
        <v>395</v>
      </c>
      <c r="D87" s="325"/>
      <c r="E87" s="325"/>
      <c r="F87" s="329"/>
    </row>
    <row r="88" spans="1:6" ht="16.5" thickTop="1" thickBot="1">
      <c r="A88" s="1285" t="s">
        <v>4</v>
      </c>
      <c r="B88" s="1286" t="s">
        <v>163</v>
      </c>
      <c r="C88" s="1286"/>
      <c r="D88" s="1286"/>
      <c r="E88" s="1286"/>
      <c r="F88" s="1287"/>
    </row>
    <row r="89" spans="1:6">
      <c r="A89" s="1288" t="s">
        <v>538</v>
      </c>
      <c r="B89" s="1289">
        <v>0</v>
      </c>
      <c r="C89" s="324"/>
      <c r="D89" s="324"/>
      <c r="E89" s="324"/>
      <c r="F89" s="324"/>
    </row>
    <row r="90" spans="1:6">
      <c r="A90" s="1288" t="s">
        <v>539</v>
      </c>
      <c r="B90" s="1289">
        <v>0</v>
      </c>
      <c r="C90" s="324"/>
      <c r="D90" s="324"/>
      <c r="E90" s="324"/>
      <c r="F90" s="324"/>
    </row>
    <row r="91" spans="1:6">
      <c r="A91" s="1288" t="s">
        <v>67</v>
      </c>
      <c r="B91" s="1289">
        <v>5086.4131629188432</v>
      </c>
      <c r="C91" s="324"/>
      <c r="D91" s="324"/>
      <c r="E91" s="324"/>
      <c r="F91" s="324"/>
    </row>
    <row r="92" spans="1:6">
      <c r="A92" s="1283" t="s">
        <v>68</v>
      </c>
      <c r="B92" s="1284">
        <v>11557.5344352352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0" t="s">
        <v>69</v>
      </c>
      <c r="B95" s="325" t="s">
        <v>381</v>
      </c>
      <c r="C95" s="325" t="s">
        <v>396</v>
      </c>
      <c r="D95" s="325"/>
      <c r="E95" s="325"/>
      <c r="F95" s="329"/>
    </row>
    <row r="96" spans="1:6" ht="16.5" thickTop="1" thickBot="1">
      <c r="A96" s="1285" t="s">
        <v>4</v>
      </c>
      <c r="B96" s="1286" t="s">
        <v>5</v>
      </c>
      <c r="C96" s="1286"/>
      <c r="D96" s="1286"/>
      <c r="E96" s="1286"/>
      <c r="F96" s="1287"/>
    </row>
    <row r="97" spans="1:6">
      <c r="A97" s="1288" t="s">
        <v>70</v>
      </c>
      <c r="B97" s="1289">
        <v>5711</v>
      </c>
      <c r="C97" s="324"/>
      <c r="D97" s="324"/>
      <c r="E97" s="324"/>
      <c r="F97" s="324"/>
    </row>
    <row r="98" spans="1:6">
      <c r="A98" s="1288" t="s">
        <v>71</v>
      </c>
      <c r="B98" s="1289">
        <v>8</v>
      </c>
      <c r="C98" s="324"/>
      <c r="D98" s="324"/>
      <c r="E98" s="324"/>
      <c r="F98" s="324"/>
    </row>
    <row r="99" spans="1:6">
      <c r="A99" s="1288" t="s">
        <v>72</v>
      </c>
      <c r="B99" s="1289">
        <v>124</v>
      </c>
      <c r="C99" s="324"/>
      <c r="D99" s="324"/>
      <c r="E99" s="324"/>
      <c r="F99" s="324"/>
    </row>
    <row r="100" spans="1:6">
      <c r="A100" s="1288" t="s">
        <v>73</v>
      </c>
      <c r="B100" s="1289">
        <v>1048</v>
      </c>
      <c r="C100" s="324"/>
      <c r="D100" s="324"/>
      <c r="E100" s="324"/>
      <c r="F100" s="324"/>
    </row>
    <row r="101" spans="1:6">
      <c r="A101" s="1288" t="s">
        <v>74</v>
      </c>
      <c r="B101" s="1289">
        <v>153</v>
      </c>
      <c r="C101" s="324"/>
      <c r="D101" s="324"/>
      <c r="E101" s="324"/>
      <c r="F101" s="324"/>
    </row>
    <row r="102" spans="1:6">
      <c r="A102" s="1288" t="s">
        <v>75</v>
      </c>
      <c r="B102" s="1289">
        <v>273</v>
      </c>
      <c r="C102" s="324"/>
      <c r="D102" s="324"/>
      <c r="E102" s="324"/>
      <c r="F102" s="324"/>
    </row>
    <row r="103" spans="1:6">
      <c r="A103" s="1288" t="s">
        <v>76</v>
      </c>
      <c r="B103" s="1289">
        <v>408</v>
      </c>
      <c r="C103" s="324"/>
      <c r="D103" s="324"/>
      <c r="E103" s="324"/>
      <c r="F103" s="324"/>
    </row>
    <row r="104" spans="1:6">
      <c r="A104" s="1288" t="s">
        <v>77</v>
      </c>
      <c r="B104" s="1289">
        <v>2212</v>
      </c>
      <c r="C104" s="324"/>
      <c r="D104" s="324"/>
      <c r="E104" s="324"/>
      <c r="F104" s="324"/>
    </row>
    <row r="105" spans="1:6">
      <c r="A105" s="1283" t="s">
        <v>78</v>
      </c>
      <c r="B105" s="1291">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0" t="s">
        <v>635</v>
      </c>
      <c r="B108" s="325" t="s">
        <v>381</v>
      </c>
      <c r="C108" s="325" t="s">
        <v>395</v>
      </c>
      <c r="D108" s="325"/>
      <c r="E108" s="325"/>
      <c r="F108" s="329"/>
    </row>
    <row r="109" spans="1:6" ht="16.5" thickTop="1" thickBot="1">
      <c r="A109" s="1285" t="s">
        <v>4</v>
      </c>
      <c r="B109" s="1286" t="s">
        <v>5</v>
      </c>
      <c r="C109" s="1286"/>
      <c r="D109" s="1286"/>
      <c r="E109" s="1286"/>
      <c r="F109" s="1287"/>
    </row>
    <row r="110" spans="1:6">
      <c r="A110" s="1288" t="s">
        <v>636</v>
      </c>
      <c r="B110" s="1289">
        <v>0</v>
      </c>
      <c r="C110" s="324"/>
      <c r="D110" s="324"/>
      <c r="E110" s="324"/>
      <c r="F110" s="324"/>
    </row>
    <row r="111" spans="1:6">
      <c r="A111" s="1306" t="s">
        <v>637</v>
      </c>
      <c r="B111" s="1307">
        <v>0</v>
      </c>
      <c r="C111" s="1310"/>
      <c r="D111" s="1310"/>
      <c r="E111" s="1310"/>
      <c r="F111" s="1310"/>
    </row>
    <row r="112" spans="1:6">
      <c r="A112" s="1288"/>
      <c r="B112" s="324"/>
      <c r="C112" s="324"/>
      <c r="D112" s="324"/>
      <c r="E112" s="324"/>
      <c r="F112" s="324"/>
    </row>
    <row r="113" spans="1:6" ht="15.75" thickBot="1">
      <c r="A113" s="1283"/>
      <c r="B113" s="327"/>
      <c r="C113" s="327"/>
      <c r="D113" s="327"/>
      <c r="E113" s="327"/>
      <c r="F113" s="327"/>
    </row>
    <row r="114" spans="1:6" ht="20.25" thickBot="1">
      <c r="A114" s="1280" t="s">
        <v>79</v>
      </c>
      <c r="B114" s="325" t="s">
        <v>381</v>
      </c>
      <c r="C114" s="325" t="s">
        <v>395</v>
      </c>
      <c r="D114" s="325"/>
      <c r="E114" s="325"/>
      <c r="F114" s="329"/>
    </row>
    <row r="115" spans="1:6" ht="16.5" thickTop="1" thickBot="1">
      <c r="A115" s="332"/>
      <c r="B115" s="333" t="s">
        <v>80</v>
      </c>
      <c r="C115" s="333" t="s">
        <v>81</v>
      </c>
      <c r="D115" s="333"/>
      <c r="E115" s="333"/>
      <c r="F115" s="334"/>
    </row>
    <row r="116" spans="1:6" ht="16.5" thickTop="1" thickBot="1">
      <c r="A116" s="1285" t="s">
        <v>4</v>
      </c>
      <c r="B116" s="1286" t="s">
        <v>5</v>
      </c>
      <c r="C116" s="1286" t="s">
        <v>5</v>
      </c>
      <c r="D116" s="1286"/>
      <c r="E116" s="1286"/>
      <c r="F116" s="1287"/>
    </row>
    <row r="117" spans="1:6">
      <c r="A117" s="1288" t="s">
        <v>82</v>
      </c>
      <c r="B117" s="1289">
        <v>0</v>
      </c>
      <c r="C117" s="1289">
        <v>0</v>
      </c>
      <c r="D117" s="324"/>
      <c r="E117" s="324"/>
      <c r="F117" s="324"/>
    </row>
    <row r="118" spans="1:6">
      <c r="A118" s="1288" t="s">
        <v>83</v>
      </c>
      <c r="B118" s="1289">
        <v>0</v>
      </c>
      <c r="C118" s="1289">
        <v>0</v>
      </c>
      <c r="D118" s="324"/>
      <c r="E118" s="324"/>
      <c r="F118" s="324"/>
    </row>
    <row r="119" spans="1:6">
      <c r="A119" s="1288" t="s">
        <v>31</v>
      </c>
      <c r="B119" s="1289">
        <v>0</v>
      </c>
      <c r="C119" s="1289">
        <v>0</v>
      </c>
      <c r="D119" s="324"/>
      <c r="E119" s="324"/>
      <c r="F119" s="324"/>
    </row>
    <row r="120" spans="1:6">
      <c r="A120" s="1288" t="s">
        <v>84</v>
      </c>
      <c r="B120" s="1289">
        <v>0</v>
      </c>
      <c r="C120" s="1289">
        <v>0</v>
      </c>
      <c r="D120" s="324"/>
      <c r="E120" s="324"/>
      <c r="F120" s="324"/>
    </row>
    <row r="121" spans="1:6">
      <c r="A121" s="1288" t="s">
        <v>85</v>
      </c>
      <c r="B121" s="1289">
        <v>0</v>
      </c>
      <c r="C121" s="1289">
        <v>0</v>
      </c>
      <c r="D121" s="324"/>
      <c r="E121" s="324"/>
      <c r="F121" s="324"/>
    </row>
    <row r="122" spans="1:6">
      <c r="A122" s="1288" t="s">
        <v>86</v>
      </c>
      <c r="B122" s="1289">
        <v>0</v>
      </c>
      <c r="C122" s="1289">
        <v>0</v>
      </c>
      <c r="D122" s="324"/>
      <c r="E122" s="324"/>
      <c r="F122" s="324"/>
    </row>
    <row r="123" spans="1:6">
      <c r="A123" s="1288" t="s">
        <v>87</v>
      </c>
      <c r="B123" s="1289">
        <v>39</v>
      </c>
      <c r="C123" s="1289">
        <v>22</v>
      </c>
      <c r="D123" s="324"/>
      <c r="E123" s="324"/>
      <c r="F123" s="324"/>
    </row>
    <row r="124" spans="1:6">
      <c r="A124" s="1288" t="s">
        <v>88</v>
      </c>
      <c r="B124" s="1289">
        <v>0</v>
      </c>
      <c r="C124" s="1289">
        <v>0</v>
      </c>
      <c r="D124" s="324"/>
      <c r="E124" s="324"/>
      <c r="F124" s="324"/>
    </row>
    <row r="125" spans="1:6">
      <c r="A125" s="1283" t="s">
        <v>860</v>
      </c>
      <c r="B125" s="1289">
        <v>0</v>
      </c>
      <c r="C125" s="1289">
        <v>0</v>
      </c>
      <c r="D125" s="324"/>
      <c r="E125" s="324"/>
      <c r="F125" s="324"/>
    </row>
    <row r="126" spans="1:6" ht="15.75" thickBot="1">
      <c r="A126" s="1303"/>
      <c r="B126" s="324"/>
      <c r="C126" s="324"/>
      <c r="D126" s="324"/>
      <c r="E126" s="324"/>
      <c r="F126" s="324"/>
    </row>
    <row r="127" spans="1:6" ht="20.25" thickBot="1">
      <c r="A127" s="1280" t="s">
        <v>282</v>
      </c>
      <c r="B127" s="325" t="s">
        <v>381</v>
      </c>
      <c r="C127" s="325" t="s">
        <v>395</v>
      </c>
      <c r="D127" s="325"/>
      <c r="E127" s="325"/>
      <c r="F127" s="329"/>
    </row>
    <row r="128" spans="1:6" ht="16.5" thickTop="1" thickBot="1">
      <c r="A128" s="1285" t="s">
        <v>4</v>
      </c>
      <c r="B128" s="1286" t="s">
        <v>5</v>
      </c>
      <c r="C128" s="1286"/>
      <c r="D128" s="1286"/>
      <c r="E128" s="1286"/>
      <c r="F128" s="1287"/>
    </row>
    <row r="129" spans="1:6">
      <c r="A129" s="1288" t="s">
        <v>283</v>
      </c>
      <c r="B129" s="1289">
        <v>147</v>
      </c>
      <c r="C129" s="324"/>
      <c r="D129" s="324"/>
      <c r="E129" s="324"/>
      <c r="F129" s="324"/>
    </row>
    <row r="130" spans="1:6">
      <c r="A130" s="1288" t="s">
        <v>284</v>
      </c>
      <c r="B130" s="1289">
        <v>3</v>
      </c>
      <c r="C130" s="324"/>
      <c r="D130" s="324"/>
      <c r="E130" s="324"/>
      <c r="F130" s="324"/>
    </row>
    <row r="131" spans="1:6">
      <c r="A131" s="1288" t="s">
        <v>285</v>
      </c>
      <c r="B131" s="1289">
        <v>2</v>
      </c>
      <c r="C131" s="324"/>
      <c r="D131" s="324"/>
      <c r="E131" s="324"/>
      <c r="F131" s="324"/>
    </row>
    <row r="132" spans="1:6">
      <c r="A132" s="1283" t="s">
        <v>286</v>
      </c>
      <c r="B132" s="1284">
        <v>23</v>
      </c>
      <c r="C132" s="327"/>
      <c r="D132" s="327"/>
      <c r="E132" s="327"/>
      <c r="F132" s="327"/>
    </row>
    <row r="133" spans="1:6">
      <c r="A133" s="324"/>
      <c r="B133" s="324"/>
      <c r="C133" s="324"/>
      <c r="D133" s="324"/>
      <c r="E133" s="324"/>
      <c r="F133" s="324"/>
    </row>
    <row r="134" spans="1:6">
      <c r="A134" s="1305"/>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861</v>
      </c>
      <c r="B2" s="498"/>
      <c r="E2" s="627"/>
      <c r="F2" s="627"/>
    </row>
    <row r="3" spans="1:12">
      <c r="A3" s="44"/>
      <c r="B3" s="498"/>
      <c r="E3" s="627"/>
      <c r="F3" s="627"/>
    </row>
    <row r="4" spans="1:12" ht="18">
      <c r="A4" s="137" t="s">
        <v>174</v>
      </c>
      <c r="B4" s="499" t="s">
        <v>375</v>
      </c>
      <c r="E4" s="627"/>
      <c r="F4" s="627"/>
    </row>
    <row r="5" spans="1:12" ht="21">
      <c r="A5" s="116" t="s">
        <v>176</v>
      </c>
      <c r="B5" s="500"/>
      <c r="E5" s="868"/>
      <c r="F5" s="869"/>
      <c r="G5" s="879"/>
      <c r="H5" s="879"/>
      <c r="I5" s="9"/>
      <c r="J5" s="9"/>
    </row>
    <row r="6" spans="1:12">
      <c r="A6" s="117" t="s">
        <v>177</v>
      </c>
      <c r="B6" s="501">
        <v>4.0513950503279288</v>
      </c>
      <c r="E6" s="870"/>
      <c r="F6" s="870"/>
      <c r="G6" s="880"/>
      <c r="H6" s="880"/>
      <c r="I6" s="10"/>
      <c r="J6" s="10"/>
      <c r="K6" s="10"/>
      <c r="L6" s="10"/>
    </row>
    <row r="7" spans="1:12">
      <c r="A7" s="117" t="s">
        <v>6</v>
      </c>
      <c r="B7" s="501">
        <v>124.35430923372053</v>
      </c>
      <c r="E7" s="627"/>
      <c r="F7" s="627"/>
      <c r="G7" s="881"/>
      <c r="H7" s="881"/>
      <c r="K7" s="10"/>
      <c r="L7" s="10"/>
    </row>
    <row r="8" spans="1:12">
      <c r="A8" s="117" t="s">
        <v>7</v>
      </c>
      <c r="B8" s="501">
        <v>69.052164792078656</v>
      </c>
      <c r="E8" s="627"/>
      <c r="F8" s="627"/>
      <c r="G8" s="881"/>
      <c r="H8" s="881"/>
      <c r="K8" s="10"/>
      <c r="L8" s="10"/>
    </row>
    <row r="9" spans="1:12">
      <c r="A9" s="117" t="s">
        <v>8</v>
      </c>
      <c r="B9" s="501">
        <v>31.909886478760505</v>
      </c>
      <c r="E9" s="870"/>
      <c r="F9" s="870"/>
      <c r="G9" s="880"/>
      <c r="H9" s="880"/>
      <c r="I9" s="10"/>
      <c r="J9" s="10"/>
      <c r="K9" s="10"/>
      <c r="L9" s="10"/>
    </row>
    <row r="10" spans="1:12">
      <c r="A10" s="117" t="s">
        <v>9</v>
      </c>
      <c r="B10" s="501">
        <v>47.900718217356051</v>
      </c>
      <c r="E10" s="871"/>
      <c r="F10" s="871"/>
      <c r="G10" s="882"/>
      <c r="H10" s="882"/>
      <c r="I10" s="11"/>
      <c r="J10" s="11"/>
      <c r="K10" s="10"/>
      <c r="L10" s="10"/>
    </row>
    <row r="11" spans="1:12">
      <c r="A11" s="117" t="s">
        <v>10</v>
      </c>
      <c r="B11" s="501">
        <v>41.361552447157969</v>
      </c>
      <c r="E11" s="627"/>
      <c r="F11" s="871"/>
      <c r="G11" s="882"/>
      <c r="H11" s="882"/>
      <c r="I11" s="11"/>
      <c r="J11" s="11"/>
      <c r="K11" s="10"/>
      <c r="L11" s="10"/>
    </row>
    <row r="12" spans="1:12">
      <c r="A12" s="118" t="s">
        <v>16</v>
      </c>
      <c r="B12" s="501">
        <v>8</v>
      </c>
      <c r="E12" s="871"/>
      <c r="F12" s="870"/>
      <c r="G12" s="880"/>
      <c r="H12" s="880"/>
      <c r="I12" s="10"/>
      <c r="J12" s="10"/>
      <c r="K12" s="10"/>
      <c r="L12" s="10"/>
    </row>
    <row r="13" spans="1:12">
      <c r="A13" s="118" t="s">
        <v>17</v>
      </c>
      <c r="B13" s="501">
        <v>5</v>
      </c>
      <c r="E13" s="870"/>
      <c r="F13" s="870"/>
      <c r="G13" s="880"/>
      <c r="H13" s="880"/>
      <c r="I13" s="10"/>
      <c r="J13" s="10"/>
      <c r="K13" s="10"/>
      <c r="L13" s="10"/>
    </row>
    <row r="14" spans="1:12">
      <c r="A14" s="118" t="s">
        <v>178</v>
      </c>
      <c r="B14" s="501">
        <v>1.5</v>
      </c>
      <c r="E14" s="870"/>
      <c r="F14" s="870"/>
      <c r="G14" s="880"/>
      <c r="H14" s="880"/>
      <c r="I14" s="10"/>
      <c r="J14" s="10"/>
      <c r="K14" s="10"/>
      <c r="L14" s="10"/>
    </row>
    <row r="15" spans="1:12">
      <c r="A15" s="118" t="s">
        <v>179</v>
      </c>
      <c r="B15" s="501">
        <v>18</v>
      </c>
      <c r="E15" s="870"/>
      <c r="F15" s="870"/>
      <c r="G15" s="880"/>
      <c r="H15" s="880"/>
      <c r="I15" s="10"/>
      <c r="J15" s="10"/>
      <c r="K15" s="10"/>
      <c r="L15" s="10"/>
    </row>
    <row r="16" spans="1:12">
      <c r="A16" s="118" t="s">
        <v>180</v>
      </c>
      <c r="B16" s="502">
        <v>10</v>
      </c>
      <c r="E16" s="870"/>
      <c r="F16" s="870"/>
      <c r="G16" s="880"/>
      <c r="H16" s="880"/>
      <c r="I16" s="10"/>
      <c r="J16" s="10"/>
      <c r="K16" s="10"/>
      <c r="L16" s="10"/>
    </row>
    <row r="17" spans="1:12" s="43" customFormat="1" ht="15.75" thickBot="1">
      <c r="A17" s="119"/>
      <c r="B17" s="503"/>
      <c r="E17" s="872"/>
      <c r="F17" s="872"/>
      <c r="G17" s="154"/>
      <c r="H17" s="154"/>
      <c r="I17" s="154"/>
      <c r="J17" s="154"/>
      <c r="K17" s="154"/>
      <c r="L17" s="154"/>
    </row>
    <row r="18" spans="1:12" s="43" customFormat="1" ht="15.75" thickBot="1">
      <c r="A18" s="192"/>
      <c r="B18" s="504"/>
      <c r="E18" s="872"/>
      <c r="F18" s="872"/>
      <c r="G18" s="154"/>
      <c r="H18" s="154"/>
      <c r="I18" s="154"/>
      <c r="J18" s="154"/>
      <c r="K18" s="154"/>
      <c r="L18" s="154"/>
    </row>
    <row r="19" spans="1:12" ht="18.75" thickBot="1">
      <c r="A19" s="121" t="s">
        <v>181</v>
      </c>
      <c r="B19" s="497"/>
      <c r="E19" s="870"/>
      <c r="F19" s="870"/>
      <c r="G19" s="10"/>
      <c r="H19" s="10"/>
      <c r="I19" s="10"/>
      <c r="J19" s="10"/>
      <c r="K19" s="10"/>
      <c r="L19" s="10"/>
    </row>
    <row r="20" spans="1:12">
      <c r="A20" s="44" t="s">
        <v>861</v>
      </c>
      <c r="B20" s="498"/>
      <c r="E20" s="870"/>
      <c r="F20" s="870"/>
      <c r="G20" s="10"/>
      <c r="H20" s="10"/>
      <c r="I20" s="10"/>
      <c r="J20" s="10"/>
      <c r="K20" s="10"/>
      <c r="L20" s="10"/>
    </row>
    <row r="21" spans="1:12">
      <c r="A21" s="44"/>
      <c r="B21" s="498"/>
      <c r="E21" s="870"/>
      <c r="F21" s="870"/>
      <c r="G21" s="10"/>
      <c r="H21" s="10"/>
      <c r="I21" s="10"/>
      <c r="J21" s="10"/>
      <c r="K21" s="10"/>
      <c r="L21" s="10"/>
    </row>
    <row r="22" spans="1:12" ht="18">
      <c r="A22" s="138" t="s">
        <v>174</v>
      </c>
      <c r="B22" s="505" t="s">
        <v>375</v>
      </c>
      <c r="E22" s="870"/>
      <c r="F22" s="870"/>
      <c r="G22" s="10"/>
      <c r="H22" s="10"/>
      <c r="I22" s="10"/>
      <c r="J22" s="10"/>
      <c r="K22" s="10"/>
      <c r="L22" s="10"/>
    </row>
    <row r="23" spans="1:12" s="72" customFormat="1">
      <c r="A23" s="118" t="s">
        <v>176</v>
      </c>
      <c r="B23" s="501">
        <v>8.9909283006617677</v>
      </c>
      <c r="E23" s="873"/>
      <c r="F23" s="873"/>
      <c r="G23" s="883"/>
      <c r="H23" s="883"/>
    </row>
    <row r="24" spans="1:12">
      <c r="A24" s="117" t="s">
        <v>177</v>
      </c>
      <c r="B24" s="501">
        <v>4.2231090152811745</v>
      </c>
      <c r="E24" s="870"/>
      <c r="F24" s="870"/>
      <c r="G24" s="880"/>
      <c r="H24" s="880"/>
      <c r="I24" s="10"/>
      <c r="J24" s="10"/>
      <c r="K24" s="10"/>
      <c r="L24" s="10"/>
    </row>
    <row r="25" spans="1:12">
      <c r="A25" s="117" t="s">
        <v>6</v>
      </c>
      <c r="B25" s="501">
        <v>30.922150125677359</v>
      </c>
      <c r="E25" s="870"/>
      <c r="F25" s="870"/>
      <c r="G25" s="880"/>
      <c r="H25" s="880"/>
      <c r="I25" s="10"/>
      <c r="J25" s="10"/>
      <c r="K25" s="10"/>
      <c r="L25" s="10"/>
    </row>
    <row r="26" spans="1:12">
      <c r="A26" s="117" t="s">
        <v>7</v>
      </c>
      <c r="B26" s="501">
        <v>1.9445658785242814</v>
      </c>
      <c r="E26" s="870"/>
      <c r="F26" s="870"/>
      <c r="G26" s="880"/>
      <c r="H26" s="880"/>
      <c r="I26" s="10"/>
      <c r="J26" s="10"/>
      <c r="K26" s="10"/>
      <c r="L26" s="10"/>
    </row>
    <row r="27" spans="1:12">
      <c r="A27" s="117" t="s">
        <v>8</v>
      </c>
      <c r="B27" s="501">
        <v>1.1993683996109175</v>
      </c>
      <c r="E27" s="870"/>
      <c r="F27" s="870"/>
      <c r="G27" s="880"/>
      <c r="H27" s="880"/>
      <c r="I27" s="10"/>
      <c r="J27" s="10"/>
      <c r="K27" s="10"/>
      <c r="L27" s="10"/>
    </row>
    <row r="28" spans="1:12">
      <c r="A28" s="117" t="s">
        <v>9</v>
      </c>
      <c r="B28" s="501">
        <v>5.0655067831320864</v>
      </c>
      <c r="E28" s="870"/>
      <c r="F28" s="870"/>
      <c r="G28" s="880"/>
      <c r="H28" s="880"/>
      <c r="I28" s="10"/>
      <c r="J28" s="10"/>
      <c r="K28" s="10"/>
      <c r="L28" s="10"/>
    </row>
    <row r="29" spans="1:12">
      <c r="A29" s="117" t="s">
        <v>10</v>
      </c>
      <c r="B29" s="501">
        <v>3.3232292777158938</v>
      </c>
      <c r="E29" s="870"/>
      <c r="F29" s="870"/>
      <c r="G29" s="880"/>
      <c r="H29" s="880"/>
      <c r="I29" s="10"/>
      <c r="J29" s="10"/>
      <c r="K29" s="10"/>
      <c r="L29" s="10"/>
    </row>
    <row r="30" spans="1:12">
      <c r="A30" s="118" t="s">
        <v>178</v>
      </c>
      <c r="B30" s="501">
        <v>4.4609056123055773</v>
      </c>
      <c r="E30" s="870"/>
      <c r="F30" s="870"/>
      <c r="G30" s="880"/>
      <c r="H30" s="880"/>
      <c r="I30" s="10"/>
      <c r="J30" s="10"/>
      <c r="K30" s="10"/>
      <c r="L30" s="10"/>
    </row>
    <row r="31" spans="1:12">
      <c r="A31" s="117" t="s">
        <v>11</v>
      </c>
      <c r="B31" s="501">
        <v>1.6075002802320004</v>
      </c>
      <c r="E31" s="870"/>
      <c r="F31" s="870"/>
      <c r="G31" s="880"/>
      <c r="H31" s="880"/>
      <c r="I31" s="10"/>
      <c r="J31" s="10"/>
      <c r="K31" s="10"/>
      <c r="L31" s="10"/>
    </row>
    <row r="32" spans="1:12">
      <c r="A32" s="117" t="s">
        <v>12</v>
      </c>
      <c r="B32" s="501">
        <v>4.8225008406960006</v>
      </c>
      <c r="E32" s="870"/>
      <c r="F32" s="870"/>
      <c r="G32" s="880"/>
      <c r="H32" s="880"/>
      <c r="I32" s="10"/>
      <c r="J32" s="10"/>
      <c r="K32" s="10"/>
      <c r="L32" s="10"/>
    </row>
    <row r="33" spans="1:14">
      <c r="A33" s="117" t="s">
        <v>13</v>
      </c>
      <c r="B33" s="501">
        <v>6.3685027042560023</v>
      </c>
      <c r="E33" s="870"/>
      <c r="F33" s="870"/>
      <c r="G33" s="880"/>
      <c r="H33" s="880"/>
      <c r="I33" s="10"/>
      <c r="J33" s="10"/>
      <c r="K33" s="10"/>
      <c r="L33" s="10"/>
    </row>
    <row r="34" spans="1:14">
      <c r="A34" s="117" t="s">
        <v>14</v>
      </c>
      <c r="B34" s="501">
        <v>4.6362973013280016</v>
      </c>
      <c r="E34" s="870"/>
      <c r="F34" s="870"/>
      <c r="G34" s="880"/>
      <c r="H34" s="880"/>
      <c r="I34" s="10"/>
      <c r="J34" s="10"/>
      <c r="K34" s="10"/>
      <c r="L34" s="10"/>
    </row>
    <row r="35" spans="1:14">
      <c r="A35" s="117" t="s">
        <v>15</v>
      </c>
      <c r="B35" s="501">
        <v>12.338973989496003</v>
      </c>
      <c r="E35" s="870"/>
      <c r="F35" s="870"/>
      <c r="G35" s="880"/>
      <c r="H35" s="880"/>
      <c r="I35" s="10"/>
      <c r="J35" s="10"/>
      <c r="K35" s="10"/>
      <c r="L35" s="10"/>
    </row>
    <row r="36" spans="1:14">
      <c r="A36" s="118" t="s">
        <v>16</v>
      </c>
      <c r="B36" s="501">
        <v>0.19</v>
      </c>
      <c r="E36" s="870"/>
      <c r="F36" s="870"/>
      <c r="G36" s="880"/>
      <c r="H36" s="880"/>
      <c r="I36" s="10"/>
      <c r="J36" s="10"/>
      <c r="K36" s="10"/>
      <c r="L36" s="10"/>
    </row>
    <row r="37" spans="1:14">
      <c r="A37" s="118" t="s">
        <v>17</v>
      </c>
      <c r="B37" s="501">
        <v>0.13</v>
      </c>
      <c r="E37" s="627"/>
      <c r="F37" s="627"/>
      <c r="G37" s="881"/>
      <c r="H37" s="881"/>
    </row>
    <row r="38" spans="1:14">
      <c r="A38" s="118" t="s">
        <v>179</v>
      </c>
      <c r="B38" s="501">
        <v>1.5600000000000003</v>
      </c>
      <c r="E38" s="627"/>
      <c r="F38" s="627"/>
      <c r="G38" s="881"/>
      <c r="H38" s="881"/>
    </row>
    <row r="39" spans="1:14">
      <c r="A39" s="118" t="s">
        <v>180</v>
      </c>
      <c r="B39" s="501">
        <v>0.76</v>
      </c>
      <c r="E39" s="627"/>
      <c r="F39" s="627"/>
      <c r="G39" s="881"/>
      <c r="H39" s="881"/>
    </row>
    <row r="40" spans="1:14">
      <c r="A40" s="118" t="s">
        <v>18</v>
      </c>
      <c r="B40" s="502">
        <v>2.3578179597688972E-2</v>
      </c>
      <c r="E40" s="627"/>
      <c r="F40" s="627"/>
      <c r="G40" s="881"/>
      <c r="H40" s="881"/>
    </row>
    <row r="41" spans="1:14" ht="15.75" thickBot="1">
      <c r="A41" s="119"/>
      <c r="B41" s="506"/>
      <c r="E41" s="627"/>
      <c r="F41" s="627"/>
    </row>
    <row r="42" spans="1:14" s="43" customFormat="1" ht="15.75" thickBot="1">
      <c r="A42" s="193"/>
      <c r="B42" s="504"/>
      <c r="E42" s="874"/>
      <c r="F42" s="874"/>
      <c r="G42" s="194"/>
      <c r="H42" s="194"/>
      <c r="I42" s="194"/>
      <c r="J42" s="194"/>
      <c r="K42" s="194"/>
      <c r="L42" s="194"/>
      <c r="M42" s="194"/>
      <c r="N42" s="194"/>
    </row>
    <row r="43" spans="1:14" ht="15.75" thickBot="1">
      <c r="A43" s="121" t="s">
        <v>182</v>
      </c>
      <c r="B43" s="507"/>
      <c r="E43" s="627"/>
      <c r="F43" s="627"/>
    </row>
    <row r="44" spans="1:14">
      <c r="A44" s="44" t="s">
        <v>686</v>
      </c>
      <c r="B44" s="498"/>
      <c r="E44" s="627"/>
      <c r="F44" s="627"/>
    </row>
    <row r="45" spans="1:14">
      <c r="A45" s="44"/>
      <c r="B45" s="498"/>
      <c r="E45" s="627"/>
      <c r="F45" s="627"/>
    </row>
    <row r="46" spans="1:14" ht="18">
      <c r="A46" s="137" t="s">
        <v>183</v>
      </c>
      <c r="B46" s="499" t="s">
        <v>565</v>
      </c>
      <c r="E46" s="627"/>
      <c r="F46" s="627"/>
    </row>
    <row r="47" spans="1:14">
      <c r="A47" s="116" t="s">
        <v>184</v>
      </c>
      <c r="B47" s="508">
        <v>0.89674432482591948</v>
      </c>
      <c r="E47" s="627"/>
      <c r="F47" s="627"/>
    </row>
    <row r="48" spans="1:14">
      <c r="A48" s="118" t="s">
        <v>185</v>
      </c>
      <c r="B48" s="501">
        <v>0.91973434485529515</v>
      </c>
      <c r="E48" s="627"/>
      <c r="F48" s="627"/>
    </row>
    <row r="49" spans="1:12">
      <c r="A49" s="118" t="s">
        <v>178</v>
      </c>
      <c r="B49" s="501">
        <v>3.0877193202846927E-2</v>
      </c>
      <c r="E49" s="627"/>
      <c r="F49" s="627"/>
    </row>
    <row r="50" spans="1:12">
      <c r="A50" s="118" t="s">
        <v>18</v>
      </c>
      <c r="B50" s="501">
        <v>9.5501620569307048E-4</v>
      </c>
      <c r="E50" s="870"/>
      <c r="F50" s="870"/>
      <c r="G50" s="10"/>
      <c r="H50" s="10"/>
      <c r="I50" s="10"/>
      <c r="J50" s="10"/>
      <c r="K50" s="10"/>
      <c r="L50" s="10"/>
    </row>
    <row r="51" spans="1:12">
      <c r="A51" s="118" t="s">
        <v>16</v>
      </c>
      <c r="B51" s="501">
        <v>6.4577115766632142E-3</v>
      </c>
      <c r="E51" s="870"/>
      <c r="F51" s="870"/>
      <c r="G51" s="10"/>
      <c r="H51" s="10"/>
      <c r="I51" s="10"/>
      <c r="J51" s="10"/>
      <c r="K51" s="10"/>
      <c r="L51" s="10"/>
    </row>
    <row r="52" spans="1:12" ht="15.75" thickBot="1">
      <c r="A52" s="119" t="s">
        <v>120</v>
      </c>
      <c r="B52" s="509">
        <v>9.5369064624692981E-2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616</v>
      </c>
      <c r="B1" s="512"/>
      <c r="C1" s="513"/>
    </row>
    <row r="2" spans="1:3" s="324" customFormat="1">
      <c r="A2" s="362"/>
      <c r="B2" s="478"/>
      <c r="C2" s="515"/>
    </row>
    <row r="3" spans="1:3" s="324" customFormat="1">
      <c r="A3" s="360"/>
      <c r="B3" s="516">
        <v>2015</v>
      </c>
      <c r="C3" s="363" t="s">
        <v>175</v>
      </c>
    </row>
    <row r="4" spans="1:3">
      <c r="A4" s="120" t="s">
        <v>290</v>
      </c>
      <c r="B4" s="517">
        <f>4443371.28968977/1000</f>
        <v>4443.3712896897696</v>
      </c>
      <c r="C4" s="139" t="s">
        <v>687</v>
      </c>
    </row>
    <row r="5" spans="1:3" ht="15.75" thickBot="1">
      <c r="A5" s="892" t="s">
        <v>615</v>
      </c>
      <c r="B5" s="895">
        <v>673536</v>
      </c>
      <c r="C5" s="896" t="s">
        <v>668</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433</v>
      </c>
      <c r="B1" s="359"/>
    </row>
    <row r="2" spans="1:2" s="324" customFormat="1">
      <c r="A2" s="350"/>
      <c r="B2" s="357"/>
    </row>
    <row r="3" spans="1:2" s="324" customFormat="1" ht="18">
      <c r="A3" s="360"/>
      <c r="B3" s="361" t="s">
        <v>436</v>
      </c>
    </row>
    <row r="4" spans="1:2" ht="18">
      <c r="A4" s="120" t="s">
        <v>434</v>
      </c>
      <c r="B4" s="518">
        <v>310</v>
      </c>
    </row>
    <row r="5" spans="1:2" ht="18.75" thickBot="1">
      <c r="A5" s="115" t="s">
        <v>435</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423</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424</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475</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493</v>
      </c>
      <c r="B3" s="49">
        <f ca="1">IF(ISERROR('SEAP template'!C27),0,'SEAP template'!C27)</f>
        <v>135766.10358885681</v>
      </c>
      <c r="C3" s="43" t="s">
        <v>163</v>
      </c>
      <c r="D3" s="43"/>
      <c r="E3" s="154"/>
      <c r="F3" s="43"/>
      <c r="G3" s="43"/>
      <c r="H3" s="43"/>
      <c r="I3" s="43"/>
      <c r="J3" s="43"/>
      <c r="K3" s="96"/>
    </row>
    <row r="4" spans="1:11">
      <c r="A4" s="350" t="s">
        <v>164</v>
      </c>
      <c r="B4" s="49">
        <f>IF(ISERROR('SEAP template'!B78+'SEAP template'!C78),0,'SEAP template'!B78+'SEAP template'!C78)</f>
        <v>16687.597598154047</v>
      </c>
      <c r="C4" s="43" t="s">
        <v>163</v>
      </c>
      <c r="D4" s="43"/>
      <c r="E4" s="43"/>
      <c r="F4" s="43"/>
      <c r="G4" s="43"/>
      <c r="H4" s="43"/>
      <c r="I4" s="43"/>
      <c r="J4" s="43"/>
      <c r="K4" s="96"/>
    </row>
    <row r="5" spans="1:11">
      <c r="A5" s="350" t="s">
        <v>526</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900">
        <v>0.221</v>
      </c>
      <c r="F6" s="43" t="s">
        <v>739</v>
      </c>
      <c r="G6" s="43" t="s">
        <v>753</v>
      </c>
      <c r="H6" s="43"/>
      <c r="I6" s="43"/>
      <c r="J6" s="43"/>
      <c r="K6" s="96"/>
    </row>
    <row r="7" spans="1:11">
      <c r="A7" s="350"/>
      <c r="B7" s="443"/>
      <c r="C7" s="43"/>
      <c r="D7" s="43"/>
      <c r="E7" s="43"/>
      <c r="F7" s="48"/>
      <c r="G7" s="43"/>
      <c r="H7" s="43"/>
      <c r="I7" s="43"/>
      <c r="J7" s="43"/>
      <c r="K7" s="96"/>
    </row>
    <row r="8" spans="1:11">
      <c r="A8" s="350"/>
      <c r="B8" s="443"/>
      <c r="C8" s="43"/>
      <c r="D8" s="43"/>
      <c r="E8" s="43"/>
      <c r="F8" s="48"/>
      <c r="G8" s="43"/>
      <c r="H8" s="899"/>
      <c r="I8" s="155"/>
      <c r="J8" s="43"/>
      <c r="K8" s="96"/>
    </row>
    <row r="9" spans="1:11">
      <c r="A9" s="350" t="s">
        <v>168</v>
      </c>
      <c r="B9" s="49">
        <f>IF(ISERROR('SEAP template'!Q78),0,'SEAP template'!Q78)</f>
        <v>0</v>
      </c>
      <c r="C9" s="43" t="s">
        <v>167</v>
      </c>
      <c r="D9" s="43"/>
      <c r="E9" s="43"/>
      <c r="F9" s="43"/>
      <c r="G9" s="43"/>
      <c r="H9" s="43"/>
      <c r="I9" s="43"/>
      <c r="J9" s="43"/>
      <c r="K9" s="96"/>
    </row>
    <row r="10" spans="1:11">
      <c r="A10" s="350" t="s">
        <v>398</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0.19383593642518931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476</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494</v>
      </c>
      <c r="B20" s="49">
        <f ca="1">IF(ISERROR('SEAP template'!D27),0,('SEAP template'!D27))</f>
        <v>62.357142857142847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667</v>
      </c>
      <c r="B1" s="855" t="s">
        <v>297</v>
      </c>
      <c r="C1" s="855" t="s">
        <v>301</v>
      </c>
      <c r="D1" s="855" t="s">
        <v>302</v>
      </c>
      <c r="E1" s="855" t="s">
        <v>303</v>
      </c>
      <c r="F1" s="855" t="s">
        <v>304</v>
      </c>
      <c r="H1" s="1046" t="s">
        <v>873</v>
      </c>
    </row>
    <row r="2" spans="1:8">
      <c r="A2" s="308" t="str">
        <f>CONCATENATE(TableECFTransport[[#This Row],[Voertuigtype]],"_",TableECFTransport[[#This Row],[Wegtype]],"_",TableECFTransport[[#This Row],[Brandstoftechnologie]],"_",TableECFTransport[[#This Row],[Brandstof]])</f>
        <v>Tram_gemiddeld_Electric_Electric</v>
      </c>
      <c r="B2" s="1045" t="s">
        <v>318</v>
      </c>
      <c r="C2" s="1045" t="s">
        <v>329</v>
      </c>
      <c r="D2" s="1045" t="s">
        <v>299</v>
      </c>
      <c r="E2" s="1045" t="s">
        <v>299</v>
      </c>
      <c r="F2" s="1044">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5" t="s">
        <v>650</v>
      </c>
      <c r="C3" s="1045" t="s">
        <v>64</v>
      </c>
      <c r="D3" s="1045" t="s">
        <v>868</v>
      </c>
      <c r="E3" s="1045" t="s">
        <v>869</v>
      </c>
      <c r="F3" s="104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5" t="s">
        <v>650</v>
      </c>
      <c r="C4" s="1045" t="s">
        <v>63</v>
      </c>
      <c r="D4" s="1045" t="s">
        <v>868</v>
      </c>
      <c r="E4" s="1045" t="s">
        <v>869</v>
      </c>
      <c r="F4" s="104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5" t="s">
        <v>650</v>
      </c>
      <c r="C5" s="1045" t="s">
        <v>65</v>
      </c>
      <c r="D5" s="1045" t="s">
        <v>868</v>
      </c>
      <c r="E5" s="1045" t="s">
        <v>869</v>
      </c>
      <c r="F5" s="1044">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5" t="s">
        <v>650</v>
      </c>
      <c r="C6" s="1045" t="s">
        <v>64</v>
      </c>
      <c r="D6" s="1045" t="s">
        <v>299</v>
      </c>
      <c r="E6" s="1045" t="s">
        <v>299</v>
      </c>
      <c r="F6" s="1044">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5" t="s">
        <v>650</v>
      </c>
      <c r="C7" s="1045" t="s">
        <v>63</v>
      </c>
      <c r="D7" s="1045" t="s">
        <v>299</v>
      </c>
      <c r="E7" s="1045" t="s">
        <v>299</v>
      </c>
      <c r="F7" s="1044">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5" t="s">
        <v>650</v>
      </c>
      <c r="C8" s="1045" t="s">
        <v>65</v>
      </c>
      <c r="D8" s="1045" t="s">
        <v>299</v>
      </c>
      <c r="E8" s="1045" t="s">
        <v>299</v>
      </c>
      <c r="F8" s="1044">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5" t="s">
        <v>651</v>
      </c>
      <c r="C9" s="1045" t="s">
        <v>64</v>
      </c>
      <c r="D9" s="1045" t="s">
        <v>299</v>
      </c>
      <c r="E9" s="1045" t="s">
        <v>299</v>
      </c>
      <c r="F9" s="104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5" t="s">
        <v>651</v>
      </c>
      <c r="C10" s="1045" t="s">
        <v>63</v>
      </c>
      <c r="D10" s="1045" t="s">
        <v>299</v>
      </c>
      <c r="E10" s="1045" t="s">
        <v>299</v>
      </c>
      <c r="F10" s="104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5" t="s">
        <v>651</v>
      </c>
      <c r="C11" s="1045" t="s">
        <v>65</v>
      </c>
      <c r="D11" s="1045" t="s">
        <v>299</v>
      </c>
      <c r="E11" s="1045" t="s">
        <v>299</v>
      </c>
      <c r="F11" s="104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5" t="s">
        <v>666</v>
      </c>
      <c r="C12" s="1045" t="s">
        <v>64</v>
      </c>
      <c r="D12" s="1045" t="s">
        <v>299</v>
      </c>
      <c r="E12" s="1045" t="s">
        <v>299</v>
      </c>
      <c r="F12" s="1044">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5" t="s">
        <v>666</v>
      </c>
      <c r="C13" s="1045" t="s">
        <v>63</v>
      </c>
      <c r="D13" s="1045" t="s">
        <v>299</v>
      </c>
      <c r="E13" s="1045" t="s">
        <v>299</v>
      </c>
      <c r="F13" s="1044">
        <v>4.6800000000000004E-9</v>
      </c>
    </row>
    <row r="14" spans="1:8">
      <c r="A14" s="308" t="str">
        <f>CONCATENATE(TableECFTransport[[#This Row],[Voertuigtype]],"_",TableECFTransport[[#This Row],[Wegtype]],"_",TableECFTransport[[#This Row],[Brandstoftechnologie]],"_",TableECFTransport[[#This Row],[Brandstof]])</f>
        <v>BUS_Snelwegen_Electric_Electric</v>
      </c>
      <c r="B14" s="1045" t="s">
        <v>666</v>
      </c>
      <c r="C14" s="1045" t="s">
        <v>65</v>
      </c>
      <c r="D14" s="1045" t="s">
        <v>299</v>
      </c>
      <c r="E14" s="1045" t="s">
        <v>299</v>
      </c>
      <c r="F14" s="104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5" t="s">
        <v>650</v>
      </c>
      <c r="C15" s="1045" t="s">
        <v>64</v>
      </c>
      <c r="D15" s="1045" t="s">
        <v>298</v>
      </c>
      <c r="E15" s="1045" t="s">
        <v>298</v>
      </c>
      <c r="F15" s="1044">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5" t="s">
        <v>650</v>
      </c>
      <c r="C16" s="1045" t="s">
        <v>63</v>
      </c>
      <c r="D16" s="1045" t="s">
        <v>298</v>
      </c>
      <c r="E16" s="1045" t="s">
        <v>298</v>
      </c>
      <c r="F16" s="1044">
        <v>2.5067029906851706E-9</v>
      </c>
    </row>
    <row r="17" spans="1:7">
      <c r="A17" s="308" t="str">
        <f>CONCATENATE(TableECFTransport[[#This Row],[Voertuigtype]],"_",TableECFTransport[[#This Row],[Wegtype]],"_",TableECFTransport[[#This Row],[Brandstoftechnologie]],"_",TableECFTransport[[#This Row],[Brandstof]])</f>
        <v>Lichte voertuigen_Snelwegen_CNG_CNG</v>
      </c>
      <c r="B17" s="1045" t="s">
        <v>650</v>
      </c>
      <c r="C17" s="1045" t="s">
        <v>65</v>
      </c>
      <c r="D17" s="1045" t="s">
        <v>298</v>
      </c>
      <c r="E17" s="1045" t="s">
        <v>298</v>
      </c>
      <c r="F17" s="1044">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5" t="s">
        <v>650</v>
      </c>
      <c r="C18" s="1045" t="s">
        <v>64</v>
      </c>
      <c r="D18" s="1045" t="s">
        <v>195</v>
      </c>
      <c r="E18" s="1045" t="s">
        <v>195</v>
      </c>
      <c r="F18" s="1044">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5" t="s">
        <v>650</v>
      </c>
      <c r="C19" s="1045" t="s">
        <v>63</v>
      </c>
      <c r="D19" s="1045" t="s">
        <v>195</v>
      </c>
      <c r="E19" s="1045" t="s">
        <v>195</v>
      </c>
      <c r="F19" s="1044">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5" t="s">
        <v>650</v>
      </c>
      <c r="C20" s="1045" t="s">
        <v>65</v>
      </c>
      <c r="D20" s="1045" t="s">
        <v>195</v>
      </c>
      <c r="E20" s="1045" t="s">
        <v>195</v>
      </c>
      <c r="F20" s="1044">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5" t="s">
        <v>650</v>
      </c>
      <c r="C21" s="1045" t="s">
        <v>64</v>
      </c>
      <c r="D21" s="1045" t="s">
        <v>870</v>
      </c>
      <c r="E21" s="1045" t="s">
        <v>195</v>
      </c>
      <c r="F21" s="1044">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5" t="s">
        <v>650</v>
      </c>
      <c r="C22" s="1045" t="s">
        <v>64</v>
      </c>
      <c r="D22" s="1045" t="s">
        <v>870</v>
      </c>
      <c r="E22" s="1045" t="s">
        <v>299</v>
      </c>
      <c r="F22" s="1044">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5" t="s">
        <v>650</v>
      </c>
      <c r="C23" s="1045" t="s">
        <v>63</v>
      </c>
      <c r="D23" s="1045" t="s">
        <v>870</v>
      </c>
      <c r="E23" s="1045" t="s">
        <v>195</v>
      </c>
      <c r="F23" s="1044">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5" t="s">
        <v>650</v>
      </c>
      <c r="C24" s="1045" t="s">
        <v>63</v>
      </c>
      <c r="D24" s="1045" t="s">
        <v>870</v>
      </c>
      <c r="E24" s="1045" t="s">
        <v>299</v>
      </c>
      <c r="F24" s="1044">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5" t="s">
        <v>650</v>
      </c>
      <c r="C25" s="1045" t="s">
        <v>65</v>
      </c>
      <c r="D25" s="1045" t="s">
        <v>870</v>
      </c>
      <c r="E25" s="1045" t="s">
        <v>195</v>
      </c>
      <c r="F25" s="1044">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5" t="s">
        <v>650</v>
      </c>
      <c r="C26" s="1045" t="s">
        <v>65</v>
      </c>
      <c r="D26" s="1045" t="s">
        <v>870</v>
      </c>
      <c r="E26" s="1045" t="s">
        <v>299</v>
      </c>
      <c r="F26" s="1044">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5" t="s">
        <v>650</v>
      </c>
      <c r="C27" s="1045" t="s">
        <v>64</v>
      </c>
      <c r="D27" s="1045" t="s">
        <v>112</v>
      </c>
      <c r="E27" s="1045" t="s">
        <v>112</v>
      </c>
      <c r="F27" s="1044">
        <v>3.682418538192669E-9</v>
      </c>
      <c r="G27" s="876"/>
    </row>
    <row r="28" spans="1:7">
      <c r="A28" s="308" t="str">
        <f>CONCATENATE(TableECFTransport[[#This Row],[Voertuigtype]],"_",TableECFTransport[[#This Row],[Wegtype]],"_",TableECFTransport[[#This Row],[Brandstoftechnologie]],"_",TableECFTransport[[#This Row],[Brandstof]])</f>
        <v>Lichte voertuigen_Genummerde wegen_LPG_LPG</v>
      </c>
      <c r="B28" s="1045" t="s">
        <v>650</v>
      </c>
      <c r="C28" s="1045" t="s">
        <v>63</v>
      </c>
      <c r="D28" s="1045" t="s">
        <v>112</v>
      </c>
      <c r="E28" s="1045" t="s">
        <v>112</v>
      </c>
      <c r="F28" s="1044">
        <v>2.2565605026380015E-9</v>
      </c>
    </row>
    <row r="29" spans="1:7">
      <c r="A29" s="308" t="str">
        <f>CONCATENATE(TableECFTransport[[#This Row],[Voertuigtype]],"_",TableECFTransport[[#This Row],[Wegtype]],"_",TableECFTransport[[#This Row],[Brandstoftechnologie]],"_",TableECFTransport[[#This Row],[Brandstof]])</f>
        <v>Lichte voertuigen_Snelwegen_LPG_LPG</v>
      </c>
      <c r="B29" s="1045" t="s">
        <v>650</v>
      </c>
      <c r="C29" s="1045" t="s">
        <v>65</v>
      </c>
      <c r="D29" s="1045" t="s">
        <v>112</v>
      </c>
      <c r="E29" s="1045" t="s">
        <v>112</v>
      </c>
      <c r="F29" s="1044">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5" t="s">
        <v>650</v>
      </c>
      <c r="C30" s="1045" t="s">
        <v>64</v>
      </c>
      <c r="D30" s="1045" t="s">
        <v>300</v>
      </c>
      <c r="E30" s="1045" t="s">
        <v>300</v>
      </c>
      <c r="F30" s="1044">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5" t="s">
        <v>650</v>
      </c>
      <c r="C31" s="1045" t="s">
        <v>63</v>
      </c>
      <c r="D31" s="1045" t="s">
        <v>300</v>
      </c>
      <c r="E31" s="1045" t="s">
        <v>300</v>
      </c>
      <c r="F31" s="1044">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5" t="s">
        <v>650</v>
      </c>
      <c r="C32" s="1045" t="s">
        <v>65</v>
      </c>
      <c r="D32" s="1045" t="s">
        <v>300</v>
      </c>
      <c r="E32" s="1045" t="s">
        <v>300</v>
      </c>
      <c r="F32" s="1044">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5" t="s">
        <v>650</v>
      </c>
      <c r="C33" s="1045" t="s">
        <v>64</v>
      </c>
      <c r="D33" s="1045" t="s">
        <v>871</v>
      </c>
      <c r="E33" s="1045" t="s">
        <v>300</v>
      </c>
      <c r="F33" s="1044">
        <v>2.7042790174811497E-9</v>
      </c>
    </row>
    <row r="34" spans="1:6">
      <c r="A34" s="1045" t="str">
        <f>CONCATENATE(TableECFTransport[[#This Row],[Voertuigtype]],"_",TableECFTransport[[#This Row],[Wegtype]],"_",TableECFTransport[[#This Row],[Brandstoftechnologie]],"_",TableECFTransport[[#This Row],[Brandstof]])</f>
        <v>Lichte voertuigen_Genummerde wegen_Petrol Hybrid CS_Petrol</v>
      </c>
      <c r="B34" s="1045" t="s">
        <v>650</v>
      </c>
      <c r="C34" s="1045" t="s">
        <v>63</v>
      </c>
      <c r="D34" s="1045" t="s">
        <v>871</v>
      </c>
      <c r="E34" s="1045" t="s">
        <v>300</v>
      </c>
      <c r="F34" s="1044">
        <v>1.4868568370400696E-9</v>
      </c>
    </row>
    <row r="35" spans="1:6">
      <c r="A35" s="1045" t="str">
        <f>CONCATENATE(TableECFTransport[[#This Row],[Voertuigtype]],"_",TableECFTransport[[#This Row],[Wegtype]],"_",TableECFTransport[[#This Row],[Brandstoftechnologie]],"_",TableECFTransport[[#This Row],[Brandstof]])</f>
        <v>Lichte voertuigen_Snelwegen_Petrol Hybrid CS_Petrol</v>
      </c>
      <c r="B35" s="1045" t="s">
        <v>650</v>
      </c>
      <c r="C35" s="1045" t="s">
        <v>65</v>
      </c>
      <c r="D35" s="1045" t="s">
        <v>871</v>
      </c>
      <c r="E35" s="1045" t="s">
        <v>300</v>
      </c>
      <c r="F35" s="1044">
        <v>1.8396357810266299E-9</v>
      </c>
    </row>
    <row r="36" spans="1:6">
      <c r="A36" s="1045" t="str">
        <f>CONCATENATE(TableECFTransport[[#This Row],[Voertuigtype]],"_",TableECFTransport[[#This Row],[Wegtype]],"_",TableECFTransport[[#This Row],[Brandstoftechnologie]],"_",TableECFTransport[[#This Row],[Brandstof]])</f>
        <v>Lichte voertuigen_Niet-genummerde wegen_Petrol Hybrid PHEV_Electric</v>
      </c>
      <c r="B36" s="1045" t="s">
        <v>650</v>
      </c>
      <c r="C36" s="1045" t="s">
        <v>64</v>
      </c>
      <c r="D36" s="1045" t="s">
        <v>872</v>
      </c>
      <c r="E36" s="1045" t="s">
        <v>299</v>
      </c>
      <c r="F36" s="1044">
        <v>6.9346658376234546E-10</v>
      </c>
    </row>
    <row r="37" spans="1:6">
      <c r="A37" s="1045" t="str">
        <f>CONCATENATE(TableECFTransport[[#This Row],[Voertuigtype]],"_",TableECFTransport[[#This Row],[Wegtype]],"_",TableECFTransport[[#This Row],[Brandstoftechnologie]],"_",TableECFTransport[[#This Row],[Brandstof]])</f>
        <v>Lichte voertuigen_Niet-genummerde wegen_Petrol Hybrid PHEV_Petrol</v>
      </c>
      <c r="B37" s="1045" t="s">
        <v>650</v>
      </c>
      <c r="C37" s="1045" t="s">
        <v>64</v>
      </c>
      <c r="D37" s="1045" t="s">
        <v>872</v>
      </c>
      <c r="E37" s="1045" t="s">
        <v>300</v>
      </c>
      <c r="F37" s="1044">
        <v>2.0803997512870363E-9</v>
      </c>
    </row>
    <row r="38" spans="1:6">
      <c r="A38" s="1045" t="str">
        <f>CONCATENATE(TableECFTransport[[#This Row],[Voertuigtype]],"_",TableECFTransport[[#This Row],[Wegtype]],"_",TableECFTransport[[#This Row],[Brandstoftechnologie]],"_",TableECFTransport[[#This Row],[Brandstof]])</f>
        <v>Lichte voertuigen_Genummerde wegen_Petrol Hybrid PHEV_Electric</v>
      </c>
      <c r="B38" s="1045" t="s">
        <v>650</v>
      </c>
      <c r="C38" s="1045" t="s">
        <v>63</v>
      </c>
      <c r="D38" s="1045" t="s">
        <v>872</v>
      </c>
      <c r="E38" s="1045" t="s">
        <v>299</v>
      </c>
      <c r="F38" s="1044">
        <v>3.8986781809578595E-10</v>
      </c>
    </row>
    <row r="39" spans="1:6">
      <c r="A39" s="1045" t="str">
        <f>CONCATENATE(TableECFTransport[[#This Row],[Voertuigtype]],"_",TableECFTransport[[#This Row],[Wegtype]],"_",TableECFTransport[[#This Row],[Brandstoftechnologie]],"_",TableECFTransport[[#This Row],[Brandstof]])</f>
        <v>Lichte voertuigen_Genummerde wegen_Petrol Hybrid PHEV_Petrol</v>
      </c>
      <c r="B39" s="1045" t="s">
        <v>650</v>
      </c>
      <c r="C39" s="1045" t="s">
        <v>63</v>
      </c>
      <c r="D39" s="1045" t="s">
        <v>872</v>
      </c>
      <c r="E39" s="1045" t="s">
        <v>300</v>
      </c>
      <c r="F39" s="1044">
        <v>1.1696034542873576E-9</v>
      </c>
    </row>
    <row r="40" spans="1:6">
      <c r="A40" s="1045" t="str">
        <f>CONCATENATE(TableECFTransport[[#This Row],[Voertuigtype]],"_",TableECFTransport[[#This Row],[Wegtype]],"_",TableECFTransport[[#This Row],[Brandstoftechnologie]],"_",TableECFTransport[[#This Row],[Brandstof]])</f>
        <v>Lichte voertuigen_Snelwegen_Petrol Hybrid PHEV_Electric</v>
      </c>
      <c r="B40" s="1045" t="s">
        <v>650</v>
      </c>
      <c r="C40" s="1045" t="s">
        <v>65</v>
      </c>
      <c r="D40" s="1045" t="s">
        <v>872</v>
      </c>
      <c r="E40" s="1045" t="s">
        <v>299</v>
      </c>
      <c r="F40" s="1044">
        <v>6.0304316059742244E-10</v>
      </c>
    </row>
    <row r="41" spans="1:6">
      <c r="A41" s="1045" t="str">
        <f>CONCATENATE(TableECFTransport[[#This Row],[Voertuigtype]],"_",TableECFTransport[[#This Row],[Wegtype]],"_",TableECFTransport[[#This Row],[Brandstoftechnologie]],"_",TableECFTransport[[#This Row],[Brandstof]])</f>
        <v>Lichte voertuigen_Snelwegen_Petrol Hybrid PHEV_Petrol</v>
      </c>
      <c r="B41" s="1045" t="s">
        <v>650</v>
      </c>
      <c r="C41" s="1045" t="s">
        <v>65</v>
      </c>
      <c r="D41" s="1045" t="s">
        <v>872</v>
      </c>
      <c r="E41" s="1045" t="s">
        <v>300</v>
      </c>
      <c r="F41" s="1044">
        <v>1.809129481792267E-9</v>
      </c>
    </row>
    <row r="42" spans="1:6">
      <c r="A42" s="1045" t="str">
        <f>CONCATENATE(TableECFTransport[[#This Row],[Voertuigtype]],"_",TableECFTransport[[#This Row],[Wegtype]],"_",TableECFTransport[[#This Row],[Brandstoftechnologie]],"_",TableECFTransport[[#This Row],[Brandstof]])</f>
        <v>Zware voertuigen_Niet-genummerde wegen_Diesel_Diesel</v>
      </c>
      <c r="B42" s="1045" t="s">
        <v>651</v>
      </c>
      <c r="C42" s="1045" t="s">
        <v>64</v>
      </c>
      <c r="D42" s="1045" t="s">
        <v>195</v>
      </c>
      <c r="E42" s="1045" t="s">
        <v>195</v>
      </c>
      <c r="F42" s="1044">
        <v>1.2757304390269017E-8</v>
      </c>
    </row>
    <row r="43" spans="1:6">
      <c r="A43" s="1045" t="str">
        <f>CONCATENATE(TableECFTransport[[#This Row],[Voertuigtype]],"_",TableECFTransport[[#This Row],[Wegtype]],"_",TableECFTransport[[#This Row],[Brandstoftechnologie]],"_",TableECFTransport[[#This Row],[Brandstof]])</f>
        <v>Zware voertuigen_Genummerde wegen_Diesel_Diesel</v>
      </c>
      <c r="B43" s="1045" t="s">
        <v>651</v>
      </c>
      <c r="C43" s="1045" t="s">
        <v>63</v>
      </c>
      <c r="D43" s="1045" t="s">
        <v>195</v>
      </c>
      <c r="E43" s="1045" t="s">
        <v>195</v>
      </c>
      <c r="F43" s="1044">
        <v>9.9219684225303395E-9</v>
      </c>
    </row>
    <row r="44" spans="1:6">
      <c r="A44" s="1045" t="str">
        <f>CONCATENATE(TableECFTransport[[#This Row],[Voertuigtype]],"_",TableECFTransport[[#This Row],[Wegtype]],"_",TableECFTransport[[#This Row],[Brandstoftechnologie]],"_",TableECFTransport[[#This Row],[Brandstof]])</f>
        <v>Zware voertuigen_Snelwegen_Diesel_Diesel</v>
      </c>
      <c r="B44" s="1045" t="s">
        <v>651</v>
      </c>
      <c r="C44" s="1045" t="s">
        <v>65</v>
      </c>
      <c r="D44" s="1045" t="s">
        <v>195</v>
      </c>
      <c r="E44" s="1045" t="s">
        <v>195</v>
      </c>
      <c r="F44" s="1044">
        <v>9.4542196556614371E-9</v>
      </c>
    </row>
    <row r="45" spans="1:6">
      <c r="A45" s="1045" t="str">
        <f>CONCATENATE(TableECFTransport[[#This Row],[Voertuigtype]],"_",TableECFTransport[[#This Row],[Wegtype]],"_",TableECFTransport[[#This Row],[Brandstoftechnologie]],"_",TableECFTransport[[#This Row],[Brandstof]])</f>
        <v>Zware voertuigen_Niet-genummerde wegen_Petrol_Petrol</v>
      </c>
      <c r="B45" s="1045" t="s">
        <v>651</v>
      </c>
      <c r="C45" s="1045" t="s">
        <v>64</v>
      </c>
      <c r="D45" s="1045" t="s">
        <v>300</v>
      </c>
      <c r="E45" s="1045" t="s">
        <v>300</v>
      </c>
      <c r="F45" s="1044">
        <v>7.6653519389191332E-9</v>
      </c>
    </row>
    <row r="46" spans="1:6">
      <c r="A46" s="1045" t="str">
        <f>CONCATENATE(TableECFTransport[[#This Row],[Voertuigtype]],"_",TableECFTransport[[#This Row],[Wegtype]],"_",TableECFTransport[[#This Row],[Brandstoftechnologie]],"_",TableECFTransport[[#This Row],[Brandstof]])</f>
        <v>Zware voertuigen_Genummerde wegen_Petrol_Petrol</v>
      </c>
      <c r="B46" s="1045" t="s">
        <v>651</v>
      </c>
      <c r="C46" s="1045" t="s">
        <v>63</v>
      </c>
      <c r="D46" s="1045" t="s">
        <v>300</v>
      </c>
      <c r="E46" s="1045" t="s">
        <v>300</v>
      </c>
      <c r="F46" s="1044">
        <v>6.3506130742713411E-9</v>
      </c>
    </row>
    <row r="47" spans="1:6">
      <c r="A47" s="1045" t="str">
        <f>CONCATENATE(TableECFTransport[[#This Row],[Voertuigtype]],"_",TableECFTransport[[#This Row],[Wegtype]],"_",TableECFTransport[[#This Row],[Brandstoftechnologie]],"_",TableECFTransport[[#This Row],[Brandstof]])</f>
        <v>Zware voertuigen_Snelwegen_Petrol_Petrol</v>
      </c>
      <c r="B47" s="1045" t="s">
        <v>651</v>
      </c>
      <c r="C47" s="1045" t="s">
        <v>65</v>
      </c>
      <c r="D47" s="1045" t="s">
        <v>300</v>
      </c>
      <c r="E47" s="1045" t="s">
        <v>300</v>
      </c>
      <c r="F47" s="1044">
        <v>6.5365124469575587E-9</v>
      </c>
    </row>
    <row r="48" spans="1:6">
      <c r="A48" s="1045" t="str">
        <f>CONCATENATE(TableECFTransport[[#This Row],[Voertuigtype]],"_",TableECFTransport[[#This Row],[Wegtype]],"_",TableECFTransport[[#This Row],[Brandstoftechnologie]],"_",TableECFTransport[[#This Row],[Brandstof]])</f>
        <v>BUS_Niet-genummerde wegen_CNG_CNG</v>
      </c>
      <c r="B48" s="1045" t="s">
        <v>666</v>
      </c>
      <c r="C48" s="1045" t="s">
        <v>64</v>
      </c>
      <c r="D48" s="1045" t="s">
        <v>298</v>
      </c>
      <c r="E48" s="1045" t="s">
        <v>298</v>
      </c>
      <c r="F48" s="1044">
        <v>2.3303083752649972E-8</v>
      </c>
    </row>
    <row r="49" spans="1:6">
      <c r="A49" s="1045" t="str">
        <f>CONCATENATE(TableECFTransport[[#This Row],[Voertuigtype]],"_",TableECFTransport[[#This Row],[Wegtype]],"_",TableECFTransport[[#This Row],[Brandstoftechnologie]],"_",TableECFTransport[[#This Row],[Brandstof]])</f>
        <v>BUS_Genummerde wegen_CNG_CNG</v>
      </c>
      <c r="B49" s="1045" t="s">
        <v>666</v>
      </c>
      <c r="C49" s="1045" t="s">
        <v>63</v>
      </c>
      <c r="D49" s="1045" t="s">
        <v>298</v>
      </c>
      <c r="E49" s="1045" t="s">
        <v>298</v>
      </c>
      <c r="F49" s="1044">
        <v>1.2452720009185941E-8</v>
      </c>
    </row>
    <row r="50" spans="1:6">
      <c r="A50" s="1045" t="str">
        <f>CONCATENATE(TableECFTransport[[#This Row],[Voertuigtype]],"_",TableECFTransport[[#This Row],[Wegtype]],"_",TableECFTransport[[#This Row],[Brandstoftechnologie]],"_",TableECFTransport[[#This Row],[Brandstof]])</f>
        <v>BUS_Niet-genummerde wegen_Diesel_Diesel</v>
      </c>
      <c r="B50" s="1045" t="s">
        <v>666</v>
      </c>
      <c r="C50" s="1045" t="s">
        <v>64</v>
      </c>
      <c r="D50" s="1045" t="s">
        <v>195</v>
      </c>
      <c r="E50" s="1045" t="s">
        <v>195</v>
      </c>
      <c r="F50" s="1044">
        <v>1.7143830085251507E-8</v>
      </c>
    </row>
    <row r="51" spans="1:6">
      <c r="A51" s="1045" t="str">
        <f>CONCATENATE(TableECFTransport[[#This Row],[Voertuigtype]],"_",TableECFTransport[[#This Row],[Wegtype]],"_",TableECFTransport[[#This Row],[Brandstoftechnologie]],"_",TableECFTransport[[#This Row],[Brandstof]])</f>
        <v>BUS_Genummerde wegen_Diesel_Diesel</v>
      </c>
      <c r="B51" s="1045" t="s">
        <v>666</v>
      </c>
      <c r="C51" s="1045" t="s">
        <v>63</v>
      </c>
      <c r="D51" s="1045" t="s">
        <v>195</v>
      </c>
      <c r="E51" s="1045" t="s">
        <v>195</v>
      </c>
      <c r="F51" s="1044">
        <v>9.5423481198913334E-9</v>
      </c>
    </row>
    <row r="52" spans="1:6">
      <c r="A52" s="1045" t="str">
        <f>CONCATENATE(TableECFTransport[[#This Row],[Voertuigtype]],"_",TableECFTransport[[#This Row],[Wegtype]],"_",TableECFTransport[[#This Row],[Brandstoftechnologie]],"_",TableECFTransport[[#This Row],[Brandstof]])</f>
        <v>BUS_Niet-genummerde wegen_Diesel Hybrid PHEV_Diesel</v>
      </c>
      <c r="B52" s="1045" t="s">
        <v>666</v>
      </c>
      <c r="C52" s="1045" t="s">
        <v>64</v>
      </c>
      <c r="D52" s="1045" t="s">
        <v>870</v>
      </c>
      <c r="E52" s="1045" t="s">
        <v>195</v>
      </c>
      <c r="F52" s="1044">
        <v>1.2122949179999998E-8</v>
      </c>
    </row>
    <row r="53" spans="1:6">
      <c r="A53" s="1045" t="str">
        <f>CONCATENATE(TableECFTransport[[#This Row],[Voertuigtype]],"_",TableECFTransport[[#This Row],[Wegtype]],"_",TableECFTransport[[#This Row],[Brandstoftechnologie]],"_",TableECFTransport[[#This Row],[Brandstof]])</f>
        <v>BUS_Niet-genummerde wegen_Diesel Hybrid PHEV_Electric</v>
      </c>
      <c r="B53" s="1045" t="s">
        <v>666</v>
      </c>
      <c r="C53" s="1045" t="s">
        <v>64</v>
      </c>
      <c r="D53" s="1045" t="s">
        <v>870</v>
      </c>
      <c r="E53" s="1045" t="s">
        <v>299</v>
      </c>
      <c r="F53" s="1044">
        <v>4.040983059999999E-9</v>
      </c>
    </row>
    <row r="54" spans="1:6">
      <c r="A54" s="1045" t="str">
        <f>CONCATENATE(TableECFTransport[[#This Row],[Voertuigtype]],"_",TableECFTransport[[#This Row],[Wegtype]],"_",TableECFTransport[[#This Row],[Brandstoftechnologie]],"_",TableECFTransport[[#This Row],[Brandstof]])</f>
        <v>BUS_Genummerde wegen_Diesel Hybrid PHEV_Diesel</v>
      </c>
      <c r="B54" s="1045" t="s">
        <v>666</v>
      </c>
      <c r="C54" s="1045" t="s">
        <v>63</v>
      </c>
      <c r="D54" s="1045" t="s">
        <v>870</v>
      </c>
      <c r="E54" s="1045" t="s">
        <v>195</v>
      </c>
      <c r="F54" s="1044">
        <v>6.0281746425000019E-9</v>
      </c>
    </row>
    <row r="55" spans="1:6">
      <c r="A55" s="1045" t="str">
        <f>CONCATENATE(TableECFTransport[[#This Row],[Voertuigtype]],"_",TableECFTransport[[#This Row],[Wegtype]],"_",TableECFTransport[[#This Row],[Brandstoftechnologie]],"_",TableECFTransport[[#This Row],[Brandstof]])</f>
        <v>BUS_Genummerde wegen_Diesel Hybrid PHEV_Electric</v>
      </c>
      <c r="B55" s="1045" t="s">
        <v>666</v>
      </c>
      <c r="C55" s="1045" t="s">
        <v>63</v>
      </c>
      <c r="D55" s="1045" t="s">
        <v>870</v>
      </c>
      <c r="E55" s="1045" t="s">
        <v>299</v>
      </c>
      <c r="F55" s="1044">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4">
        <v>2015</v>
      </c>
      <c r="B1" s="118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6"/>
      <c r="B2" s="118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6"/>
      <c r="B3" s="118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8"/>
      <c r="B4" s="118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4" t="s">
        <v>683</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1.4929826793249583</v>
      </c>
      <c r="E7" s="827">
        <v>0</v>
      </c>
      <c r="F7" s="828">
        <v>1.4929826793249583</v>
      </c>
      <c r="G7" s="827">
        <v>0</v>
      </c>
      <c r="H7" s="827">
        <v>0</v>
      </c>
      <c r="I7" s="827">
        <v>2.2239599999999999</v>
      </c>
      <c r="J7" s="827">
        <v>0.64249392195859678</v>
      </c>
      <c r="K7" s="827">
        <v>0</v>
      </c>
      <c r="L7" s="827">
        <v>61.818551205946157</v>
      </c>
      <c r="M7" s="827">
        <v>0</v>
      </c>
      <c r="N7" s="827">
        <v>0</v>
      </c>
      <c r="O7" s="827">
        <v>0</v>
      </c>
      <c r="P7" s="827">
        <v>0</v>
      </c>
      <c r="Q7" s="827">
        <v>0</v>
      </c>
      <c r="R7" s="828">
        <v>64.685005127904759</v>
      </c>
      <c r="S7" s="827">
        <v>85.35704737906579</v>
      </c>
      <c r="T7" s="827">
        <v>0</v>
      </c>
      <c r="U7" s="827">
        <v>0</v>
      </c>
      <c r="V7" s="828">
        <v>85.35704737906579</v>
      </c>
      <c r="W7" s="828">
        <v>151.53503518629549</v>
      </c>
      <c r="X7" s="827">
        <v>0</v>
      </c>
      <c r="Y7" s="827">
        <v>12.578701233401519</v>
      </c>
      <c r="Z7" s="827">
        <v>39.271671951616597</v>
      </c>
      <c r="AA7" s="829">
        <v>0</v>
      </c>
      <c r="AB7" s="829">
        <v>0</v>
      </c>
      <c r="AC7" s="828">
        <v>203.38540837131359</v>
      </c>
    </row>
    <row r="8" spans="1:29">
      <c r="A8" s="213" t="s">
        <v>149</v>
      </c>
      <c r="B8" s="214"/>
      <c r="C8" s="830">
        <v>0</v>
      </c>
      <c r="D8" s="830">
        <v>0</v>
      </c>
      <c r="E8" s="830">
        <v>0</v>
      </c>
      <c r="F8" s="831">
        <v>0</v>
      </c>
      <c r="G8" s="830">
        <v>0</v>
      </c>
      <c r="H8" s="830">
        <v>0</v>
      </c>
      <c r="I8" s="830">
        <v>0.76444869622711098</v>
      </c>
      <c r="J8" s="830">
        <v>2.5786619498267627E-3</v>
      </c>
      <c r="K8" s="830">
        <v>0</v>
      </c>
      <c r="L8" s="830">
        <v>11.081875675406158</v>
      </c>
      <c r="M8" s="830">
        <v>0</v>
      </c>
      <c r="N8" s="830">
        <v>0.1040954221070689</v>
      </c>
      <c r="O8" s="830">
        <v>0</v>
      </c>
      <c r="P8" s="830">
        <v>0</v>
      </c>
      <c r="Q8" s="830">
        <v>0</v>
      </c>
      <c r="R8" s="831">
        <v>11.952998455690164</v>
      </c>
      <c r="S8" s="830">
        <v>44.687300704032445</v>
      </c>
      <c r="T8" s="830">
        <v>0</v>
      </c>
      <c r="U8" s="830">
        <v>0</v>
      </c>
      <c r="V8" s="831">
        <v>44.687300704032445</v>
      </c>
      <c r="W8" s="831">
        <v>56.640299159722609</v>
      </c>
      <c r="X8" s="830">
        <v>1.8763489999999998</v>
      </c>
      <c r="Y8" s="830">
        <v>3.8313352907557636</v>
      </c>
      <c r="Z8" s="830">
        <v>43.418521127321455</v>
      </c>
      <c r="AA8" s="832">
        <v>0</v>
      </c>
      <c r="AB8" s="832">
        <v>0</v>
      </c>
      <c r="AC8" s="831">
        <v>105.76650457779984</v>
      </c>
    </row>
    <row r="9" spans="1:29">
      <c r="A9" s="3"/>
      <c r="B9" s="6" t="s">
        <v>150</v>
      </c>
      <c r="C9" s="833">
        <v>0</v>
      </c>
      <c r="D9" s="833">
        <v>0</v>
      </c>
      <c r="E9" s="833">
        <v>0</v>
      </c>
      <c r="F9" s="834">
        <v>0</v>
      </c>
      <c r="G9" s="833">
        <v>0</v>
      </c>
      <c r="H9" s="833">
        <v>0</v>
      </c>
      <c r="I9" s="833">
        <v>0.14846512464753758</v>
      </c>
      <c r="J9" s="833">
        <v>0</v>
      </c>
      <c r="K9" s="833">
        <v>0</v>
      </c>
      <c r="L9" s="833">
        <v>1.9290383250050698</v>
      </c>
      <c r="M9" s="833">
        <v>0</v>
      </c>
      <c r="N9" s="833">
        <v>0</v>
      </c>
      <c r="O9" s="833">
        <v>0</v>
      </c>
      <c r="P9" s="833">
        <v>0</v>
      </c>
      <c r="Q9" s="833">
        <v>0</v>
      </c>
      <c r="R9" s="834">
        <v>2.0775034496526072</v>
      </c>
      <c r="S9" s="833">
        <v>5.0185789356442578</v>
      </c>
      <c r="T9" s="833">
        <v>0</v>
      </c>
      <c r="U9" s="833">
        <v>0</v>
      </c>
      <c r="V9" s="834">
        <v>5.0185789356442578</v>
      </c>
      <c r="W9" s="834">
        <v>7.0960823852968655</v>
      </c>
      <c r="X9" s="833">
        <v>0</v>
      </c>
      <c r="Y9" s="833">
        <v>1.079887619E-3</v>
      </c>
      <c r="Z9" s="833">
        <v>4.4861756235177443</v>
      </c>
      <c r="AA9" s="835">
        <v>0</v>
      </c>
      <c r="AB9" s="835">
        <v>0</v>
      </c>
      <c r="AC9" s="834">
        <v>11.58333789643361</v>
      </c>
    </row>
    <row r="10" spans="1:29">
      <c r="A10" s="3"/>
      <c r="B10" s="6" t="s">
        <v>151</v>
      </c>
      <c r="C10" s="833">
        <v>0</v>
      </c>
      <c r="D10" s="833">
        <v>0</v>
      </c>
      <c r="E10" s="833">
        <v>0</v>
      </c>
      <c r="F10" s="834">
        <v>0</v>
      </c>
      <c r="G10" s="833">
        <v>0</v>
      </c>
      <c r="H10" s="833">
        <v>0</v>
      </c>
      <c r="I10" s="833">
        <v>4.3166764990654351E-4</v>
      </c>
      <c r="J10" s="833">
        <v>0</v>
      </c>
      <c r="K10" s="833">
        <v>0</v>
      </c>
      <c r="L10" s="833">
        <v>0.70245245729807482</v>
      </c>
      <c r="M10" s="833">
        <v>0</v>
      </c>
      <c r="N10" s="833">
        <v>0</v>
      </c>
      <c r="O10" s="833">
        <v>0</v>
      </c>
      <c r="P10" s="833">
        <v>0</v>
      </c>
      <c r="Q10" s="833">
        <v>0</v>
      </c>
      <c r="R10" s="834">
        <v>0.70288412494798136</v>
      </c>
      <c r="S10" s="833">
        <v>6.2827433506276238</v>
      </c>
      <c r="T10" s="833">
        <v>0</v>
      </c>
      <c r="U10" s="833">
        <v>0</v>
      </c>
      <c r="V10" s="834">
        <v>6.2827433506276238</v>
      </c>
      <c r="W10" s="834">
        <v>6.9856274755756047</v>
      </c>
      <c r="X10" s="833">
        <v>0</v>
      </c>
      <c r="Y10" s="833">
        <v>3.9601422399999996E-2</v>
      </c>
      <c r="Z10" s="833">
        <v>3.3716329294821543</v>
      </c>
      <c r="AA10" s="835">
        <v>0</v>
      </c>
      <c r="AB10" s="835">
        <v>0</v>
      </c>
      <c r="AC10" s="834">
        <v>10.396861827457759</v>
      </c>
    </row>
    <row r="11" spans="1:29">
      <c r="A11" s="3"/>
      <c r="B11" s="6" t="s">
        <v>152</v>
      </c>
      <c r="C11" s="833">
        <v>0</v>
      </c>
      <c r="D11" s="833">
        <v>0</v>
      </c>
      <c r="E11" s="833">
        <v>0</v>
      </c>
      <c r="F11" s="834">
        <v>0</v>
      </c>
      <c r="G11" s="833">
        <v>0</v>
      </c>
      <c r="H11" s="833">
        <v>0</v>
      </c>
      <c r="I11" s="833">
        <v>3.1396005940120637E-3</v>
      </c>
      <c r="J11" s="833">
        <v>0</v>
      </c>
      <c r="K11" s="833">
        <v>0</v>
      </c>
      <c r="L11" s="833">
        <v>0.8231353928033357</v>
      </c>
      <c r="M11" s="833">
        <v>0</v>
      </c>
      <c r="N11" s="833">
        <v>0</v>
      </c>
      <c r="O11" s="833">
        <v>0</v>
      </c>
      <c r="P11" s="833">
        <v>0</v>
      </c>
      <c r="Q11" s="833">
        <v>0</v>
      </c>
      <c r="R11" s="834">
        <v>0.82627499339734778</v>
      </c>
      <c r="S11" s="833">
        <v>6.7188938055703122</v>
      </c>
      <c r="T11" s="833">
        <v>0</v>
      </c>
      <c r="U11" s="833">
        <v>0</v>
      </c>
      <c r="V11" s="834">
        <v>6.7188938055703122</v>
      </c>
      <c r="W11" s="834">
        <v>7.5451687989676604</v>
      </c>
      <c r="X11" s="833">
        <v>0</v>
      </c>
      <c r="Y11" s="833">
        <v>3.3213180000000002E-3</v>
      </c>
      <c r="Z11" s="833">
        <v>1.7827661548692171</v>
      </c>
      <c r="AA11" s="835">
        <v>0</v>
      </c>
      <c r="AB11" s="835">
        <v>0</v>
      </c>
      <c r="AC11" s="834">
        <v>9.3312562718368781</v>
      </c>
    </row>
    <row r="12" spans="1:29">
      <c r="A12" s="3"/>
      <c r="B12" s="6" t="s">
        <v>153</v>
      </c>
      <c r="C12" s="833">
        <v>0</v>
      </c>
      <c r="D12" s="833">
        <v>0</v>
      </c>
      <c r="E12" s="833">
        <v>0</v>
      </c>
      <c r="F12" s="834">
        <v>0</v>
      </c>
      <c r="G12" s="833">
        <v>0</v>
      </c>
      <c r="H12" s="833">
        <v>0</v>
      </c>
      <c r="I12" s="833">
        <v>0.2200127233645168</v>
      </c>
      <c r="J12" s="833">
        <v>2.5786619498267627E-3</v>
      </c>
      <c r="K12" s="833">
        <v>0</v>
      </c>
      <c r="L12" s="833">
        <v>4.2853851873412188</v>
      </c>
      <c r="M12" s="833">
        <v>0</v>
      </c>
      <c r="N12" s="833">
        <v>0</v>
      </c>
      <c r="O12" s="833">
        <v>0</v>
      </c>
      <c r="P12" s="833">
        <v>0</v>
      </c>
      <c r="Q12" s="833">
        <v>0</v>
      </c>
      <c r="R12" s="834">
        <v>4.5079765726555623</v>
      </c>
      <c r="S12" s="833">
        <v>13.88867560093936</v>
      </c>
      <c r="T12" s="833">
        <v>0</v>
      </c>
      <c r="U12" s="833">
        <v>0</v>
      </c>
      <c r="V12" s="834">
        <v>13.88867560093936</v>
      </c>
      <c r="W12" s="834">
        <v>18.396652173594923</v>
      </c>
      <c r="X12" s="833">
        <v>0</v>
      </c>
      <c r="Y12" s="833">
        <v>1.6862706843630001E-2</v>
      </c>
      <c r="Z12" s="833">
        <v>16.806113157753899</v>
      </c>
      <c r="AA12" s="835">
        <v>0</v>
      </c>
      <c r="AB12" s="835">
        <v>0</v>
      </c>
      <c r="AC12" s="834">
        <v>35.219628038192454</v>
      </c>
    </row>
    <row r="13" spans="1:29">
      <c r="A13" s="3"/>
      <c r="B13" s="6" t="s">
        <v>154</v>
      </c>
      <c r="C13" s="833">
        <v>0</v>
      </c>
      <c r="D13" s="833">
        <v>0</v>
      </c>
      <c r="E13" s="833">
        <v>0</v>
      </c>
      <c r="F13" s="834">
        <v>0</v>
      </c>
      <c r="G13" s="833">
        <v>0</v>
      </c>
      <c r="H13" s="833">
        <v>0</v>
      </c>
      <c r="I13" s="833">
        <v>0.38523253116241429</v>
      </c>
      <c r="J13" s="833">
        <v>0</v>
      </c>
      <c r="K13" s="833">
        <v>0</v>
      </c>
      <c r="L13" s="833">
        <v>2.3937650608531347</v>
      </c>
      <c r="M13" s="833">
        <v>0</v>
      </c>
      <c r="N13" s="833">
        <v>0</v>
      </c>
      <c r="O13" s="833">
        <v>0</v>
      </c>
      <c r="P13" s="833">
        <v>0</v>
      </c>
      <c r="Q13" s="833">
        <v>0</v>
      </c>
      <c r="R13" s="834">
        <v>2.778997592015549</v>
      </c>
      <c r="S13" s="833">
        <v>8.3695813484690831</v>
      </c>
      <c r="T13" s="833">
        <v>0</v>
      </c>
      <c r="U13" s="833">
        <v>0</v>
      </c>
      <c r="V13" s="834">
        <v>8.3695813484690831</v>
      </c>
      <c r="W13" s="834">
        <v>11.148578940484633</v>
      </c>
      <c r="X13" s="833">
        <v>0</v>
      </c>
      <c r="Y13" s="833">
        <v>1.4485870999999999E-2</v>
      </c>
      <c r="Z13" s="833">
        <v>12.205763032688299</v>
      </c>
      <c r="AA13" s="835">
        <v>0</v>
      </c>
      <c r="AB13" s="835">
        <v>0</v>
      </c>
      <c r="AC13" s="834">
        <v>23.368827844172934</v>
      </c>
    </row>
    <row r="14" spans="1:29">
      <c r="A14" s="215"/>
      <c r="B14" s="216" t="s">
        <v>155</v>
      </c>
      <c r="C14" s="836">
        <v>0</v>
      </c>
      <c r="D14" s="836">
        <v>0</v>
      </c>
      <c r="E14" s="836">
        <v>0</v>
      </c>
      <c r="F14" s="837">
        <v>0</v>
      </c>
      <c r="G14" s="833">
        <v>0</v>
      </c>
      <c r="H14" s="833">
        <v>0</v>
      </c>
      <c r="I14" s="833">
        <v>7.1670488087237742E-3</v>
      </c>
      <c r="J14" s="833">
        <v>0</v>
      </c>
      <c r="K14" s="833">
        <v>0</v>
      </c>
      <c r="L14" s="833">
        <v>0.94809925210532353</v>
      </c>
      <c r="M14" s="833">
        <v>0</v>
      </c>
      <c r="N14" s="833">
        <v>0.1040954221070689</v>
      </c>
      <c r="O14" s="833">
        <v>0</v>
      </c>
      <c r="P14" s="833">
        <v>0</v>
      </c>
      <c r="Q14" s="833">
        <v>0</v>
      </c>
      <c r="R14" s="837">
        <v>1.0593617230211163</v>
      </c>
      <c r="S14" s="833">
        <v>4.4088276627818077</v>
      </c>
      <c r="T14" s="836">
        <v>0</v>
      </c>
      <c r="U14" s="836">
        <v>0</v>
      </c>
      <c r="V14" s="837">
        <v>4.4088276627818077</v>
      </c>
      <c r="W14" s="837">
        <v>5.4681893858029245</v>
      </c>
      <c r="X14" s="833">
        <v>1.8763489999999998</v>
      </c>
      <c r="Y14" s="833">
        <v>3.7559840848931336</v>
      </c>
      <c r="Z14" s="833">
        <v>4.7660702290101398</v>
      </c>
      <c r="AA14" s="838">
        <v>0</v>
      </c>
      <c r="AB14" s="838">
        <v>0</v>
      </c>
      <c r="AC14" s="837">
        <v>15.866592699706198</v>
      </c>
    </row>
    <row r="15" spans="1:29">
      <c r="A15" s="213" t="s">
        <v>156</v>
      </c>
      <c r="B15" s="217"/>
      <c r="C15" s="839">
        <v>0</v>
      </c>
      <c r="D15" s="839">
        <v>0.19343917840000008</v>
      </c>
      <c r="E15" s="839">
        <v>0.16806480000000013</v>
      </c>
      <c r="F15" s="839">
        <v>0.3615039784000002</v>
      </c>
      <c r="G15" s="839">
        <v>0</v>
      </c>
      <c r="H15" s="839">
        <v>0</v>
      </c>
      <c r="I15" s="839">
        <v>2.4200796840300405</v>
      </c>
      <c r="J15" s="839">
        <v>0.18831586442104797</v>
      </c>
      <c r="K15" s="839">
        <v>0</v>
      </c>
      <c r="L15" s="839">
        <v>9.1822405717342122</v>
      </c>
      <c r="M15" s="839">
        <v>0</v>
      </c>
      <c r="N15" s="839">
        <v>0.53652456753156952</v>
      </c>
      <c r="O15" s="839">
        <v>0</v>
      </c>
      <c r="P15" s="839">
        <v>0</v>
      </c>
      <c r="Q15" s="839">
        <v>0</v>
      </c>
      <c r="R15" s="839">
        <v>12.327160687716866</v>
      </c>
      <c r="S15" s="839">
        <v>31.652698741296245</v>
      </c>
      <c r="T15" s="839">
        <v>0</v>
      </c>
      <c r="U15" s="839">
        <v>0</v>
      </c>
      <c r="V15" s="839">
        <v>31.652698741296245</v>
      </c>
      <c r="W15" s="839">
        <v>44.341363407413112</v>
      </c>
      <c r="X15" s="839">
        <v>0</v>
      </c>
      <c r="Y15" s="839">
        <f>SUM(Y16:Y24)</f>
        <v>2.5020913430998628</v>
      </c>
      <c r="Z15" s="839">
        <v>44.590949286888645</v>
      </c>
      <c r="AA15" s="841">
        <v>0</v>
      </c>
      <c r="AB15" s="841">
        <v>0</v>
      </c>
      <c r="AC15" s="840">
        <f>SUM(W15:Z15)</f>
        <v>91.43440403740162</v>
      </c>
    </row>
    <row r="16" spans="1:29">
      <c r="A16" s="5"/>
      <c r="B16" s="6" t="s">
        <v>34</v>
      </c>
      <c r="C16" s="842">
        <v>0</v>
      </c>
      <c r="D16" s="842">
        <v>0</v>
      </c>
      <c r="E16" s="842">
        <v>0</v>
      </c>
      <c r="F16" s="834">
        <v>0</v>
      </c>
      <c r="G16" s="842">
        <v>0</v>
      </c>
      <c r="H16" s="842">
        <v>0</v>
      </c>
      <c r="I16" s="842">
        <v>1.5080999999999998E-3</v>
      </c>
      <c r="J16" s="842">
        <v>0</v>
      </c>
      <c r="K16" s="842">
        <v>0</v>
      </c>
      <c r="L16" s="842">
        <v>6.7768586435859993E-2</v>
      </c>
      <c r="M16" s="842">
        <v>0</v>
      </c>
      <c r="N16" s="842">
        <v>1.8423510000000001E-2</v>
      </c>
      <c r="O16" s="842">
        <v>0</v>
      </c>
      <c r="P16" s="842">
        <v>0</v>
      </c>
      <c r="Q16" s="842">
        <v>0</v>
      </c>
      <c r="R16" s="834">
        <v>8.7700196435859995E-2</v>
      </c>
      <c r="S16" s="842">
        <v>0.33031616162024058</v>
      </c>
      <c r="T16" s="842">
        <v>0</v>
      </c>
      <c r="U16" s="842">
        <v>0</v>
      </c>
      <c r="V16" s="843">
        <v>0.33031616162024058</v>
      </c>
      <c r="W16" s="834">
        <v>0.4180163580561006</v>
      </c>
      <c r="X16" s="842">
        <v>0</v>
      </c>
      <c r="Y16" s="842">
        <v>0</v>
      </c>
      <c r="Z16" s="842">
        <v>0.69052132799999821</v>
      </c>
      <c r="AA16" s="835">
        <v>0</v>
      </c>
      <c r="AB16" s="835">
        <v>0</v>
      </c>
      <c r="AC16" s="834">
        <f t="shared" ref="AC16:AC24" si="0">SUM(W16:Z16)</f>
        <v>1.1085376860560987</v>
      </c>
    </row>
    <row r="17" spans="1:31">
      <c r="A17" s="5"/>
      <c r="B17" s="6" t="s">
        <v>37</v>
      </c>
      <c r="C17" s="842">
        <v>0</v>
      </c>
      <c r="D17" s="842">
        <v>0</v>
      </c>
      <c r="E17" s="842">
        <v>0.16806480000000013</v>
      </c>
      <c r="F17" s="834">
        <v>0.16806480000000013</v>
      </c>
      <c r="G17" s="842">
        <v>0</v>
      </c>
      <c r="H17" s="842">
        <v>0</v>
      </c>
      <c r="I17" s="842">
        <v>4.187761727E-3</v>
      </c>
      <c r="J17" s="842">
        <v>0</v>
      </c>
      <c r="K17" s="842">
        <v>0</v>
      </c>
      <c r="L17" s="842">
        <v>8.9212057588980015E-2</v>
      </c>
      <c r="M17" s="842">
        <v>0</v>
      </c>
      <c r="N17" s="842">
        <v>0</v>
      </c>
      <c r="O17" s="842">
        <v>0</v>
      </c>
      <c r="P17" s="842">
        <v>0</v>
      </c>
      <c r="Q17" s="842">
        <v>0</v>
      </c>
      <c r="R17" s="834">
        <v>9.3399819315980015E-2</v>
      </c>
      <c r="S17" s="842">
        <v>0.48841661584800011</v>
      </c>
      <c r="T17" s="842">
        <v>0</v>
      </c>
      <c r="U17" s="842">
        <v>0</v>
      </c>
      <c r="V17" s="843">
        <v>0.48841661584800011</v>
      </c>
      <c r="W17" s="834">
        <v>0.74988123516398031</v>
      </c>
      <c r="X17" s="842">
        <v>0</v>
      </c>
      <c r="Y17" s="842">
        <v>0</v>
      </c>
      <c r="Z17" s="842">
        <v>0.33713825760000127</v>
      </c>
      <c r="AA17" s="835">
        <v>0</v>
      </c>
      <c r="AB17" s="835">
        <v>0</v>
      </c>
      <c r="AC17" s="834">
        <f t="shared" si="0"/>
        <v>1.0870194927639816</v>
      </c>
    </row>
    <row r="18" spans="1:31">
      <c r="A18" s="5"/>
      <c r="B18" s="6" t="s">
        <v>35</v>
      </c>
      <c r="C18" s="842">
        <v>0</v>
      </c>
      <c r="D18" s="842">
        <v>0</v>
      </c>
      <c r="E18" s="842">
        <v>0</v>
      </c>
      <c r="F18" s="834">
        <v>0</v>
      </c>
      <c r="G18" s="842">
        <v>0</v>
      </c>
      <c r="H18" s="842">
        <v>0</v>
      </c>
      <c r="I18" s="842">
        <v>6.1138272033187731E-2</v>
      </c>
      <c r="J18" s="842">
        <v>0</v>
      </c>
      <c r="K18" s="842">
        <v>0</v>
      </c>
      <c r="L18" s="842">
        <v>0.72735507723775938</v>
      </c>
      <c r="M18" s="842">
        <v>0</v>
      </c>
      <c r="N18" s="842">
        <v>1.4580914947284787E-2</v>
      </c>
      <c r="O18" s="842">
        <v>0</v>
      </c>
      <c r="P18" s="842">
        <v>0</v>
      </c>
      <c r="Q18" s="842">
        <v>0</v>
      </c>
      <c r="R18" s="834">
        <v>0.80307426421823191</v>
      </c>
      <c r="S18" s="842">
        <v>5.3257075122304656</v>
      </c>
      <c r="T18" s="842">
        <v>0</v>
      </c>
      <c r="U18" s="842">
        <v>0</v>
      </c>
      <c r="V18" s="843">
        <v>5.3257075122304656</v>
      </c>
      <c r="W18" s="834">
        <v>6.1287817764486974</v>
      </c>
      <c r="X18" s="842">
        <v>0</v>
      </c>
      <c r="Y18" s="842">
        <v>8.5157060279999988E-2</v>
      </c>
      <c r="Z18" s="842">
        <v>1.6990864910538126</v>
      </c>
      <c r="AA18" s="835">
        <v>0</v>
      </c>
      <c r="AB18" s="835">
        <v>0</v>
      </c>
      <c r="AC18" s="834">
        <f t="shared" si="0"/>
        <v>7.9130253277825098</v>
      </c>
    </row>
    <row r="19" spans="1:31">
      <c r="A19" s="5"/>
      <c r="B19" s="6" t="s">
        <v>32</v>
      </c>
      <c r="C19" s="842">
        <v>0</v>
      </c>
      <c r="D19" s="842">
        <v>0</v>
      </c>
      <c r="E19" s="842">
        <v>0</v>
      </c>
      <c r="F19" s="834">
        <v>0</v>
      </c>
      <c r="G19" s="842">
        <v>0</v>
      </c>
      <c r="H19" s="842">
        <v>0</v>
      </c>
      <c r="I19" s="842">
        <v>2.1824399900561504</v>
      </c>
      <c r="J19" s="842">
        <v>0.18831586442104797</v>
      </c>
      <c r="K19" s="842">
        <v>0</v>
      </c>
      <c r="L19" s="842">
        <v>7.1568789401385189</v>
      </c>
      <c r="M19" s="842">
        <v>0</v>
      </c>
      <c r="N19" s="842">
        <v>0.20630048569270404</v>
      </c>
      <c r="O19" s="842">
        <v>0</v>
      </c>
      <c r="P19" s="842">
        <v>0</v>
      </c>
      <c r="Q19" s="842">
        <v>0</v>
      </c>
      <c r="R19" s="834">
        <v>9.7339352803084225</v>
      </c>
      <c r="S19" s="842">
        <v>6.441027061450141</v>
      </c>
      <c r="T19" s="842">
        <v>0</v>
      </c>
      <c r="U19" s="842">
        <v>0</v>
      </c>
      <c r="V19" s="843">
        <v>6.441027061450141</v>
      </c>
      <c r="W19" s="834">
        <v>16.174962341758565</v>
      </c>
      <c r="X19" s="842">
        <v>0</v>
      </c>
      <c r="Y19" s="842">
        <v>0.67470314462399994</v>
      </c>
      <c r="Z19" s="842">
        <v>8.5526391024131065</v>
      </c>
      <c r="AA19" s="835">
        <v>0</v>
      </c>
      <c r="AB19" s="835">
        <v>0</v>
      </c>
      <c r="AC19" s="834">
        <f t="shared" si="0"/>
        <v>25.402304588795673</v>
      </c>
    </row>
    <row r="20" spans="1:31">
      <c r="A20" s="5"/>
      <c r="B20" s="6" t="s">
        <v>40</v>
      </c>
      <c r="C20" s="842">
        <v>0</v>
      </c>
      <c r="D20" s="842">
        <v>0</v>
      </c>
      <c r="E20" s="842">
        <v>0</v>
      </c>
      <c r="F20" s="834">
        <v>0</v>
      </c>
      <c r="G20" s="842">
        <v>0</v>
      </c>
      <c r="H20" s="842">
        <v>0</v>
      </c>
      <c r="I20" s="842">
        <v>5.4780452094109207E-2</v>
      </c>
      <c r="J20" s="842">
        <v>0</v>
      </c>
      <c r="K20" s="842">
        <v>0</v>
      </c>
      <c r="L20" s="842">
        <v>0.47861213564064325</v>
      </c>
      <c r="M20" s="842">
        <v>0</v>
      </c>
      <c r="N20" s="842">
        <v>9.0088094799999994E-3</v>
      </c>
      <c r="O20" s="842">
        <v>0</v>
      </c>
      <c r="P20" s="842">
        <v>0</v>
      </c>
      <c r="Q20" s="842">
        <v>0</v>
      </c>
      <c r="R20" s="834">
        <v>0.54240139721475256</v>
      </c>
      <c r="S20" s="842">
        <v>10.262513005960651</v>
      </c>
      <c r="T20" s="842">
        <v>0</v>
      </c>
      <c r="U20" s="842">
        <v>0</v>
      </c>
      <c r="V20" s="843">
        <v>10.262513005960651</v>
      </c>
      <c r="W20" s="834">
        <v>10.804914403175403</v>
      </c>
      <c r="X20" s="842">
        <v>0</v>
      </c>
      <c r="Y20" s="842">
        <v>0.80814495451976265</v>
      </c>
      <c r="Z20" s="842">
        <v>2.1548974499383249</v>
      </c>
      <c r="AA20" s="835">
        <v>0</v>
      </c>
      <c r="AB20" s="835">
        <v>0</v>
      </c>
      <c r="AC20" s="834">
        <f t="shared" si="0"/>
        <v>13.767956807633491</v>
      </c>
    </row>
    <row r="21" spans="1:31">
      <c r="A21" s="5"/>
      <c r="B21" s="6" t="s">
        <v>39</v>
      </c>
      <c r="C21" s="842">
        <v>0</v>
      </c>
      <c r="D21" s="842">
        <v>0</v>
      </c>
      <c r="E21" s="842">
        <v>0</v>
      </c>
      <c r="F21" s="834">
        <v>0</v>
      </c>
      <c r="G21" s="842">
        <v>0</v>
      </c>
      <c r="H21" s="842">
        <v>0</v>
      </c>
      <c r="I21" s="842">
        <v>1.6927820408319288E-2</v>
      </c>
      <c r="J21" s="842">
        <v>0</v>
      </c>
      <c r="K21" s="842">
        <v>0</v>
      </c>
      <c r="L21" s="842">
        <v>0.12557121144127745</v>
      </c>
      <c r="M21" s="842">
        <v>0</v>
      </c>
      <c r="N21" s="842">
        <v>0.20133391732818626</v>
      </c>
      <c r="O21" s="842">
        <v>0</v>
      </c>
      <c r="P21" s="842">
        <v>0</v>
      </c>
      <c r="Q21" s="842">
        <v>0</v>
      </c>
      <c r="R21" s="834">
        <v>0.34383294917778295</v>
      </c>
      <c r="S21" s="842">
        <v>2.1181464164658594</v>
      </c>
      <c r="T21" s="842">
        <v>0</v>
      </c>
      <c r="U21" s="842">
        <v>0</v>
      </c>
      <c r="V21" s="843">
        <v>2.1181464164658594</v>
      </c>
      <c r="W21" s="834">
        <v>2.4619793656436424</v>
      </c>
      <c r="X21" s="842">
        <v>0</v>
      </c>
      <c r="Y21" s="842">
        <v>1.2393E-2</v>
      </c>
      <c r="Z21" s="842">
        <v>6.1661793012046822</v>
      </c>
      <c r="AA21" s="835">
        <v>0</v>
      </c>
      <c r="AB21" s="835">
        <v>0</v>
      </c>
      <c r="AC21" s="834">
        <f t="shared" si="0"/>
        <v>8.6405516668483244</v>
      </c>
    </row>
    <row r="22" spans="1:31">
      <c r="A22" s="5"/>
      <c r="B22" s="6" t="s">
        <v>36</v>
      </c>
      <c r="C22" s="842">
        <v>0</v>
      </c>
      <c r="D22" s="842">
        <v>3.3090000000000619E-3</v>
      </c>
      <c r="E22" s="842">
        <v>0</v>
      </c>
      <c r="F22" s="834">
        <v>3.3090000000000619E-3</v>
      </c>
      <c r="G22" s="842">
        <v>0</v>
      </c>
      <c r="H22" s="842">
        <v>0</v>
      </c>
      <c r="I22" s="842">
        <v>6.0345343735897602E-2</v>
      </c>
      <c r="J22" s="842">
        <v>0</v>
      </c>
      <c r="K22" s="842">
        <v>0</v>
      </c>
      <c r="L22" s="842">
        <v>0.38076017370710402</v>
      </c>
      <c r="M22" s="842">
        <v>0</v>
      </c>
      <c r="N22" s="842">
        <v>8.2628930083394669E-2</v>
      </c>
      <c r="O22" s="842">
        <v>0</v>
      </c>
      <c r="P22" s="842">
        <v>0</v>
      </c>
      <c r="Q22" s="842">
        <v>0</v>
      </c>
      <c r="R22" s="834">
        <v>0.52373444752639631</v>
      </c>
      <c r="S22" s="842">
        <v>0.70477190120100808</v>
      </c>
      <c r="T22" s="842">
        <v>0</v>
      </c>
      <c r="U22" s="842">
        <v>0</v>
      </c>
      <c r="V22" s="843">
        <v>0.70477190120100808</v>
      </c>
      <c r="W22" s="834">
        <v>1.2318153487274044</v>
      </c>
      <c r="X22" s="842">
        <v>0</v>
      </c>
      <c r="Y22" s="842">
        <v>0</v>
      </c>
      <c r="Z22" s="842">
        <v>2.8401158445797829</v>
      </c>
      <c r="AA22" s="835">
        <v>0</v>
      </c>
      <c r="AB22" s="835">
        <v>0</v>
      </c>
      <c r="AC22" s="834">
        <f t="shared" si="0"/>
        <v>4.0719311933071873</v>
      </c>
    </row>
    <row r="23" spans="1:31">
      <c r="A23" s="5"/>
      <c r="B23" s="6" t="s">
        <v>38</v>
      </c>
      <c r="C23" s="842">
        <v>0</v>
      </c>
      <c r="D23" s="842">
        <v>0.19013017840000002</v>
      </c>
      <c r="E23" s="842">
        <v>0</v>
      </c>
      <c r="F23" s="834">
        <v>0.19013017840000002</v>
      </c>
      <c r="G23" s="842">
        <v>0</v>
      </c>
      <c r="H23" s="842">
        <v>0</v>
      </c>
      <c r="I23" s="842">
        <v>1.2180430617196099E-2</v>
      </c>
      <c r="J23" s="842">
        <v>0</v>
      </c>
      <c r="K23" s="842">
        <v>0</v>
      </c>
      <c r="L23" s="842">
        <v>7.1380926332698158E-2</v>
      </c>
      <c r="M23" s="842">
        <v>0</v>
      </c>
      <c r="N23" s="842">
        <v>0</v>
      </c>
      <c r="O23" s="842">
        <v>0</v>
      </c>
      <c r="P23" s="842">
        <v>0</v>
      </c>
      <c r="Q23" s="842">
        <v>0</v>
      </c>
      <c r="R23" s="834">
        <v>8.356135694989425E-2</v>
      </c>
      <c r="S23" s="842">
        <v>0.37071793972367972</v>
      </c>
      <c r="T23" s="842">
        <v>0</v>
      </c>
      <c r="U23" s="842">
        <v>0</v>
      </c>
      <c r="V23" s="843">
        <v>0.37071793972367972</v>
      </c>
      <c r="W23" s="834">
        <v>0.64440947507357405</v>
      </c>
      <c r="X23" s="842">
        <v>0</v>
      </c>
      <c r="Y23" s="842">
        <v>0.69260101870009994</v>
      </c>
      <c r="Z23" s="842">
        <v>11.066638674201531</v>
      </c>
      <c r="AA23" s="835">
        <v>0</v>
      </c>
      <c r="AB23" s="835">
        <v>0</v>
      </c>
      <c r="AC23" s="834">
        <f t="shared" si="0"/>
        <v>12.403649167975205</v>
      </c>
    </row>
    <row r="24" spans="1:31">
      <c r="A24" s="218"/>
      <c r="B24" s="216" t="s">
        <v>33</v>
      </c>
      <c r="C24" s="842">
        <v>0</v>
      </c>
      <c r="D24" s="842">
        <v>0</v>
      </c>
      <c r="E24" s="842">
        <v>0</v>
      </c>
      <c r="F24" s="834">
        <v>0</v>
      </c>
      <c r="G24" s="842">
        <v>0</v>
      </c>
      <c r="H24" s="842">
        <v>0</v>
      </c>
      <c r="I24" s="842">
        <v>2.6571513358180001E-2</v>
      </c>
      <c r="J24" s="842">
        <v>0</v>
      </c>
      <c r="K24" s="842">
        <v>0</v>
      </c>
      <c r="L24" s="842">
        <v>8.4701463211367983E-2</v>
      </c>
      <c r="M24" s="842">
        <v>0</v>
      </c>
      <c r="N24" s="842">
        <v>4.2479999999998075E-3</v>
      </c>
      <c r="O24" s="842">
        <v>0</v>
      </c>
      <c r="P24" s="842">
        <v>0</v>
      </c>
      <c r="Q24" s="842">
        <v>0</v>
      </c>
      <c r="R24" s="834">
        <v>0.1155209765695478</v>
      </c>
      <c r="S24" s="842">
        <v>5.6110821267961981</v>
      </c>
      <c r="T24" s="842">
        <v>0</v>
      </c>
      <c r="U24" s="842">
        <v>0</v>
      </c>
      <c r="V24" s="843">
        <v>5.6110821267961981</v>
      </c>
      <c r="W24" s="834">
        <v>5.7266031033657461</v>
      </c>
      <c r="X24" s="842">
        <v>0</v>
      </c>
      <c r="Y24" s="842">
        <v>0.22909216497599999</v>
      </c>
      <c r="Z24" s="842">
        <v>11.083732837897401</v>
      </c>
      <c r="AA24" s="835">
        <v>0</v>
      </c>
      <c r="AB24" s="835">
        <v>0</v>
      </c>
      <c r="AC24" s="834">
        <f t="shared" si="0"/>
        <v>17.039428106239146</v>
      </c>
    </row>
    <row r="25" spans="1:31">
      <c r="A25" s="5" t="s">
        <v>645</v>
      </c>
      <c r="B25" s="128"/>
      <c r="C25" s="839">
        <v>0</v>
      </c>
      <c r="D25" s="839">
        <v>0.36754838452159339</v>
      </c>
      <c r="E25" s="839">
        <v>0</v>
      </c>
      <c r="F25" s="840">
        <v>0.36754838452159339</v>
      </c>
      <c r="G25" s="830">
        <v>0</v>
      </c>
      <c r="H25" s="830">
        <v>0</v>
      </c>
      <c r="I25" s="830">
        <v>6.5833912664878758E-2</v>
      </c>
      <c r="J25" s="830">
        <v>9.8111159713707263E-2</v>
      </c>
      <c r="K25" s="830">
        <v>0</v>
      </c>
      <c r="L25" s="830">
        <v>9.137929313167712</v>
      </c>
      <c r="M25" s="830">
        <v>0</v>
      </c>
      <c r="N25" s="830">
        <v>0.19403341828278278</v>
      </c>
      <c r="O25" s="830">
        <v>0</v>
      </c>
      <c r="P25" s="830">
        <v>0</v>
      </c>
      <c r="Q25" s="830">
        <v>0</v>
      </c>
      <c r="R25" s="840">
        <v>9.4959078038290805</v>
      </c>
      <c r="S25" s="830">
        <v>15.447935030220744</v>
      </c>
      <c r="T25" s="839">
        <v>0</v>
      </c>
      <c r="U25" s="839">
        <v>0</v>
      </c>
      <c r="V25" s="840">
        <v>15.447935030220744</v>
      </c>
      <c r="W25" s="840">
        <v>25.311391218571419</v>
      </c>
      <c r="X25" s="839">
        <v>0</v>
      </c>
      <c r="Y25" s="830">
        <v>3.5250777025727995</v>
      </c>
      <c r="Z25" s="832">
        <v>-2.0610465890427507</v>
      </c>
      <c r="AA25" s="841">
        <v>0</v>
      </c>
      <c r="AB25" s="841">
        <v>0</v>
      </c>
      <c r="AC25" s="831">
        <v>26.775422332101467</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2.553071552008769</v>
      </c>
      <c r="AA26" s="849"/>
      <c r="AB26" s="846"/>
      <c r="AC26" s="847"/>
      <c r="AE26" s="38"/>
    </row>
    <row r="27" spans="1:31">
      <c r="A27" s="3"/>
      <c r="B27" s="6" t="s">
        <v>157</v>
      </c>
      <c r="C27" s="833">
        <v>0</v>
      </c>
      <c r="D27" s="833">
        <v>6.4476425012852528E-2</v>
      </c>
      <c r="E27" s="833">
        <v>0</v>
      </c>
      <c r="F27" s="834">
        <v>6.4476425012852528E-2</v>
      </c>
      <c r="G27" s="833">
        <v>0</v>
      </c>
      <c r="H27" s="833">
        <v>0</v>
      </c>
      <c r="I27" s="833">
        <v>4.4539155351236495E-2</v>
      </c>
      <c r="J27" s="833">
        <v>6.2586324918953331E-4</v>
      </c>
      <c r="K27" s="833">
        <v>0</v>
      </c>
      <c r="L27" s="833">
        <v>5.5609339446082107</v>
      </c>
      <c r="M27" s="833">
        <v>0</v>
      </c>
      <c r="N27" s="833">
        <v>0</v>
      </c>
      <c r="O27" s="833">
        <v>0</v>
      </c>
      <c r="P27" s="833">
        <v>0</v>
      </c>
      <c r="Q27" s="833">
        <v>0</v>
      </c>
      <c r="R27" s="834">
        <v>5.6060989632086367</v>
      </c>
      <c r="S27" s="833">
        <v>0.22691084842530401</v>
      </c>
      <c r="T27" s="833">
        <v>0</v>
      </c>
      <c r="U27" s="833">
        <v>0</v>
      </c>
      <c r="V27" s="834">
        <v>0.22691084842530401</v>
      </c>
      <c r="W27" s="834">
        <v>5.8974862366467935</v>
      </c>
      <c r="X27" s="833">
        <v>0</v>
      </c>
      <c r="Y27" s="833">
        <v>1.2572373373727999</v>
      </c>
      <c r="Z27" s="833">
        <v>2.496900161019096</v>
      </c>
      <c r="AA27" s="835">
        <v>0</v>
      </c>
      <c r="AB27" s="835">
        <v>0</v>
      </c>
      <c r="AC27" s="834">
        <v>9.6516237350386902</v>
      </c>
    </row>
    <row r="28" spans="1:31">
      <c r="A28" s="3"/>
      <c r="B28" s="6" t="s">
        <v>158</v>
      </c>
      <c r="C28" s="833">
        <v>0</v>
      </c>
      <c r="D28" s="833">
        <v>2.8369394181579707E-4</v>
      </c>
      <c r="E28" s="833">
        <v>0</v>
      </c>
      <c r="F28" s="834">
        <v>2.8369394181579707E-4</v>
      </c>
      <c r="G28" s="833">
        <v>0</v>
      </c>
      <c r="H28" s="833">
        <v>0</v>
      </c>
      <c r="I28" s="833">
        <v>1.6188867916591078E-3</v>
      </c>
      <c r="J28" s="833">
        <v>4.9088732644940599E-4</v>
      </c>
      <c r="K28" s="833">
        <v>0</v>
      </c>
      <c r="L28" s="833">
        <v>1.9959635946355427</v>
      </c>
      <c r="M28" s="833">
        <v>0</v>
      </c>
      <c r="N28" s="833">
        <v>0</v>
      </c>
      <c r="O28" s="833">
        <v>0</v>
      </c>
      <c r="P28" s="833">
        <v>0</v>
      </c>
      <c r="Q28" s="833">
        <v>0</v>
      </c>
      <c r="R28" s="834">
        <v>1.9980733687536512</v>
      </c>
      <c r="S28" s="833">
        <v>0.2468938253688</v>
      </c>
      <c r="T28" s="833">
        <v>0</v>
      </c>
      <c r="U28" s="833">
        <v>0</v>
      </c>
      <c r="V28" s="834">
        <v>0.2468938253688</v>
      </c>
      <c r="W28" s="834">
        <v>2.245250888064267</v>
      </c>
      <c r="X28" s="833">
        <v>0</v>
      </c>
      <c r="Y28" s="833">
        <v>1.8958881773317997</v>
      </c>
      <c r="Z28" s="833">
        <v>6.7123015838887856E-2</v>
      </c>
      <c r="AA28" s="835">
        <v>0</v>
      </c>
      <c r="AB28" s="835">
        <v>0</v>
      </c>
      <c r="AC28" s="834">
        <v>4.2082620812349543</v>
      </c>
    </row>
    <row r="29" spans="1:31">
      <c r="A29" s="3"/>
      <c r="B29" s="6" t="s">
        <v>159</v>
      </c>
      <c r="C29" s="833">
        <v>0</v>
      </c>
      <c r="D29" s="833">
        <v>0.30278826556692506</v>
      </c>
      <c r="E29" s="833">
        <v>0</v>
      </c>
      <c r="F29" s="834">
        <v>0.30278826556692506</v>
      </c>
      <c r="G29" s="833">
        <v>0</v>
      </c>
      <c r="H29" s="833">
        <v>0</v>
      </c>
      <c r="I29" s="833">
        <v>1.1374946424292169E-2</v>
      </c>
      <c r="J29" s="833">
        <v>1.0973361729954556E-3</v>
      </c>
      <c r="K29" s="833">
        <v>0</v>
      </c>
      <c r="L29" s="833">
        <v>0.61130203309669995</v>
      </c>
      <c r="M29" s="833">
        <v>0</v>
      </c>
      <c r="N29" s="833">
        <v>0.18866219838654458</v>
      </c>
      <c r="O29" s="833">
        <v>0</v>
      </c>
      <c r="P29" s="833">
        <v>0</v>
      </c>
      <c r="Q29" s="833">
        <v>0</v>
      </c>
      <c r="R29" s="834">
        <v>0.81243651408053208</v>
      </c>
      <c r="S29" s="833">
        <v>14.97413035642664</v>
      </c>
      <c r="T29" s="833">
        <v>0</v>
      </c>
      <c r="U29" s="833">
        <v>0</v>
      </c>
      <c r="V29" s="834">
        <v>14.97413035642664</v>
      </c>
      <c r="W29" s="834">
        <v>16.089355136074097</v>
      </c>
      <c r="X29" s="833">
        <v>0</v>
      </c>
      <c r="Y29" s="833">
        <v>0.37184570850819992</v>
      </c>
      <c r="Z29" s="833">
        <v>-5.6729383426217348</v>
      </c>
      <c r="AA29" s="835">
        <v>0</v>
      </c>
      <c r="AB29" s="835">
        <v>0</v>
      </c>
      <c r="AC29" s="834">
        <v>10.788262501960563</v>
      </c>
    </row>
    <row r="30" spans="1:31">
      <c r="A30" s="3"/>
      <c r="B30" s="6" t="s">
        <v>160</v>
      </c>
      <c r="C30" s="833">
        <v>0</v>
      </c>
      <c r="D30" s="833">
        <v>0</v>
      </c>
      <c r="E30" s="833">
        <v>0</v>
      </c>
      <c r="F30" s="834">
        <v>0</v>
      </c>
      <c r="G30" s="833">
        <v>0</v>
      </c>
      <c r="H30" s="833">
        <v>0</v>
      </c>
      <c r="I30" s="833">
        <v>8.2991664105939913E-3</v>
      </c>
      <c r="J30" s="833">
        <v>6.1016075413733821E-3</v>
      </c>
      <c r="K30" s="833">
        <v>0</v>
      </c>
      <c r="L30" s="833">
        <v>0.95949955109545859</v>
      </c>
      <c r="M30" s="833">
        <v>0</v>
      </c>
      <c r="N30" s="833">
        <v>5.3712198962382182E-3</v>
      </c>
      <c r="O30" s="833">
        <v>0</v>
      </c>
      <c r="P30" s="833">
        <v>0</v>
      </c>
      <c r="Q30" s="833">
        <v>0</v>
      </c>
      <c r="R30" s="834">
        <v>0.9792715449436642</v>
      </c>
      <c r="S30" s="833">
        <v>0</v>
      </c>
      <c r="T30" s="833">
        <v>0</v>
      </c>
      <c r="U30" s="833">
        <v>0</v>
      </c>
      <c r="V30" s="834">
        <v>0</v>
      </c>
      <c r="W30" s="834">
        <v>0.9792715449436642</v>
      </c>
      <c r="X30" s="833">
        <v>0</v>
      </c>
      <c r="Y30" s="833">
        <v>1.0647935999999999E-4</v>
      </c>
      <c r="Z30" s="833">
        <v>1.0478685767209999</v>
      </c>
      <c r="AA30" s="835">
        <v>0</v>
      </c>
      <c r="AB30" s="835">
        <v>0</v>
      </c>
      <c r="AC30" s="834">
        <v>2.0272466010246641</v>
      </c>
    </row>
    <row r="31" spans="1:31">
      <c r="A31" s="3"/>
      <c r="B31" s="6" t="s">
        <v>161</v>
      </c>
      <c r="C31" s="833">
        <v>0</v>
      </c>
      <c r="D31" s="833">
        <v>0</v>
      </c>
      <c r="E31" s="833">
        <v>0</v>
      </c>
      <c r="F31" s="834">
        <v>0</v>
      </c>
      <c r="G31" s="833">
        <v>0</v>
      </c>
      <c r="H31" s="833">
        <v>0</v>
      </c>
      <c r="I31" s="833">
        <v>1.7576870969999998E-6</v>
      </c>
      <c r="J31" s="833">
        <v>8.6829831279295638E-2</v>
      </c>
      <c r="K31" s="833">
        <v>0</v>
      </c>
      <c r="L31" s="833">
        <v>6.8157765275399856E-3</v>
      </c>
      <c r="M31" s="833">
        <v>0</v>
      </c>
      <c r="N31" s="833">
        <v>0</v>
      </c>
      <c r="O31" s="833">
        <v>0</v>
      </c>
      <c r="P31" s="833">
        <v>0</v>
      </c>
      <c r="Q31" s="833">
        <v>0</v>
      </c>
      <c r="R31" s="834">
        <v>9.3647365493932613E-2</v>
      </c>
      <c r="S31" s="833">
        <v>0</v>
      </c>
      <c r="T31" s="833">
        <v>0</v>
      </c>
      <c r="U31" s="833">
        <v>0</v>
      </c>
      <c r="V31" s="834">
        <v>0</v>
      </c>
      <c r="W31" s="834">
        <v>9.3647365493932613E-2</v>
      </c>
      <c r="X31" s="833">
        <v>0</v>
      </c>
      <c r="Y31" s="833">
        <v>0</v>
      </c>
      <c r="Z31" s="833">
        <v>0</v>
      </c>
      <c r="AA31" s="835">
        <v>0</v>
      </c>
      <c r="AB31" s="835">
        <v>0</v>
      </c>
      <c r="AC31" s="834">
        <v>9.3647365493932613E-2</v>
      </c>
    </row>
    <row r="32" spans="1:31">
      <c r="A32" s="4"/>
      <c r="B32" s="127" t="s">
        <v>162</v>
      </c>
      <c r="C32" s="851">
        <v>0</v>
      </c>
      <c r="D32" s="851">
        <v>0</v>
      </c>
      <c r="E32" s="851">
        <v>0</v>
      </c>
      <c r="F32" s="850">
        <v>0</v>
      </c>
      <c r="G32" s="851">
        <v>0</v>
      </c>
      <c r="H32" s="851">
        <v>0</v>
      </c>
      <c r="I32" s="851">
        <v>0</v>
      </c>
      <c r="J32" s="851">
        <v>2.96563414440384E-3</v>
      </c>
      <c r="K32" s="851">
        <v>0</v>
      </c>
      <c r="L32" s="851">
        <v>3.4144132042593003E-3</v>
      </c>
      <c r="M32" s="851">
        <v>0</v>
      </c>
      <c r="N32" s="851">
        <v>0</v>
      </c>
      <c r="O32" s="851">
        <v>0</v>
      </c>
      <c r="P32" s="851">
        <v>0</v>
      </c>
      <c r="Q32" s="851">
        <v>0</v>
      </c>
      <c r="R32" s="850">
        <v>6.3800473486631398E-3</v>
      </c>
      <c r="S32" s="851">
        <v>0</v>
      </c>
      <c r="T32" s="851">
        <v>0</v>
      </c>
      <c r="U32" s="851">
        <v>0</v>
      </c>
      <c r="V32" s="850">
        <v>0</v>
      </c>
      <c r="W32" s="850">
        <v>6.3800473486631398E-3</v>
      </c>
      <c r="X32" s="851">
        <v>0</v>
      </c>
      <c r="Y32" s="851">
        <v>0</v>
      </c>
      <c r="Z32" s="851">
        <v>0</v>
      </c>
      <c r="AA32" s="852">
        <v>0</v>
      </c>
      <c r="AB32" s="852">
        <v>0</v>
      </c>
      <c r="AC32" s="850">
        <v>6.3800473486631398E-3</v>
      </c>
    </row>
    <row r="35" spans="5:8">
      <c r="E35" s="888"/>
      <c r="F35" s="888"/>
      <c r="G35" s="888"/>
      <c r="H35" s="88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0" t="s">
        <v>461</v>
      </c>
      <c r="B2" s="119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463</v>
      </c>
      <c r="C6" s="161" t="s">
        <v>479</v>
      </c>
    </row>
    <row r="7" spans="1:3" s="11" customFormat="1">
      <c r="A7" s="132"/>
      <c r="B7" s="133"/>
      <c r="C7" s="134"/>
    </row>
    <row r="8" spans="1:3" s="11" customFormat="1" ht="60">
      <c r="A8" s="113" t="s">
        <v>148</v>
      </c>
      <c r="B8" s="130" t="s">
        <v>463</v>
      </c>
      <c r="C8" s="305" t="s">
        <v>480</v>
      </c>
    </row>
    <row r="9" spans="1:3" s="11" customFormat="1">
      <c r="A9" s="132"/>
      <c r="B9" s="133"/>
      <c r="C9" s="134"/>
    </row>
    <row r="10" spans="1:3" s="11" customFormat="1" ht="60">
      <c r="A10" s="113" t="s">
        <v>149</v>
      </c>
      <c r="B10" s="130" t="s">
        <v>463</v>
      </c>
      <c r="C10" s="305" t="s">
        <v>480</v>
      </c>
    </row>
    <row r="11" spans="1:3" s="11" customFormat="1">
      <c r="A11" s="132"/>
      <c r="B11" s="133"/>
      <c r="C11" s="134"/>
    </row>
    <row r="12" spans="1:3" s="11" customFormat="1" ht="60">
      <c r="A12" s="113" t="s">
        <v>376</v>
      </c>
      <c r="B12" s="130" t="s">
        <v>463</v>
      </c>
      <c r="C12" s="305" t="s">
        <v>480</v>
      </c>
    </row>
    <row r="13" spans="1:3" s="11" customFormat="1">
      <c r="A13" s="132"/>
      <c r="B13" s="133"/>
      <c r="C13" s="134"/>
    </row>
    <row r="14" spans="1:3" s="11" customFormat="1" ht="60">
      <c r="A14" s="113" t="s">
        <v>105</v>
      </c>
      <c r="B14" s="130" t="s">
        <v>481</v>
      </c>
      <c r="C14" s="305" t="s">
        <v>480</v>
      </c>
    </row>
    <row r="15" spans="1:3" s="11" customFormat="1" ht="63">
      <c r="A15" s="123"/>
      <c r="B15" s="130" t="s">
        <v>482</v>
      </c>
      <c r="C15" s="305"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379</v>
      </c>
      <c r="B19" s="304" t="s">
        <v>530</v>
      </c>
      <c r="C19" s="161" t="s">
        <v>531</v>
      </c>
    </row>
    <row r="20" spans="1:3" s="11" customFormat="1">
      <c r="A20" s="113"/>
      <c r="B20" s="130"/>
      <c r="C20" s="131"/>
    </row>
    <row r="21" spans="1:3" ht="21">
      <c r="A21" s="126" t="s">
        <v>465</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2" t="s">
        <v>187</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1616.146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528</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466</v>
      </c>
      <c r="B8" s="21">
        <f>MAX((B5+B6),0)</f>
        <v>1616.146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0.19383593642518931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313.26717330982399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2" t="s">
        <v>148</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44444.987735000002</v>
      </c>
      <c r="C5" s="17">
        <f>IF(ISERROR('Eigen informatie GS &amp; warmtenet'!B57),0,'Eigen informatie GS &amp; warmtenet'!B57)</f>
        <v>0</v>
      </c>
      <c r="D5" s="30">
        <f>(SUM(HH_hh_gas_kWh,HH_rest_gas_kWh)/1000)*0.902</f>
        <v>114801.21148275999</v>
      </c>
      <c r="E5" s="17">
        <f>B32*B41</f>
        <v>1797.9613708381578</v>
      </c>
      <c r="F5" s="17">
        <f>B36*B45</f>
        <v>48883.010839337265</v>
      </c>
      <c r="G5" s="18"/>
      <c r="H5" s="17"/>
      <c r="I5" s="17"/>
      <c r="J5" s="17">
        <f>B35*B44+C35*C44</f>
        <v>901.49003103168855</v>
      </c>
      <c r="K5" s="17"/>
      <c r="L5" s="17"/>
      <c r="M5" s="17"/>
      <c r="N5" s="17">
        <f>B34*B43+C34*C43</f>
        <v>15211.536752719894</v>
      </c>
      <c r="O5" s="17">
        <f>B52*B53*B54</f>
        <v>264.20333333333338</v>
      </c>
      <c r="P5" s="17">
        <f>B60*B61*B62/1000-B60*B61*B62/1000/B63</f>
        <v>1182.1333333333332</v>
      </c>
    </row>
    <row r="6" spans="1:16">
      <c r="A6" s="16" t="s">
        <v>611</v>
      </c>
      <c r="B6" s="754">
        <f>kWh_PV_kleiner_dan_10kW</f>
        <v>5086.4131629188432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49531.400897918844</v>
      </c>
      <c r="C8" s="21">
        <f>C5</f>
        <v>0</v>
      </c>
      <c r="D8" s="21">
        <f>D5</f>
        <v>114801.21148275999</v>
      </c>
      <c r="E8" s="21">
        <f>E5</f>
        <v>1797.9613708381578</v>
      </c>
      <c r="F8" s="21">
        <f>F5</f>
        <v>48883.010839337265</v>
      </c>
      <c r="G8" s="21"/>
      <c r="H8" s="21"/>
      <c r="I8" s="21"/>
      <c r="J8" s="21">
        <f>J5</f>
        <v>901.49003103168855</v>
      </c>
      <c r="K8" s="21"/>
      <c r="L8" s="21">
        <f>L5</f>
        <v>0</v>
      </c>
      <c r="M8" s="21">
        <f>M5</f>
        <v>0</v>
      </c>
      <c r="N8" s="21">
        <f>N5</f>
        <v>15211.536752719894</v>
      </c>
      <c r="O8" s="21">
        <f>O5</f>
        <v>264.20333333333338</v>
      </c>
      <c r="P8" s="21">
        <f>P5</f>
        <v>1182.1333333333332</v>
      </c>
    </row>
    <row r="9" spans="1:16">
      <c r="B9" s="19"/>
      <c r="C9" s="19"/>
      <c r="D9" s="254"/>
      <c r="E9" s="19"/>
      <c r="F9" s="19"/>
      <c r="G9" s="19"/>
      <c r="H9" s="19"/>
      <c r="I9" s="19"/>
      <c r="J9" s="19"/>
      <c r="K9" s="19"/>
      <c r="L9" s="19"/>
      <c r="M9" s="19"/>
      <c r="N9" s="19"/>
      <c r="O9" s="19"/>
      <c r="P9" s="19"/>
    </row>
    <row r="10" spans="1:16">
      <c r="A10" s="24" t="s">
        <v>207</v>
      </c>
      <c r="B10" s="25">
        <f ca="1">'EF ele_warmte'!B12</f>
        <v>0.19383593642518931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9600.9654754995627</v>
      </c>
      <c r="C12" s="23">
        <f ca="1">C10*C8</f>
        <v>0</v>
      </c>
      <c r="D12" s="23">
        <f>D8*D10</f>
        <v>23189.844719517518</v>
      </c>
      <c r="E12" s="23">
        <f>E10*E8</f>
        <v>408.13723118026184</v>
      </c>
      <c r="F12" s="23">
        <f>F10*F8</f>
        <v>13051.763894103051</v>
      </c>
      <c r="G12" s="23"/>
      <c r="H12" s="23"/>
      <c r="I12" s="23"/>
      <c r="J12" s="23">
        <f>J10*J8</f>
        <v>319.12747098521771</v>
      </c>
      <c r="K12" s="23"/>
      <c r="L12" s="23">
        <f>L10*L8</f>
        <v>0</v>
      </c>
      <c r="M12" s="23">
        <f>M10*M8</f>
        <v>0</v>
      </c>
      <c r="N12" s="23">
        <f>N10*N8</f>
        <v>0</v>
      </c>
      <c r="O12" s="23">
        <f>O10*O8</f>
        <v>0</v>
      </c>
      <c r="P12" s="23">
        <f>P10*P8</f>
        <v>0</v>
      </c>
    </row>
    <row r="15" spans="1:16">
      <c r="A15" s="190" t="s">
        <v>477</v>
      </c>
      <c r="B15" s="200"/>
      <c r="C15" s="200"/>
      <c r="D15" s="222"/>
    </row>
    <row r="16" spans="1:16">
      <c r="A16" s="3"/>
      <c r="B16" s="43"/>
      <c r="C16" s="43"/>
      <c r="D16" s="171"/>
    </row>
    <row r="17" spans="1:5">
      <c r="A17" s="223" t="s">
        <v>896</v>
      </c>
      <c r="B17" s="199" t="s">
        <v>889</v>
      </c>
      <c r="C17" s="199" t="s">
        <v>890</v>
      </c>
      <c r="D17" s="224" t="s">
        <v>175</v>
      </c>
      <c r="E17" s="15"/>
    </row>
    <row r="18" spans="1:5">
      <c r="A18" s="241" t="s">
        <v>77</v>
      </c>
      <c r="B18" s="1056">
        <v>0.70239401140003854</v>
      </c>
      <c r="C18" s="1056"/>
      <c r="D18" s="225" t="s">
        <v>898</v>
      </c>
      <c r="E18" s="15"/>
    </row>
    <row r="19" spans="1:5">
      <c r="A19" s="241" t="s">
        <v>891</v>
      </c>
      <c r="B19" s="1056">
        <v>2.179367249742245E-2</v>
      </c>
      <c r="C19" s="1056"/>
      <c r="D19" s="226"/>
      <c r="E19" s="15"/>
    </row>
    <row r="20" spans="1:5">
      <c r="A20" s="241" t="s">
        <v>892</v>
      </c>
      <c r="B20" s="1056"/>
      <c r="C20" s="1056"/>
      <c r="D20" s="226"/>
      <c r="E20" s="15"/>
    </row>
    <row r="21" spans="1:5">
      <c r="A21" s="241" t="s">
        <v>893</v>
      </c>
      <c r="B21" s="1056">
        <v>6.4534268311957424E-3</v>
      </c>
      <c r="C21" s="1056"/>
      <c r="D21" s="226"/>
      <c r="E21" s="15"/>
    </row>
    <row r="22" spans="1:5">
      <c r="A22" s="241" t="s">
        <v>894</v>
      </c>
      <c r="B22" s="1056">
        <v>0.22473176571946499</v>
      </c>
      <c r="C22" s="1056"/>
      <c r="D22" s="226"/>
      <c r="E22" s="15"/>
    </row>
    <row r="23" spans="1:5">
      <c r="A23" s="241" t="s">
        <v>78</v>
      </c>
      <c r="B23" s="1056"/>
      <c r="C23" s="1056"/>
      <c r="D23" s="225"/>
      <c r="E23" s="52"/>
    </row>
    <row r="24" spans="1:5">
      <c r="A24" s="241" t="s">
        <v>895</v>
      </c>
      <c r="B24" s="1056">
        <v>4.4627123551878541E-2</v>
      </c>
      <c r="C24" s="1056">
        <v>0.2046623403986654</v>
      </c>
      <c r="D24" s="225"/>
      <c r="E24" s="15"/>
    </row>
    <row r="25" spans="1:5" s="15" customFormat="1">
      <c r="A25" s="168"/>
      <c r="B25" s="29"/>
      <c r="C25" s="36"/>
      <c r="D25" s="225"/>
    </row>
    <row r="26" spans="1:5" s="15" customFormat="1">
      <c r="A26" s="227" t="s">
        <v>679</v>
      </c>
      <c r="B26" s="37">
        <f>aantalHuishoudens</f>
        <v>12062</v>
      </c>
      <c r="C26" s="36"/>
      <c r="D26" s="225"/>
    </row>
    <row r="27" spans="1:5" s="15" customFormat="1">
      <c r="A27" s="227" t="s">
        <v>680</v>
      </c>
      <c r="B27" s="37">
        <f>SUM(HH_hh_gas_aantal,HH_rest_gas_aantal)</f>
        <v>9038</v>
      </c>
      <c r="C27" s="36"/>
      <c r="D27" s="225"/>
    </row>
    <row r="28" spans="1:5" s="15" customFormat="1">
      <c r="A28" s="228"/>
      <c r="B28" s="29"/>
      <c r="C28" s="36"/>
      <c r="D28" s="229"/>
    </row>
    <row r="29" spans="1:5">
      <c r="A29" s="3"/>
      <c r="B29" s="43"/>
      <c r="C29" s="43"/>
      <c r="D29" s="171"/>
    </row>
    <row r="30" spans="1:5">
      <c r="A30" s="169" t="s">
        <v>469</v>
      </c>
      <c r="B30" s="166" t="s">
        <v>677</v>
      </c>
      <c r="C30" s="166" t="s">
        <v>678</v>
      </c>
      <c r="D30" s="171"/>
    </row>
    <row r="31" spans="1:5">
      <c r="A31" s="168" t="s">
        <v>897</v>
      </c>
      <c r="B31" s="33">
        <f>B27-0.05*B27</f>
        <v>8586.1</v>
      </c>
      <c r="C31" s="34" t="s">
        <v>104</v>
      </c>
      <c r="D31" s="171"/>
    </row>
    <row r="32" spans="1:5">
      <c r="A32" s="168" t="s">
        <v>72</v>
      </c>
      <c r="B32" s="33">
        <f>IF((B21*($B$26-($B$27-0.05*$B$27)-$B$60))&lt;0,0,B21*($B$26-($B$27-0.05*$B$27)-$B$60))</f>
        <v>22.031353859019141</v>
      </c>
      <c r="C32" s="34" t="s">
        <v>104</v>
      </c>
      <c r="D32" s="171"/>
    </row>
    <row r="33" spans="1:6">
      <c r="A33" s="168" t="s">
        <v>73</v>
      </c>
      <c r="B33" s="33">
        <f>IF((B22*($B$26-($B$27-0.05*$B$27)-$B$60))&lt;0,0,B22*($B$26-($B$27-0.05*$B$27)-$B$60))</f>
        <v>767.21177498968143</v>
      </c>
      <c r="C33" s="34" t="s">
        <v>104</v>
      </c>
      <c r="D33" s="171"/>
    </row>
    <row r="34" spans="1:6">
      <c r="A34" s="168" t="s">
        <v>74</v>
      </c>
      <c r="B34" s="33">
        <f>IF((B24*($B$26-($B$27-0.05*$B$27)-$B$60))&lt;0,0,B24*($B$26-($B$27-0.05*$B$27)-$B$60))</f>
        <v>152.35253709375814</v>
      </c>
      <c r="C34" s="33">
        <f>B26*C24</f>
        <v>2468.637149888702</v>
      </c>
      <c r="D34" s="230"/>
    </row>
    <row r="35" spans="1:6">
      <c r="A35" s="168" t="s">
        <v>76</v>
      </c>
      <c r="B35" s="33">
        <f>IF((B19*($B$26-($B$27-0.05*$B$27)-$B$60))&lt;0,0,B19*($B$26-($B$27-0.05*$B$27)-$B$60))</f>
        <v>74.401418538950495</v>
      </c>
      <c r="C35" s="33">
        <f>B35/2</f>
        <v>37.200709269475247</v>
      </c>
      <c r="D35" s="230"/>
    </row>
    <row r="36" spans="1:6">
      <c r="A36" s="168" t="s">
        <v>77</v>
      </c>
      <c r="B36" s="33">
        <f>IF((B18*($B$26-($B$27-0.05*$B$27)-$B$60))&lt;0,0,B18*($B$26-($B$27-0.05*$B$27)-$B$60))</f>
        <v>2397.9029155185913</v>
      </c>
      <c r="C36" s="34" t="s">
        <v>104</v>
      </c>
      <c r="D36" s="171"/>
    </row>
    <row r="37" spans="1:6">
      <c r="A37" s="168" t="s">
        <v>78</v>
      </c>
      <c r="B37" s="33">
        <f>B60</f>
        <v>62</v>
      </c>
      <c r="C37" s="34" t="s">
        <v>104</v>
      </c>
      <c r="D37" s="171"/>
    </row>
    <row r="38" spans="1:6">
      <c r="A38" s="3"/>
      <c r="B38" s="43"/>
      <c r="C38" s="43"/>
      <c r="D38" s="171"/>
    </row>
    <row r="39" spans="1:6">
      <c r="A39" s="169" t="s">
        <v>472</v>
      </c>
      <c r="B39" s="165" t="s">
        <v>675</v>
      </c>
      <c r="C39" s="165" t="s">
        <v>676</v>
      </c>
      <c r="D39" s="293" t="s">
        <v>898</v>
      </c>
      <c r="E39" s="162"/>
      <c r="F39" s="162"/>
    </row>
    <row r="40" spans="1:6">
      <c r="A40" s="168" t="s">
        <v>70</v>
      </c>
      <c r="B40" s="163">
        <v>13.887300543753122</v>
      </c>
      <c r="C40" s="167" t="s">
        <v>104</v>
      </c>
      <c r="D40" s="170"/>
      <c r="E40" s="163"/>
      <c r="F40" s="163"/>
    </row>
    <row r="41" spans="1:6">
      <c r="A41" s="168" t="s">
        <v>72</v>
      </c>
      <c r="B41" s="163">
        <v>81.609209417791305</v>
      </c>
      <c r="C41" s="167" t="s">
        <v>104</v>
      </c>
      <c r="D41" s="170"/>
      <c r="E41" s="163"/>
      <c r="F41" s="163"/>
    </row>
    <row r="42" spans="1:6">
      <c r="A42" s="168" t="s">
        <v>73</v>
      </c>
      <c r="B42" s="163">
        <v>9.7333635948071429</v>
      </c>
      <c r="C42" s="167" t="s">
        <v>104</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470</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169</v>
      </c>
      <c r="C52" s="43"/>
      <c r="D52" s="170"/>
    </row>
    <row r="53" spans="1:4">
      <c r="A53" s="168" t="s">
        <v>467</v>
      </c>
      <c r="B53" s="307">
        <v>4.2</v>
      </c>
      <c r="C53" s="43"/>
      <c r="D53" s="301" t="s">
        <v>497</v>
      </c>
    </row>
    <row r="54" spans="1:4">
      <c r="A54" s="241" t="s">
        <v>468</v>
      </c>
      <c r="B54" s="312">
        <f>1.34/3.6</f>
        <v>0.37222222222222223</v>
      </c>
      <c r="C54" s="43" t="s">
        <v>208</v>
      </c>
      <c r="D54" s="301" t="s">
        <v>497</v>
      </c>
    </row>
    <row r="55" spans="1:4">
      <c r="A55" s="172"/>
      <c r="B55" s="242"/>
      <c r="C55" s="175"/>
      <c r="D55" s="176"/>
    </row>
    <row r="56" spans="1:4">
      <c r="D56" s="164"/>
    </row>
    <row r="57" spans="1:4">
      <c r="A57" s="191" t="s">
        <v>471</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62</v>
      </c>
      <c r="C60" s="32"/>
      <c r="D60" s="174"/>
    </row>
    <row r="61" spans="1:4">
      <c r="A61" s="168" t="s">
        <v>437</v>
      </c>
      <c r="B61" s="307">
        <v>13</v>
      </c>
      <c r="C61" s="32" t="s">
        <v>252</v>
      </c>
      <c r="D61" s="301" t="s">
        <v>497</v>
      </c>
    </row>
    <row r="62" spans="1:4">
      <c r="A62" s="168" t="s">
        <v>438</v>
      </c>
      <c r="B62" s="307">
        <v>2000</v>
      </c>
      <c r="C62" s="32" t="s">
        <v>254</v>
      </c>
      <c r="D62" s="301" t="s">
        <v>497</v>
      </c>
    </row>
    <row r="63" spans="1:4">
      <c r="A63" s="168" t="s">
        <v>399</v>
      </c>
      <c r="B63" s="307">
        <v>3.75</v>
      </c>
      <c r="C63" s="43"/>
      <c r="D63" s="301" t="s">
        <v>497</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149</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39813.397831859991</v>
      </c>
      <c r="C5" s="17">
        <f>IF(ISERROR('Eigen informatie GS &amp; warmtenet'!B58),0,'Eigen informatie GS &amp; warmtenet'!B58)</f>
        <v>0</v>
      </c>
      <c r="D5" s="30">
        <f>SUM(D6:D12)</f>
        <v>44001.123015185593</v>
      </c>
      <c r="E5" s="17">
        <f>SUM(E6:E12)</f>
        <v>786.54956462817745</v>
      </c>
      <c r="F5" s="17">
        <f>SUM(F6:F12)</f>
        <v>9627.761062846821</v>
      </c>
      <c r="G5" s="18"/>
      <c r="H5" s="17"/>
      <c r="I5" s="17"/>
      <c r="J5" s="17">
        <f>SUM(J6:J12)</f>
        <v>0</v>
      </c>
      <c r="K5" s="17"/>
      <c r="L5" s="17"/>
      <c r="M5" s="17"/>
      <c r="N5" s="17">
        <f>SUM(N6:N12)</f>
        <v>3581.0082475010722</v>
      </c>
      <c r="O5" s="17">
        <f>B38*B39*B40</f>
        <v>4.6900000000000004</v>
      </c>
      <c r="P5" s="17">
        <f>B46*B47*B48/1000-B46*B47*B48/1000/B49</f>
        <v>38.133333333333333</v>
      </c>
      <c r="R5" s="32"/>
    </row>
    <row r="6" spans="1:18">
      <c r="A6" s="32" t="s">
        <v>53</v>
      </c>
      <c r="B6" s="37">
        <f>B26</f>
        <v>12052.963915999999</v>
      </c>
      <c r="C6" s="33"/>
      <c r="D6" s="37">
        <f>IF(ISERROR(TER_kantoor_gas_kWh/1000),0,TER_kantoor_gas_kWh/1000)*0.902</f>
        <v>9524.035094244</v>
      </c>
      <c r="E6" s="33">
        <f>$C$26*'E Balans VL '!I12/100/3.6*1000000</f>
        <v>157.78814475909545</v>
      </c>
      <c r="F6" s="33">
        <f>$C$26*('E Balans VL '!L12+'E Balans VL '!N12)/100/3.6*1000000</f>
        <v>3073.38124790347</v>
      </c>
      <c r="G6" s="34"/>
      <c r="H6" s="33"/>
      <c r="I6" s="33"/>
      <c r="J6" s="33">
        <f>$C$26*('E Balans VL '!D12+'E Balans VL '!E12)/100/3.6*1000000</f>
        <v>0</v>
      </c>
      <c r="K6" s="33"/>
      <c r="L6" s="33"/>
      <c r="M6" s="33"/>
      <c r="N6" s="33">
        <f>$C$26*'E Balans VL '!Y12/100/3.6*1000000</f>
        <v>12.093551626396518</v>
      </c>
      <c r="O6" s="33"/>
      <c r="P6" s="33"/>
      <c r="R6" s="32"/>
    </row>
    <row r="7" spans="1:18">
      <c r="A7" s="32" t="s">
        <v>52</v>
      </c>
      <c r="B7" s="37">
        <f t="shared" ref="B7:B12" si="0">B27</f>
        <v>2207.7411115</v>
      </c>
      <c r="C7" s="33"/>
      <c r="D7" s="37">
        <f>IF(ISERROR(TER_horeca_gas_kWh/1000),0,TER_horeca_gas_kWh/1000)*0.902</f>
        <v>4409.981330865</v>
      </c>
      <c r="E7" s="33">
        <f>$C$27*'E Balans VL '!I9/100/3.6*1000000</f>
        <v>73.062801551965194</v>
      </c>
      <c r="F7" s="33">
        <f>$C$27*('E Balans VL '!L9+'E Balans VL '!N9)/100/3.6*1000000</f>
        <v>949.32021685618406</v>
      </c>
      <c r="G7" s="34"/>
      <c r="H7" s="33"/>
      <c r="I7" s="33"/>
      <c r="J7" s="33">
        <f>$C$27*('E Balans VL '!D9+'E Balans VL '!E9)/100/3.6*1000000</f>
        <v>0</v>
      </c>
      <c r="K7" s="33"/>
      <c r="L7" s="33"/>
      <c r="M7" s="33"/>
      <c r="N7" s="33">
        <f>$C$27*'E Balans VL '!Y9/100/3.6*1000000</f>
        <v>0.53143534545727289</v>
      </c>
      <c r="O7" s="33"/>
      <c r="P7" s="33"/>
      <c r="R7" s="32"/>
    </row>
    <row r="8" spans="1:18">
      <c r="A8" s="6" t="s">
        <v>51</v>
      </c>
      <c r="B8" s="37">
        <f t="shared" si="0"/>
        <v>14226.60425</v>
      </c>
      <c r="C8" s="33"/>
      <c r="D8" s="37">
        <f>IF(ISERROR(TER_handel_gas_kWh/1000),0,TER_handel_gas_kWh/1000)*0.902</f>
        <v>12665.957710537999</v>
      </c>
      <c r="E8" s="33">
        <f>$C$28*'E Balans VL '!I13/100/3.6*1000000</f>
        <v>449.01336773423975</v>
      </c>
      <c r="F8" s="33">
        <f>$C$28*('E Balans VL '!L13+'E Balans VL '!N13)/100/3.6*1000000</f>
        <v>2790.0876083724957</v>
      </c>
      <c r="G8" s="34"/>
      <c r="H8" s="33"/>
      <c r="I8" s="33"/>
      <c r="J8" s="33">
        <f>$C$28*('E Balans VL '!D13+'E Balans VL '!E13)/100/3.6*1000000</f>
        <v>0</v>
      </c>
      <c r="K8" s="33"/>
      <c r="L8" s="33"/>
      <c r="M8" s="33"/>
      <c r="N8" s="33">
        <f>$C$28*'E Balans VL '!Y13/100/3.6*1000000</f>
        <v>16.884217183443212</v>
      </c>
      <c r="O8" s="33"/>
      <c r="P8" s="33"/>
      <c r="R8" s="32"/>
    </row>
    <row r="9" spans="1:18">
      <c r="A9" s="32" t="s">
        <v>50</v>
      </c>
      <c r="B9" s="37">
        <f t="shared" si="0"/>
        <v>1299.5835612000001</v>
      </c>
      <c r="C9" s="33"/>
      <c r="D9" s="37">
        <f>IF(ISERROR(TER_gezond_gas_kWh/1000),0,TER_gezond_gas_kWh/1000)*0.902</f>
        <v>2443.2585498024</v>
      </c>
      <c r="E9" s="33">
        <f>$C$29*'E Balans VL '!I10/100/3.6*1000000</f>
        <v>0.16638471430712429</v>
      </c>
      <c r="F9" s="33">
        <f>$C$29*('E Balans VL '!L10+'E Balans VL '!N10)/100/3.6*1000000</f>
        <v>270.75772633687438</v>
      </c>
      <c r="G9" s="34"/>
      <c r="H9" s="33"/>
      <c r="I9" s="33"/>
      <c r="J9" s="33">
        <f>$C$29*('E Balans VL '!D10+'E Balans VL '!E10)/100/3.6*1000000</f>
        <v>0</v>
      </c>
      <c r="K9" s="33"/>
      <c r="L9" s="33"/>
      <c r="M9" s="33"/>
      <c r="N9" s="33">
        <f>$C$29*'E Balans VL '!Y10/100/3.6*1000000</f>
        <v>15.264223190239742</v>
      </c>
      <c r="O9" s="33"/>
      <c r="P9" s="33"/>
      <c r="R9" s="32"/>
    </row>
    <row r="10" spans="1:18">
      <c r="A10" s="32" t="s">
        <v>49</v>
      </c>
      <c r="B10" s="37">
        <f t="shared" si="0"/>
        <v>3851.0844522000002</v>
      </c>
      <c r="C10" s="33"/>
      <c r="D10" s="37">
        <f>IF(ISERROR(TER_ander_gas_kWh/1000),0,TER_ander_gas_kWh/1000)*0.902</f>
        <v>5933.2222107598</v>
      </c>
      <c r="E10" s="33">
        <f>$C$30*'E Balans VL '!I14/100/3.6*1000000</f>
        <v>5.7911253735694679</v>
      </c>
      <c r="F10" s="33">
        <f>$C$30*('E Balans VL '!L14+'E Balans VL '!N14)/100/3.6*1000000</f>
        <v>850.19530889047849</v>
      </c>
      <c r="G10" s="34"/>
      <c r="H10" s="33"/>
      <c r="I10" s="33"/>
      <c r="J10" s="33">
        <f>$C$30*('E Balans VL '!D14+'E Balans VL '!E14)/100/3.6*1000000</f>
        <v>0</v>
      </c>
      <c r="K10" s="33"/>
      <c r="L10" s="33"/>
      <c r="M10" s="33"/>
      <c r="N10" s="33">
        <f>$C$30*'E Balans VL '!Y14/100/3.6*1000000</f>
        <v>3034.9137165456191</v>
      </c>
      <c r="O10" s="33"/>
      <c r="P10" s="33"/>
      <c r="R10" s="32"/>
    </row>
    <row r="11" spans="1:18">
      <c r="A11" s="32" t="s">
        <v>54</v>
      </c>
      <c r="B11" s="37">
        <f t="shared" si="0"/>
        <v>504.86948286000001</v>
      </c>
      <c r="C11" s="33"/>
      <c r="D11" s="37">
        <f>IF(ISERROR(TER_onderwijs_gas_kWh/1000),0,TER_onderwijs_gas_kWh/1000)*0.902</f>
        <v>1407.9781223002001</v>
      </c>
      <c r="E11" s="33">
        <f>$C$31*'E Balans VL '!I11/100/3.6*1000000</f>
        <v>0.88911746723288076</v>
      </c>
      <c r="F11" s="33">
        <f>$C$31*('E Balans VL '!L11+'E Balans VL '!N11)/100/3.6*1000000</f>
        <v>233.10737583464478</v>
      </c>
      <c r="G11" s="34"/>
      <c r="H11" s="33"/>
      <c r="I11" s="33"/>
      <c r="J11" s="33">
        <f>$C$31*('E Balans VL '!D11+'E Balans VL '!E11)/100/3.6*1000000</f>
        <v>0</v>
      </c>
      <c r="K11" s="33"/>
      <c r="L11" s="33"/>
      <c r="M11" s="33"/>
      <c r="N11" s="33">
        <f>$C$31*'E Balans VL '!Y11/100/3.6*1000000</f>
        <v>0.94057882829653638</v>
      </c>
      <c r="O11" s="33"/>
      <c r="P11" s="33"/>
      <c r="R11" s="32"/>
    </row>
    <row r="12" spans="1:18">
      <c r="A12" s="32" t="s">
        <v>249</v>
      </c>
      <c r="B12" s="37">
        <f t="shared" si="0"/>
        <v>5670.5510580999999</v>
      </c>
      <c r="C12" s="33"/>
      <c r="D12" s="37">
        <f>IF(ISERROR(TER_rest_gas_kWh/1000),0,TER_rest_gas_kWh/1000)*0.902</f>
        <v>7616.6899966762003</v>
      </c>
      <c r="E12" s="33">
        <f>$C$32*'E Balans VL '!I8/100/3.6*1000000</f>
        <v>99.838623027767596</v>
      </c>
      <c r="F12" s="33">
        <f>$C$32*('E Balans VL '!L8+'E Balans VL '!N8)/100/3.6*1000000</f>
        <v>1460.9115786526736</v>
      </c>
      <c r="G12" s="34"/>
      <c r="H12" s="33"/>
      <c r="I12" s="33"/>
      <c r="J12" s="33">
        <f>$C$32*('E Balans VL '!D8+'E Balans VL '!E8)/100/3.6*1000000</f>
        <v>0</v>
      </c>
      <c r="K12" s="33"/>
      <c r="L12" s="33"/>
      <c r="M12" s="33"/>
      <c r="N12" s="33">
        <f>$C$32*'E Balans VL '!Y8/100/3.6*1000000</f>
        <v>500.38052478162012</v>
      </c>
      <c r="O12" s="33"/>
      <c r="P12" s="33"/>
      <c r="R12" s="32"/>
    </row>
    <row r="13" spans="1:18">
      <c r="A13" s="16" t="s">
        <v>478</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492</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39813.397831859991</v>
      </c>
      <c r="C16" s="21">
        <f t="shared" ca="1" si="1"/>
        <v>0</v>
      </c>
      <c r="D16" s="21">
        <f t="shared" ca="1" si="1"/>
        <v>44001.123015185593</v>
      </c>
      <c r="E16" s="21">
        <f t="shared" si="1"/>
        <v>786.54956462817745</v>
      </c>
      <c r="F16" s="21">
        <f t="shared" ca="1" si="1"/>
        <v>9627.761062846821</v>
      </c>
      <c r="G16" s="21">
        <f t="shared" si="1"/>
        <v>0</v>
      </c>
      <c r="H16" s="21">
        <f t="shared" si="1"/>
        <v>0</v>
      </c>
      <c r="I16" s="21">
        <f t="shared" si="1"/>
        <v>0</v>
      </c>
      <c r="J16" s="21">
        <f t="shared" si="1"/>
        <v>0</v>
      </c>
      <c r="K16" s="21">
        <f t="shared" si="1"/>
        <v>0</v>
      </c>
      <c r="L16" s="21">
        <f t="shared" ca="1" si="1"/>
        <v>0</v>
      </c>
      <c r="M16" s="21">
        <f t="shared" si="1"/>
        <v>0</v>
      </c>
      <c r="N16" s="21">
        <f t="shared" ca="1" si="1"/>
        <v>3581.0082475010722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0.19383593642518931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7717.2672510071834</v>
      </c>
      <c r="C20" s="23">
        <f t="shared" ref="C20:P20" ca="1" si="2">C16*C18</f>
        <v>0</v>
      </c>
      <c r="D20" s="23">
        <f t="shared" ca="1" si="2"/>
        <v>8888.2268490674905</v>
      </c>
      <c r="E20" s="23">
        <f t="shared" si="2"/>
        <v>178.54675117059628</v>
      </c>
      <c r="F20" s="23">
        <f t="shared" ca="1" si="2"/>
        <v>2570.6122037801015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477</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12052.963915999999</v>
      </c>
      <c r="C26" s="39">
        <f>IF(ISERROR(B26*3.6/1000000/'E Balans VL '!Z12*100),0,B26*3.6/1000000/'E Balans VL '!Z12*100)</f>
        <v>0.25818385066377281</v>
      </c>
      <c r="D26" s="233" t="s">
        <v>646</v>
      </c>
      <c r="F26" s="6"/>
    </row>
    <row r="27" spans="1:18">
      <c r="A27" s="228" t="s">
        <v>52</v>
      </c>
      <c r="B27" s="33">
        <f>IF(ISERROR(TER_horeca_ele_kWh/1000),0,TER_horeca_ele_kWh/1000)</f>
        <v>2207.7411115</v>
      </c>
      <c r="C27" s="39">
        <f>IF(ISERROR(B27*3.6/1000000/'E Balans VL '!Z9*100),0,B27*3.6/1000000/'E Balans VL '!Z9*100)</f>
        <v>0.17716355016810154</v>
      </c>
      <c r="D27" s="233" t="s">
        <v>646</v>
      </c>
      <c r="F27" s="6"/>
    </row>
    <row r="28" spans="1:18">
      <c r="A28" s="168" t="s">
        <v>51</v>
      </c>
      <c r="B28" s="33">
        <f>IF(ISERROR(TER_handel_ele_kWh/1000),0,TER_handel_ele_kWh/1000)</f>
        <v>14226.60425</v>
      </c>
      <c r="C28" s="39">
        <f>IF(ISERROR(B28*3.6/1000000/'E Balans VL '!Z13*100),0,B28*3.6/1000000/'E Balans VL '!Z13*100)</f>
        <v>0.41960322482780343</v>
      </c>
      <c r="D28" s="233" t="s">
        <v>646</v>
      </c>
      <c r="F28" s="6"/>
    </row>
    <row r="29" spans="1:18">
      <c r="A29" s="228" t="s">
        <v>50</v>
      </c>
      <c r="B29" s="33">
        <f>IF(ISERROR(TER_gezond_ele_kWh/1000),0,TER_gezond_ele_kWh/1000)</f>
        <v>1299.5835612000001</v>
      </c>
      <c r="C29" s="39">
        <f>IF(ISERROR(B29*3.6/1000000/'E Balans VL '!Z10*100),0,B29*3.6/1000000/'E Balans VL '!Z10*100)</f>
        <v>0.1387606811942772</v>
      </c>
      <c r="D29" s="233" t="s">
        <v>646</v>
      </c>
      <c r="F29" s="6"/>
    </row>
    <row r="30" spans="1:18">
      <c r="A30" s="228" t="s">
        <v>49</v>
      </c>
      <c r="B30" s="33">
        <f>IF(ISERROR(TER_ander_ele_kWh/1000),0,TER_ander_ele_kWh/1000)</f>
        <v>3851.0844522000002</v>
      </c>
      <c r="C30" s="39">
        <f>IF(ISERROR(B30*3.6/1000000/'E Balans VL '!Z14*100),0,B30*3.6/1000000/'E Balans VL '!Z14*100)</f>
        <v>0.29088753127331451</v>
      </c>
      <c r="D30" s="233" t="s">
        <v>646</v>
      </c>
      <c r="F30" s="6"/>
    </row>
    <row r="31" spans="1:18">
      <c r="A31" s="228" t="s">
        <v>54</v>
      </c>
      <c r="B31" s="33">
        <f>IF(ISERROR(TER_onderwijs_ele_kWh/1000),0,TER_onderwijs_ele_kWh/1000)</f>
        <v>504.86948286000001</v>
      </c>
      <c r="C31" s="39">
        <f>IF(ISERROR(B31*3.6/1000000/'E Balans VL '!Z11*100),0,B31*3.6/1000000/'E Balans VL '!Z11*100)</f>
        <v>0.10195000243480243</v>
      </c>
      <c r="D31" s="233" t="s">
        <v>646</v>
      </c>
    </row>
    <row r="32" spans="1:18">
      <c r="A32" s="228" t="s">
        <v>249</v>
      </c>
      <c r="B32" s="33">
        <f>IF(ISERROR(TER_rest_ele_kWh/1000),0,TER_rest_ele_kWh/1000)</f>
        <v>5670.5510580999999</v>
      </c>
      <c r="C32" s="39">
        <f>IF(ISERROR(B32*3.6/1000000/'E Balans VL '!Z8*100),0,B32*3.6/1000000/'E Balans VL '!Z8*100)</f>
        <v>4.7016764457033372E-2</v>
      </c>
      <c r="D32" s="233" t="s">
        <v>646</v>
      </c>
    </row>
    <row r="33" spans="1:4">
      <c r="A33" s="236"/>
      <c r="B33" s="177"/>
      <c r="C33" s="177"/>
      <c r="D33" s="237"/>
    </row>
    <row r="34" spans="1:4">
      <c r="A34" s="32"/>
      <c r="B34" s="32"/>
      <c r="C34" s="32"/>
    </row>
    <row r="35" spans="1:4">
      <c r="A35" s="190" t="s">
        <v>470</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467</v>
      </c>
      <c r="B39" s="307">
        <v>4.2</v>
      </c>
      <c r="C39" s="43"/>
      <c r="D39" s="301" t="s">
        <v>497</v>
      </c>
    </row>
    <row r="40" spans="1:4">
      <c r="A40" s="6" t="s">
        <v>468</v>
      </c>
      <c r="B40" s="312">
        <f>1.34/3.6</f>
        <v>0.37222222222222223</v>
      </c>
      <c r="C40" s="43" t="s">
        <v>208</v>
      </c>
      <c r="D40" s="301" t="s">
        <v>497</v>
      </c>
    </row>
    <row r="41" spans="1:4">
      <c r="A41" s="236"/>
      <c r="B41" s="177"/>
      <c r="C41" s="177"/>
      <c r="D41" s="237"/>
    </row>
    <row r="43" spans="1:4">
      <c r="A43" s="191" t="s">
        <v>471</v>
      </c>
      <c r="B43" s="200"/>
      <c r="C43" s="200"/>
      <c r="D43" s="222"/>
    </row>
    <row r="44" spans="1:4">
      <c r="A44" s="227"/>
      <c r="B44" s="32"/>
      <c r="C44" s="32"/>
      <c r="D44" s="229"/>
    </row>
    <row r="45" spans="1:4">
      <c r="A45" s="238"/>
      <c r="B45" s="239"/>
      <c r="C45" s="221" t="s">
        <v>364</v>
      </c>
      <c r="D45" s="240" t="s">
        <v>175</v>
      </c>
    </row>
    <row r="46" spans="1:4">
      <c r="A46" s="168" t="s">
        <v>255</v>
      </c>
      <c r="B46" s="523">
        <f>aantalWP_NB_ander+antalWP_NB_ander_met_kantoor+aantalWP_NB_kantoor+aantalWP_NB_school+WP_NHH_bestaande_bouw+aantalWP_NB_NIET_RESIDENTIEEL_EPN</f>
        <v>2</v>
      </c>
      <c r="C46" s="32"/>
      <c r="D46" s="229"/>
    </row>
    <row r="47" spans="1:4">
      <c r="A47" s="168" t="s">
        <v>437</v>
      </c>
      <c r="B47" s="524">
        <v>13</v>
      </c>
      <c r="C47" s="32" t="s">
        <v>252</v>
      </c>
      <c r="D47" s="301" t="s">
        <v>497</v>
      </c>
    </row>
    <row r="48" spans="1:4">
      <c r="A48" s="168" t="s">
        <v>438</v>
      </c>
      <c r="B48" s="524">
        <v>2000</v>
      </c>
      <c r="C48" s="32" t="s">
        <v>254</v>
      </c>
      <c r="D48" s="301" t="s">
        <v>497</v>
      </c>
    </row>
    <row r="49" spans="1:4">
      <c r="A49" s="168" t="s">
        <v>399</v>
      </c>
      <c r="B49" s="524">
        <v>3.75</v>
      </c>
      <c r="C49" s="32"/>
      <c r="D49" s="301" t="s">
        <v>497</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156</v>
      </c>
      <c r="B1" s="1193" t="s">
        <v>188</v>
      </c>
      <c r="C1" s="1194"/>
      <c r="D1" s="1194"/>
      <c r="E1" s="1194"/>
      <c r="F1" s="1194"/>
      <c r="G1" s="1194"/>
      <c r="H1" s="1194"/>
      <c r="I1" s="1194"/>
      <c r="J1" s="1194"/>
      <c r="K1" s="1194"/>
      <c r="L1" s="1194"/>
      <c r="M1" s="1194"/>
      <c r="N1" s="1194"/>
      <c r="O1" s="1194"/>
      <c r="P1" s="1194"/>
      <c r="R1" s="739"/>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c r="R2" s="73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258</v>
      </c>
      <c r="B5" s="30">
        <f>SUM(B6:B15)</f>
        <v>41993.375030833995</v>
      </c>
      <c r="C5" s="17">
        <f>IF(ISERROR('Eigen informatie GS &amp; warmtenet'!B59),0,'Eigen informatie GS &amp; warmtenet'!B59)</f>
        <v>0</v>
      </c>
      <c r="D5" s="30">
        <f>SUM(D6:D15)</f>
        <v>23997.282020944123</v>
      </c>
      <c r="E5" s="17">
        <f>SUM(E6:E15)</f>
        <v>2927.5292949501318</v>
      </c>
      <c r="F5" s="17">
        <f>SUM(F6:F15)</f>
        <v>12080.426506858743</v>
      </c>
      <c r="G5" s="18"/>
      <c r="H5" s="17"/>
      <c r="I5" s="17"/>
      <c r="J5" s="17">
        <f>SUM(J6:J15)</f>
        <v>255.54070153513013</v>
      </c>
      <c r="K5" s="17"/>
      <c r="L5" s="17"/>
      <c r="M5" s="17"/>
      <c r="N5" s="17">
        <f>SUM(N6:N15)</f>
        <v>3587.6207803718576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1666.8976207999999</v>
      </c>
      <c r="C8" s="33"/>
      <c r="D8" s="37">
        <f>IF( ISERROR(IND_metaal_Gas_kWH/1000),0,IND_metaal_Gas_kWH/1000)*0.902</f>
        <v>967.02080665300002</v>
      </c>
      <c r="E8" s="33">
        <f>C30*'E Balans VL '!I18/100/3.6*1000000</f>
        <v>59.980019103521968</v>
      </c>
      <c r="F8" s="33">
        <f>C30*'E Balans VL '!L18/100/3.6*1000000+C30*'E Balans VL '!N18/100/3.6*1000000</f>
        <v>727.88015599611299</v>
      </c>
      <c r="G8" s="34"/>
      <c r="H8" s="33"/>
      <c r="I8" s="33"/>
      <c r="J8" s="40">
        <f>C30*'E Balans VL '!D18/100/3.6*1000000+C30*'E Balans VL '!E18/100/3.6*1000000</f>
        <v>0</v>
      </c>
      <c r="K8" s="33"/>
      <c r="L8" s="33"/>
      <c r="M8" s="33"/>
      <c r="N8" s="33">
        <f>C30*'E Balans VL '!Y18/100/3.6*1000000</f>
        <v>83.543775977534068</v>
      </c>
      <c r="O8" s="33"/>
      <c r="P8" s="33"/>
      <c r="R8" s="32"/>
    </row>
    <row r="9" spans="1:18">
      <c r="A9" s="6" t="s">
        <v>32</v>
      </c>
      <c r="B9" s="37">
        <f t="shared" si="0"/>
        <v>4214.6409820999997</v>
      </c>
      <c r="C9" s="33"/>
      <c r="D9" s="37">
        <f>IF( ISERROR(IND_andere_gas_kWh/1000),0,IND_andere_gas_kWh/1000)*0.902</f>
        <v>4536.0906370163993</v>
      </c>
      <c r="E9" s="33">
        <f>C31*'E Balans VL '!I19/100/3.6*1000000</f>
        <v>1075.4810197087957</v>
      </c>
      <c r="F9" s="33">
        <f>C31*'E Balans VL '!L19/100/3.6*1000000+C31*'E Balans VL '!N19/100/3.6*1000000</f>
        <v>3628.4891008563523</v>
      </c>
      <c r="G9" s="34"/>
      <c r="H9" s="33"/>
      <c r="I9" s="33"/>
      <c r="J9" s="40">
        <f>C31*'E Balans VL '!D19/100/3.6*1000000+C31*'E Balans VL '!E19/100/3.6*1000000</f>
        <v>0</v>
      </c>
      <c r="K9" s="33"/>
      <c r="L9" s="33"/>
      <c r="M9" s="33"/>
      <c r="N9" s="33">
        <f>C31*'E Balans VL '!Y19/100/3.6*1000000</f>
        <v>332.48585495461037</v>
      </c>
      <c r="O9" s="33"/>
      <c r="P9" s="33"/>
      <c r="R9" s="32"/>
    </row>
    <row r="10" spans="1:18">
      <c r="A10" s="6" t="s">
        <v>40</v>
      </c>
      <c r="B10" s="37">
        <f t="shared" si="0"/>
        <v>3767.9731726</v>
      </c>
      <c r="C10" s="33"/>
      <c r="D10" s="37">
        <f>IF( ISERROR(IND_voed_gas_kWh/1000),0,IND_voed_gas_kWh/1000)*0.902</f>
        <v>1743.3430656488001</v>
      </c>
      <c r="E10" s="33">
        <f>C32*'E Balans VL '!I20/100/3.6*1000000</f>
        <v>95.787051898646325</v>
      </c>
      <c r="F10" s="33">
        <f>C32*'E Balans VL '!L20/100/3.6*1000000+C32*'E Balans VL '!N20/100/3.6*1000000</f>
        <v>852.63576680413587</v>
      </c>
      <c r="G10" s="34"/>
      <c r="H10" s="33"/>
      <c r="I10" s="33"/>
      <c r="J10" s="40">
        <f>C32*'E Balans VL '!D20/100/3.6*1000000+C32*'E Balans VL '!E20/100/3.6*1000000</f>
        <v>0</v>
      </c>
      <c r="K10" s="33"/>
      <c r="L10" s="33"/>
      <c r="M10" s="33"/>
      <c r="N10" s="33">
        <f>C32*'E Balans VL '!Y20/100/3.6*1000000</f>
        <v>1413.0920746551838</v>
      </c>
      <c r="O10" s="33"/>
      <c r="P10" s="33"/>
      <c r="R10" s="32"/>
    </row>
    <row r="11" spans="1:18">
      <c r="A11" s="6" t="s">
        <v>39</v>
      </c>
      <c r="B11" s="37">
        <f t="shared" si="0"/>
        <v>943.07934563000003</v>
      </c>
      <c r="C11" s="33"/>
      <c r="D11" s="37">
        <f>IF( ISERROR(IND_textiel_gas_kWh/1000),0,IND_textiel_gas_kWh/1000)*0.902</f>
        <v>113.36177844222</v>
      </c>
      <c r="E11" s="33">
        <f>C33*'E Balans VL '!I21/100/3.6*1000000</f>
        <v>2.5890064193399276</v>
      </c>
      <c r="F11" s="33">
        <f>C33*'E Balans VL '!L21/100/3.6*1000000+C33*'E Balans VL '!N21/100/3.6*1000000</f>
        <v>49.998136587232352</v>
      </c>
      <c r="G11" s="34"/>
      <c r="H11" s="33"/>
      <c r="I11" s="33"/>
      <c r="J11" s="40">
        <f>C33*'E Balans VL '!D21/100/3.6*1000000+C33*'E Balans VL '!E21/100/3.6*1000000</f>
        <v>0</v>
      </c>
      <c r="K11" s="33"/>
      <c r="L11" s="33"/>
      <c r="M11" s="33"/>
      <c r="N11" s="33">
        <f>C33*'E Balans VL '!Y21/100/3.6*1000000</f>
        <v>1.8954334214882775</v>
      </c>
      <c r="O11" s="33"/>
      <c r="P11" s="33"/>
      <c r="R11" s="32"/>
    </row>
    <row r="12" spans="1:18">
      <c r="A12" s="6" t="s">
        <v>36</v>
      </c>
      <c r="B12" s="37">
        <f t="shared" si="0"/>
        <v>249.06360916</v>
      </c>
      <c r="C12" s="33"/>
      <c r="D12" s="37">
        <f>IF( ISERROR(IND_min_gas_kWh/1000),0,IND_min_gas_kWh/1000)*0.902</f>
        <v>0</v>
      </c>
      <c r="E12" s="33">
        <f>C34*'E Balans VL '!I22/100/3.6*1000000</f>
        <v>5.2919774858997819</v>
      </c>
      <c r="F12" s="33">
        <f>C34*'E Balans VL '!L22/100/3.6*1000000+C34*'E Balans VL '!N22/100/3.6*1000000</f>
        <v>40.636850379092806</v>
      </c>
      <c r="G12" s="34"/>
      <c r="H12" s="33"/>
      <c r="I12" s="33"/>
      <c r="J12" s="40">
        <f>C34*'E Balans VL '!D22/100/3.6*1000000+C34*'E Balans VL '!E22/100/3.6*1000000</f>
        <v>0.29018234741491505</v>
      </c>
      <c r="K12" s="33"/>
      <c r="L12" s="33"/>
      <c r="M12" s="33"/>
      <c r="N12" s="33">
        <f>C34*'E Balans VL '!Y22/100/3.6*1000000</f>
        <v>0</v>
      </c>
      <c r="O12" s="33"/>
      <c r="P12" s="33"/>
      <c r="R12" s="32"/>
    </row>
    <row r="13" spans="1:18">
      <c r="A13" s="6" t="s">
        <v>38</v>
      </c>
      <c r="B13" s="37">
        <f t="shared" si="0"/>
        <v>45.887872543999997</v>
      </c>
      <c r="C13" s="33"/>
      <c r="D13" s="37">
        <f>IF( ISERROR(IND_papier_gas_kWh/1000),0,IND_papier_gas_kWh/1000)*0.902</f>
        <v>70.632306413701997</v>
      </c>
      <c r="E13" s="33">
        <f>C35*'E Balans VL '!I23/100/3.6*1000000</f>
        <v>0.19679973574304266</v>
      </c>
      <c r="F13" s="33">
        <f>C35*'E Balans VL '!L23/100/3.6*1000000+C35*'E Balans VL '!N23/100/3.6*1000000</f>
        <v>1.1533046639201947</v>
      </c>
      <c r="G13" s="34"/>
      <c r="H13" s="33"/>
      <c r="I13" s="33"/>
      <c r="J13" s="40">
        <f>C35*'E Balans VL '!D23/100/3.6*1000000+C35*'E Balans VL '!E23/100/3.6*1000000</f>
        <v>3.071941382193184</v>
      </c>
      <c r="K13" s="33"/>
      <c r="L13" s="33"/>
      <c r="M13" s="33"/>
      <c r="N13" s="33">
        <f>C35*'E Balans VL '!Y23/100/3.6*1000000</f>
        <v>11.19038412838302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31105.832427999998</v>
      </c>
      <c r="C15" s="33"/>
      <c r="D15" s="37">
        <f>IF( ISERROR(IND_rest_gas_kWh/1000),0,IND_rest_gas_kWh/1000)*0.902</f>
        <v>16566.833426770001</v>
      </c>
      <c r="E15" s="33">
        <f>C37*'E Balans VL '!I15/100/3.6*1000000</f>
        <v>1688.2034205981852</v>
      </c>
      <c r="F15" s="33">
        <f>C37*'E Balans VL '!L15/100/3.6*1000000+C37*'E Balans VL '!N15/100/3.6*1000000</f>
        <v>6779.6331915718956</v>
      </c>
      <c r="G15" s="34"/>
      <c r="H15" s="33"/>
      <c r="I15" s="33"/>
      <c r="J15" s="40">
        <f>C37*'E Balans VL '!D15/100/3.6*1000000+C37*'E Balans VL '!E15/100/3.6*1000000</f>
        <v>252.17857780552202</v>
      </c>
      <c r="K15" s="33"/>
      <c r="L15" s="33"/>
      <c r="M15" s="33"/>
      <c r="N15" s="33">
        <f>C37*'E Balans VL '!Y15/100/3.6*1000000</f>
        <v>1745.4132572346582</v>
      </c>
      <c r="O15" s="33"/>
      <c r="P15" s="33"/>
      <c r="R15" s="32"/>
    </row>
    <row r="16" spans="1:18">
      <c r="A16" s="16" t="s">
        <v>478</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41993.375030833995</v>
      </c>
      <c r="C18" s="21">
        <f>C5+C16</f>
        <v>0</v>
      </c>
      <c r="D18" s="21">
        <f>MAX((D5+D16),0)</f>
        <v>23997.282020944123</v>
      </c>
      <c r="E18" s="21">
        <f>MAX((E5+E16),0)</f>
        <v>2927.5292949501318</v>
      </c>
      <c r="F18" s="21">
        <f>MAX((F5+F16),0)</f>
        <v>12080.426506858743</v>
      </c>
      <c r="G18" s="21"/>
      <c r="H18" s="21"/>
      <c r="I18" s="21"/>
      <c r="J18" s="21">
        <f>MAX((J5+J16),0)</f>
        <v>255.54070153513013</v>
      </c>
      <c r="K18" s="21"/>
      <c r="L18" s="21">
        <f>MAX((L5+L16),0)</f>
        <v>0</v>
      </c>
      <c r="M18" s="21"/>
      <c r="N18" s="21">
        <f>MAX((N5+N16),0)</f>
        <v>3587.6207803718576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0.19383593642518931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8139.8251727558709</v>
      </c>
      <c r="C22" s="23">
        <f ca="1">C18*C20</f>
        <v>0</v>
      </c>
      <c r="D22" s="23">
        <f>D18*D20</f>
        <v>4847.4509682307134</v>
      </c>
      <c r="E22" s="23">
        <f>E18*E20</f>
        <v>664.54914995367994</v>
      </c>
      <c r="F22" s="23">
        <f>F18*F20</f>
        <v>3225.4738773312847</v>
      </c>
      <c r="G22" s="23"/>
      <c r="H22" s="23"/>
      <c r="I22" s="23"/>
      <c r="J22" s="23">
        <f>J18*J20</f>
        <v>90.461408343436062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477</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646</v>
      </c>
    </row>
    <row r="29" spans="1:18">
      <c r="A29" s="168" t="s">
        <v>37</v>
      </c>
      <c r="B29" s="37">
        <f>IF( ISERROR(IND_nonf_ele_kWh/1000),0,IND_nonf_ele_kWh/1000)</f>
        <v>0</v>
      </c>
      <c r="C29" s="39">
        <f>IF(ISERROR(B29*3.6/1000000/'E Balans VL '!Z17*100),0,B29*3.6/1000000/'E Balans VL '!Z17*100)</f>
        <v>0</v>
      </c>
      <c r="D29" s="233" t="s">
        <v>646</v>
      </c>
    </row>
    <row r="30" spans="1:18">
      <c r="A30" s="168" t="s">
        <v>35</v>
      </c>
      <c r="B30" s="37">
        <f>IF( ISERROR(IND_metaal_ele_kWh/1000),0,IND_metaal_ele_kWh/1000)</f>
        <v>1666.8976207999999</v>
      </c>
      <c r="C30" s="39">
        <f>IF(ISERROR(B30*3.6/1000000/'E Balans VL '!Z18*100),0,B30*3.6/1000000/'E Balans VL '!Z18*100)</f>
        <v>0.35317986850440708</v>
      </c>
      <c r="D30" s="233" t="s">
        <v>646</v>
      </c>
    </row>
    <row r="31" spans="1:18">
      <c r="A31" s="6" t="s">
        <v>32</v>
      </c>
      <c r="B31" s="37">
        <f>IF( ISERROR(IND_ander_ele_kWh/1000),0,IND_ander_ele_kWh/1000)</f>
        <v>4214.6409820999997</v>
      </c>
      <c r="C31" s="39">
        <f>IF(ISERROR(B31*3.6/1000000/'E Balans VL '!Z19*100),0,B31*3.6/1000000/'E Balans VL '!Z19*100)</f>
        <v>0.17740380897492863</v>
      </c>
      <c r="D31" s="233" t="s">
        <v>646</v>
      </c>
    </row>
    <row r="32" spans="1:18">
      <c r="A32" s="168" t="s">
        <v>40</v>
      </c>
      <c r="B32" s="37">
        <f>IF( ISERROR(IND_voed_ele_kWh/1000),0,IND_voed_ele_kWh/1000)</f>
        <v>3767.9731726</v>
      </c>
      <c r="C32" s="39">
        <f>IF(ISERROR(B32*3.6/1000000/'E Balans VL '!Z20*100),0,B32*3.6/1000000/'E Balans VL '!Z20*100)</f>
        <v>0.62948255016721255</v>
      </c>
      <c r="D32" s="233" t="s">
        <v>646</v>
      </c>
    </row>
    <row r="33" spans="1:5">
      <c r="A33" s="168" t="s">
        <v>39</v>
      </c>
      <c r="B33" s="37">
        <f>IF( ISERROR(IND_textiel_ele_kWh/1000),0,IND_textiel_ele_kWh/1000)</f>
        <v>943.07934563000003</v>
      </c>
      <c r="C33" s="39">
        <f>IF(ISERROR(B33*3.6/1000000/'E Balans VL '!Z21*100),0,B33*3.6/1000000/'E Balans VL '!Z21*100)</f>
        <v>5.5059794378744455E-2</v>
      </c>
      <c r="D33" s="233" t="s">
        <v>646</v>
      </c>
    </row>
    <row r="34" spans="1:5">
      <c r="A34" s="168" t="s">
        <v>36</v>
      </c>
      <c r="B34" s="37">
        <f>IF( ISERROR(IND_min_ele_kWh/1000),0,IND_min_ele_kWh/1000)</f>
        <v>249.06360916</v>
      </c>
      <c r="C34" s="39">
        <f>IF(ISERROR(B34*3.6/1000000/'E Balans VL '!Z22*100),0,B34*3.6/1000000/'E Balans VL '!Z22*100)</f>
        <v>3.1570155657107121E-2</v>
      </c>
      <c r="D34" s="233" t="s">
        <v>646</v>
      </c>
    </row>
    <row r="35" spans="1:5">
      <c r="A35" s="168" t="s">
        <v>38</v>
      </c>
      <c r="B35" s="37">
        <f>IF( ISERROR(IND_papier_ele_kWh/1000),0,IND_papier_ele_kWh/1000)</f>
        <v>45.887872543999997</v>
      </c>
      <c r="C35" s="39">
        <f>IF(ISERROR(B35*3.6/1000000/'E Balans VL '!Z22*100),0,B35*3.6/1000000/'E Balans VL '!Z22*100)</f>
        <v>5.8165353175177285E-3</v>
      </c>
      <c r="D35" s="233" t="s">
        <v>646</v>
      </c>
    </row>
    <row r="36" spans="1:5">
      <c r="A36" s="168" t="s">
        <v>33</v>
      </c>
      <c r="B36" s="37">
        <f>IF( ISERROR(IND_chemie_ele_kWh/1000),0,IND_chemie_ele_kWh/1000)</f>
        <v>0</v>
      </c>
      <c r="C36" s="39">
        <f>IF(ISERROR(B36*3.6/1000000/'E Balans VL '!Z24*100),0,B36*3.6/1000000/'E Balans VL '!Z24*100)</f>
        <v>0</v>
      </c>
      <c r="D36" s="233" t="s">
        <v>646</v>
      </c>
    </row>
    <row r="37" spans="1:5">
      <c r="A37" s="168" t="s">
        <v>259</v>
      </c>
      <c r="B37" s="37">
        <f>IF( ISERROR(IND_rest_ele_kWh/1000),0,IND_rest_ele_kWh/1000)</f>
        <v>31105.832427999998</v>
      </c>
      <c r="C37" s="39">
        <f>IF(ISERROR(B37*3.6/1000000/'E Balans VL '!Z15*100),0,B37*3.6/1000000/'E Balans VL '!Z15*100)</f>
        <v>0.25112942992161519</v>
      </c>
      <c r="D37" s="233" t="s">
        <v>646</v>
      </c>
    </row>
    <row r="38" spans="1:5">
      <c r="A38" s="236"/>
      <c r="B38" s="177"/>
      <c r="C38" s="177"/>
      <c r="D38" s="237"/>
    </row>
    <row r="39" spans="1:5">
      <c r="A39" s="228"/>
      <c r="B39" s="32"/>
      <c r="C39" s="32"/>
      <c r="D39" s="32"/>
      <c r="E39" s="32"/>
    </row>
    <row r="40" spans="1:5">
      <c r="A40" s="190" t="s">
        <v>470</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467</v>
      </c>
      <c r="B44" s="307">
        <v>4.2</v>
      </c>
      <c r="C44" s="43"/>
      <c r="D44" s="301" t="s">
        <v>497</v>
      </c>
    </row>
    <row r="45" spans="1:5">
      <c r="A45" s="6" t="s">
        <v>468</v>
      </c>
      <c r="B45" s="312">
        <f>1.34/3.6</f>
        <v>0.37222222222222223</v>
      </c>
      <c r="C45" s="43" t="s">
        <v>208</v>
      </c>
      <c r="D45" s="301" t="s">
        <v>497</v>
      </c>
    </row>
    <row r="46" spans="1:5" s="32" customFormat="1">
      <c r="A46" s="172"/>
      <c r="B46" s="242"/>
      <c r="C46" s="177"/>
      <c r="D46" s="237"/>
    </row>
    <row r="48" spans="1:5">
      <c r="A48" s="191" t="s">
        <v>471</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497</v>
      </c>
    </row>
    <row r="53" spans="1:4">
      <c r="A53" s="168" t="s">
        <v>253</v>
      </c>
      <c r="B53" s="307">
        <v>2000</v>
      </c>
      <c r="C53" s="32" t="s">
        <v>254</v>
      </c>
      <c r="D53" s="301" t="s">
        <v>497</v>
      </c>
    </row>
    <row r="54" spans="1:4">
      <c r="A54" s="168" t="s">
        <v>399</v>
      </c>
      <c r="B54" s="307">
        <v>3.75</v>
      </c>
      <c r="C54" s="32"/>
      <c r="D54" s="301" t="s">
        <v>497</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260</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1342.9681037340001</v>
      </c>
      <c r="C5" s="17">
        <f>'Eigen informatie GS &amp; warmtenet'!B60</f>
        <v>0</v>
      </c>
      <c r="D5" s="30">
        <f>IF(ISERROR(SUM(LB_lb_gas_kWh,LB_rest_gas_kWh)/1000),0,SUM(LB_lb_gas_kWh,LB_rest_gas_kWh)/1000)*0.902</f>
        <v>203.29262014670402</v>
      </c>
      <c r="E5" s="17">
        <f>B17*'E Balans VL '!I25/3.6*1000000/100</f>
        <v>34.629990993937611</v>
      </c>
      <c r="F5" s="17">
        <f>B17*('E Balans VL '!L25/3.6*1000000+'E Balans VL '!N25/3.6*1000000)/100</f>
        <v>4908.804174999239</v>
      </c>
      <c r="G5" s="18"/>
      <c r="H5" s="17"/>
      <c r="I5" s="17"/>
      <c r="J5" s="17">
        <f>('E Balans VL '!D25+'E Balans VL '!E25)/3.6*1000000*landbouw!B17/100</f>
        <v>193.33800363060251</v>
      </c>
      <c r="K5" s="17"/>
      <c r="L5" s="17">
        <f>L6*(-1)</f>
        <v>0</v>
      </c>
      <c r="M5" s="17"/>
      <c r="N5" s="17">
        <f>N6*(-1)</f>
        <v>124.71428571428569</v>
      </c>
      <c r="O5" s="17"/>
      <c r="P5" s="17"/>
      <c r="R5" s="32"/>
    </row>
    <row r="6" spans="1:18">
      <c r="A6" s="16" t="s">
        <v>478</v>
      </c>
      <c r="B6" s="17" t="s">
        <v>204</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1342.9681037340001</v>
      </c>
      <c r="C8" s="21">
        <f>C5+C6</f>
        <v>62.357142857142847</v>
      </c>
      <c r="D8" s="21">
        <f>MAX((D5+D6),0)</f>
        <v>203.29262014670402</v>
      </c>
      <c r="E8" s="21">
        <f>MAX((E5+E6),0)</f>
        <v>34.629990993937611</v>
      </c>
      <c r="F8" s="21">
        <f>MAX((F5+F6),0)</f>
        <v>4908.804174999239</v>
      </c>
      <c r="G8" s="21"/>
      <c r="H8" s="21"/>
      <c r="I8" s="21"/>
      <c r="J8" s="21">
        <f>MAX((J5+J6),0)</f>
        <v>193.33800363060251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0.19383593642518931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260.31547997644071</v>
      </c>
      <c r="C12" s="23">
        <f ca="1">C8*C10</f>
        <v>0</v>
      </c>
      <c r="D12" s="23">
        <f>D8*D10</f>
        <v>41.065109269634213</v>
      </c>
      <c r="E12" s="23">
        <f>E8*E10</f>
        <v>7.8610079556238377</v>
      </c>
      <c r="F12" s="23">
        <f>F8*F10</f>
        <v>1310.6507147247969</v>
      </c>
      <c r="G12" s="23"/>
      <c r="H12" s="23"/>
      <c r="I12" s="23"/>
      <c r="J12" s="23">
        <f>J8*J10</f>
        <v>68.441653285233286</v>
      </c>
      <c r="K12" s="23"/>
      <c r="L12" s="23">
        <f>L8*L10</f>
        <v>0</v>
      </c>
      <c r="M12" s="23">
        <f>M8*M10</f>
        <v>0</v>
      </c>
      <c r="N12" s="23">
        <f>N8*N10</f>
        <v>0</v>
      </c>
      <c r="O12" s="23"/>
      <c r="P12" s="23"/>
    </row>
    <row r="14" spans="1:18">
      <c r="A14" s="190" t="s">
        <v>484</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0.18936739824774779</v>
      </c>
      <c r="C17" s="233" t="s">
        <v>674</v>
      </c>
      <c r="D17" s="248"/>
    </row>
    <row r="18" spans="1:4">
      <c r="A18" s="236"/>
      <c r="B18" s="249"/>
      <c r="C18" s="237"/>
    </row>
    <row r="19" spans="1:4">
      <c r="A19" s="32"/>
      <c r="B19" s="48"/>
      <c r="C19" s="32"/>
    </row>
    <row r="20" spans="1:4">
      <c r="A20" s="32"/>
      <c r="B20" s="48"/>
      <c r="C20" s="32"/>
    </row>
    <row r="21" spans="1:4" ht="15.75" thickBot="1">
      <c r="B21" s="32"/>
    </row>
    <row r="22" spans="1:4" ht="15.75" customHeight="1">
      <c r="A22" s="1200" t="s">
        <v>292</v>
      </c>
      <c r="B22" s="1203" t="s">
        <v>293</v>
      </c>
      <c r="C22" s="1203" t="s">
        <v>483</v>
      </c>
    </row>
    <row r="23" spans="1:4">
      <c r="A23" s="1201"/>
      <c r="B23" s="1204"/>
      <c r="C23" s="1204"/>
    </row>
    <row r="24" spans="1:4" ht="15.75" thickBot="1">
      <c r="A24" s="1202"/>
      <c r="B24" s="1205"/>
      <c r="C24" s="1205"/>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324.04762350010049</v>
      </c>
      <c r="C26" s="243">
        <f>B26*'GWP N2O_CH4'!B5</f>
        <v>6805.0000935021098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117.57618786955886</v>
      </c>
      <c r="C27" s="243">
        <f>B27*'GWP N2O_CH4'!B5</f>
        <v>2469.0999452607361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5.093069479688177</v>
      </c>
      <c r="C28" s="243">
        <f>B28*'GWP N2O_CH4'!B4</f>
        <v>1578.8515387033349</v>
      </c>
      <c r="D28" s="50"/>
    </row>
    <row r="29" spans="1:4">
      <c r="A29" s="41" t="s">
        <v>266</v>
      </c>
      <c r="B29" s="243">
        <f>B34*'ha_N2O bodem landbouw'!B4</f>
        <v>12.14858992492845</v>
      </c>
      <c r="C29" s="243">
        <f>B29*'GWP N2O_CH4'!B4</f>
        <v>3766.0628767278195</v>
      </c>
      <c r="D29" s="50"/>
    </row>
    <row r="31" spans="1:4">
      <c r="A31" s="190" t="s">
        <v>485</v>
      </c>
      <c r="B31" s="200"/>
      <c r="C31" s="222"/>
    </row>
    <row r="32" spans="1:4">
      <c r="A32" s="232"/>
      <c r="B32" s="32"/>
      <c r="C32" s="233"/>
    </row>
    <row r="33" spans="1:5">
      <c r="A33" s="234"/>
      <c r="B33" s="221" t="s">
        <v>614</v>
      </c>
      <c r="C33" s="235" t="s">
        <v>175</v>
      </c>
    </row>
    <row r="34" spans="1:5">
      <c r="A34" s="253" t="s">
        <v>105</v>
      </c>
      <c r="B34" s="35">
        <f>IF(ISERROR(aantalCultuurgronden/'ha_N2O bodem landbouw'!B5),0,aantalCultuurgronden/'ha_N2O bodem landbouw'!B5)</f>
        <v>2.7340929066894718E-3</v>
      </c>
      <c r="C34" s="886" t="s">
        <v>642</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2" t="s">
        <v>487</v>
      </c>
      <c r="B1" s="1193" t="s">
        <v>536</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317</v>
      </c>
      <c r="B5" s="414">
        <f>SUM(B6:B11)</f>
        <v>2.966185782937915E-4</v>
      </c>
      <c r="C5" s="429" t="s">
        <v>204</v>
      </c>
      <c r="D5" s="414">
        <f>SUM(D6:D11)</f>
        <v>4.732124293477547E-4</v>
      </c>
      <c r="E5" s="414">
        <f>SUM(E6:E11)</f>
        <v>2.3147652939735659E-3</v>
      </c>
      <c r="F5" s="427" t="s">
        <v>204</v>
      </c>
      <c r="G5" s="414">
        <f>SUM(G6:G11)</f>
        <v>1.0153215023429392</v>
      </c>
      <c r="H5" s="414">
        <f>SUM(H6:H11)</f>
        <v>0.15505332386180776</v>
      </c>
      <c r="I5" s="429" t="s">
        <v>204</v>
      </c>
      <c r="J5" s="429" t="s">
        <v>204</v>
      </c>
      <c r="K5" s="429" t="s">
        <v>204</v>
      </c>
      <c r="L5" s="429" t="s">
        <v>204</v>
      </c>
      <c r="M5" s="414">
        <f>SUM(M6:M11)</f>
        <v>3.6588810049426684E-2</v>
      </c>
      <c r="N5" s="429" t="s">
        <v>204</v>
      </c>
      <c r="O5" s="429" t="s">
        <v>204</v>
      </c>
      <c r="P5" s="430" t="s">
        <v>204</v>
      </c>
    </row>
    <row r="6" spans="1:18">
      <c r="A6" s="257" t="s">
        <v>652</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8.537980379505658E-5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1.341120080000447E-4</v>
      </c>
      <c r="E6" s="857">
        <f>vkm_GW_PW*SUMIFS(TableVerdeelsleutelVkm[LPG],TableVerdeelsleutelVkm[Voertuigtype],"Lichte voertuigen")*SUMIFS(TableECFTransport[EnergieConsumptieFactor (PJ per km)],TableECFTransport[Index],CONCATENATE($A6,"_LPG_LPG"))</f>
        <v>6.1839424973807427E-4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0.16403984782249101</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4.3698311084879878E-2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6.4703482036044596E-3</v>
      </c>
      <c r="N6" s="415"/>
      <c r="O6" s="415"/>
      <c r="P6" s="416"/>
    </row>
    <row r="7" spans="1:18">
      <c r="A7" s="257" t="s">
        <v>653</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3.0065055720229713E-6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0.10363126398879961</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1.8297294058478108E-6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3.2602441671033518E-3</v>
      </c>
      <c r="N7" s="415"/>
      <c r="O7" s="415"/>
      <c r="P7" s="416"/>
      <c r="R7" s="854"/>
    </row>
    <row r="8" spans="1:18">
      <c r="A8" s="257" t="s">
        <v>654</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7.7622378736167763E-5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1.729995995330627E-4</v>
      </c>
      <c r="E8" s="417">
        <f>vkm_NGW_PW*SUMIFS(TableVerdeelsleutelVkm[LPG],TableVerdeelsleutelVkm[Voertuigtype],"Lichte voertuigen")*SUMIFS(TableECFTransport[EnergieConsumptieFactor (PJ per km)],TableECFTransport[Index],CONCATENATE($A8,"_LPG_LPG"))</f>
        <v>7.6330034758121269E-4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0.18798020638261845</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5.4830375932310285E-2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7.5571526490140831E-3</v>
      </c>
      <c r="N8" s="415"/>
      <c r="O8" s="415"/>
      <c r="P8" s="416"/>
      <c r="R8" s="854"/>
    </row>
    <row r="9" spans="1:18">
      <c r="A9" s="257" t="s">
        <v>655</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1.0050619922029088E-6</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4.4543332901965438E-2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7.3830217998586234E-7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1.4013337876466591E-3</v>
      </c>
      <c r="N9" s="415"/>
      <c r="O9" s="415"/>
      <c r="P9" s="416"/>
      <c r="R9" s="854"/>
    </row>
    <row r="10" spans="1:18">
      <c r="A10" s="257" t="s">
        <v>656</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1.2083300274119119E-4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1.6610082181464734E-4</v>
      </c>
      <c r="E10" s="417">
        <f>vkm_SW_PW*SUMIFS(TableVerdeelsleutelVkm[LPG],TableVerdeelsleutelVkm[Voertuigtype],"Lichte voertuigen")*SUMIFS(TableECFTransport[EnergieConsumptieFactor (PJ per km)],TableECFTransport[Index],CONCATENATE($A10,"_LPG_LPG"))</f>
        <v>9.3307069665427879E-4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0.22702462684048952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5.651657409671431E-2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8.8360102414586292E-3</v>
      </c>
      <c r="N10" s="415"/>
      <c r="O10" s="415"/>
      <c r="P10" s="416"/>
      <c r="R10" s="854"/>
    </row>
    <row r="11" spans="1:18">
      <c r="A11" s="4" t="s">
        <v>657</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8.7718254571500798E-6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0.28810222440657512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5.4947163174323814E-6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9.0637210005995034E-3</v>
      </c>
      <c r="N11" s="418"/>
      <c r="O11" s="418"/>
      <c r="P11" s="420"/>
      <c r="R11" s="854"/>
    </row>
    <row r="12" spans="1:18">
      <c r="A12" s="323" t="s">
        <v>534</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325</v>
      </c>
      <c r="B14" s="21">
        <f>((B5)*10^9/3600)+B12</f>
        <v>82.394049526053195</v>
      </c>
      <c r="C14" s="21"/>
      <c r="D14" s="21">
        <f t="shared" ref="D14:M14" si="0">((D5)*10^9/3600)+D12</f>
        <v>131.44789704104298</v>
      </c>
      <c r="E14" s="21">
        <f t="shared" si="0"/>
        <v>642.99035943710169</v>
      </c>
      <c r="F14" s="21"/>
      <c r="G14" s="21">
        <f t="shared" si="0"/>
        <v>282033.75065081642</v>
      </c>
      <c r="H14" s="21">
        <f t="shared" si="0"/>
        <v>43070.367739391048</v>
      </c>
      <c r="I14" s="21"/>
      <c r="J14" s="21"/>
      <c r="K14" s="21"/>
      <c r="L14" s="21"/>
      <c r="M14" s="21">
        <f t="shared" si="0"/>
        <v>10163.558347062968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0.19383593642518931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15.970927745745946</v>
      </c>
      <c r="C18" s="23"/>
      <c r="D18" s="23">
        <f t="shared" ref="D18:M18" si="1">D14*D16</f>
        <v>26.552475202290683</v>
      </c>
      <c r="E18" s="23">
        <f t="shared" si="1"/>
        <v>145.95881159222208</v>
      </c>
      <c r="F18" s="23"/>
      <c r="G18" s="23">
        <f t="shared" si="1"/>
        <v>75303.011423767995</v>
      </c>
      <c r="H18" s="23">
        <f t="shared" si="1"/>
        <v>10724.521567108372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489</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89" t="s">
        <v>298</v>
      </c>
      <c r="C23" s="889" t="s">
        <v>658</v>
      </c>
      <c r="D23" s="889" t="s">
        <v>659</v>
      </c>
      <c r="E23" s="889" t="s">
        <v>660</v>
      </c>
      <c r="F23" s="889" t="s">
        <v>638</v>
      </c>
      <c r="G23" s="889" t="s">
        <v>661</v>
      </c>
      <c r="H23" s="889" t="s">
        <v>662</v>
      </c>
      <c r="I23" s="889" t="s">
        <v>112</v>
      </c>
      <c r="J23" s="889" t="s">
        <v>663</v>
      </c>
      <c r="K23" s="889" t="s">
        <v>664</v>
      </c>
      <c r="L23" s="890" t="s">
        <v>665</v>
      </c>
      <c r="M23" s="129" t="s">
        <v>175</v>
      </c>
      <c r="N23" s="264" t="s">
        <v>305</v>
      </c>
    </row>
    <row r="24" spans="1:18">
      <c r="A24" s="32" t="s">
        <v>650</v>
      </c>
      <c r="B24" s="1042">
        <v>5.2886538971963016E-4</v>
      </c>
      <c r="C24" s="1042">
        <v>0.77692814639643537</v>
      </c>
      <c r="D24" s="1042" t="s">
        <v>866</v>
      </c>
      <c r="E24" s="1042">
        <v>1.0968648319896536E-4</v>
      </c>
      <c r="F24" s="1043"/>
      <c r="G24" s="1042">
        <v>9.0477367653526975E-4</v>
      </c>
      <c r="H24" s="1042" t="s">
        <v>866</v>
      </c>
      <c r="I24" s="1042">
        <v>2.7089364759488141E-3</v>
      </c>
      <c r="J24" s="1042">
        <v>0.2145889537432536</v>
      </c>
      <c r="K24" s="1042">
        <v>3.7571751031815182E-3</v>
      </c>
      <c r="L24" s="1042">
        <v>4.734627317267976E-4</v>
      </c>
      <c r="M24" s="1033" t="s">
        <v>867</v>
      </c>
      <c r="N24" s="856">
        <f>SUM(B24:L24)</f>
        <v>1</v>
      </c>
      <c r="O24" s="854"/>
    </row>
    <row r="25" spans="1:18">
      <c r="A25" s="32" t="s">
        <v>651</v>
      </c>
      <c r="B25" s="1042" t="s">
        <v>866</v>
      </c>
      <c r="C25" s="1042">
        <v>0.99990994633613828</v>
      </c>
      <c r="D25" s="1042" t="s">
        <v>866</v>
      </c>
      <c r="E25" s="1042" t="s">
        <v>866</v>
      </c>
      <c r="F25" s="1043"/>
      <c r="G25" s="1042">
        <v>6.2510586584789703E-5</v>
      </c>
      <c r="H25" s="1042" t="s">
        <v>866</v>
      </c>
      <c r="I25" s="1042" t="s">
        <v>866</v>
      </c>
      <c r="J25" s="1042">
        <v>2.7543077276916454E-5</v>
      </c>
      <c r="K25" s="1042" t="s">
        <v>866</v>
      </c>
      <c r="L25" s="1042" t="s">
        <v>866</v>
      </c>
      <c r="M25" s="1033" t="s">
        <v>867</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490</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306</v>
      </c>
      <c r="C30" s="853">
        <v>2015</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3.0499999999999999E-2</v>
      </c>
      <c r="D35" s="58"/>
      <c r="E35" s="1035" t="s">
        <v>886</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306</v>
      </c>
      <c r="C37" s="853">
        <f>C30</f>
        <v>2015</v>
      </c>
      <c r="D37" s="269" t="s">
        <v>307</v>
      </c>
      <c r="E37" s="887"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2.9100000000000001E-2</v>
      </c>
      <c r="D42" s="275"/>
      <c r="E42" s="1035"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6" t="s">
        <v>488</v>
      </c>
      <c r="B46" s="1207" t="s">
        <v>535</v>
      </c>
      <c r="C46" s="1208"/>
      <c r="D46" s="1208"/>
      <c r="E46" s="1208"/>
      <c r="F46" s="1208"/>
      <c r="G46" s="1208"/>
      <c r="H46" s="1208"/>
      <c r="I46" s="1208"/>
      <c r="J46" s="1208"/>
      <c r="K46" s="1208"/>
      <c r="L46" s="1208"/>
      <c r="M46" s="1208"/>
      <c r="N46" s="1208"/>
      <c r="O46" s="1208"/>
      <c r="P46" s="1208"/>
    </row>
    <row r="47" spans="1:16" s="15" customFormat="1" ht="15.75" thickTop="1">
      <c r="A47" s="1206"/>
      <c r="B47" s="1209" t="s">
        <v>20</v>
      </c>
      <c r="C47" s="1209" t="s">
        <v>189</v>
      </c>
      <c r="D47" s="1211" t="s">
        <v>190</v>
      </c>
      <c r="E47" s="1212"/>
      <c r="F47" s="1212"/>
      <c r="G47" s="1212"/>
      <c r="H47" s="1212"/>
      <c r="I47" s="1212"/>
      <c r="J47" s="1212"/>
      <c r="K47" s="1213"/>
      <c r="L47" s="1211" t="s">
        <v>191</v>
      </c>
      <c r="M47" s="1212"/>
      <c r="N47" s="1212"/>
      <c r="O47" s="1212"/>
      <c r="P47" s="1213"/>
    </row>
    <row r="48" spans="1:16" s="15" customFormat="1" ht="45">
      <c r="A48" s="1206"/>
      <c r="B48" s="1210"/>
      <c r="C48" s="121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4.6790914622169726E-5</v>
      </c>
      <c r="C50" s="313">
        <f t="shared" ref="C50:P50" si="2">SUM(C51:C52)</f>
        <v>0</v>
      </c>
      <c r="D50" s="313">
        <f t="shared" si="2"/>
        <v>0</v>
      </c>
      <c r="E50" s="313">
        <f t="shared" si="2"/>
        <v>0</v>
      </c>
      <c r="F50" s="313">
        <f t="shared" si="2"/>
        <v>0</v>
      </c>
      <c r="G50" s="313">
        <f t="shared" si="2"/>
        <v>8.3429189918062044E-3</v>
      </c>
      <c r="H50" s="313">
        <f t="shared" si="2"/>
        <v>0</v>
      </c>
      <c r="I50" s="313">
        <f t="shared" si="2"/>
        <v>0</v>
      </c>
      <c r="J50" s="313">
        <f t="shared" si="2"/>
        <v>0</v>
      </c>
      <c r="K50" s="313">
        <f t="shared" si="2"/>
        <v>0</v>
      </c>
      <c r="L50" s="313">
        <f t="shared" si="2"/>
        <v>0</v>
      </c>
      <c r="M50" s="313">
        <f t="shared" si="2"/>
        <v>2.6043360509422458E-4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4.6790914622169726E-5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8.3429189918062044E-3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2.6043360509422458E-4</v>
      </c>
      <c r="N51" s="315"/>
      <c r="O51" s="315"/>
      <c r="P51" s="318"/>
    </row>
    <row r="52" spans="1:18">
      <c r="A52" s="4" t="s">
        <v>318</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12.997476283936034</v>
      </c>
      <c r="C54" s="21">
        <f t="shared" ref="C54:P54" si="3">(C50)*10^9/3600</f>
        <v>0</v>
      </c>
      <c r="D54" s="21">
        <f t="shared" si="3"/>
        <v>0</v>
      </c>
      <c r="E54" s="21">
        <f t="shared" si="3"/>
        <v>0</v>
      </c>
      <c r="F54" s="21">
        <f t="shared" si="3"/>
        <v>0</v>
      </c>
      <c r="G54" s="21">
        <f t="shared" si="3"/>
        <v>2317.4774977239458</v>
      </c>
      <c r="H54" s="21">
        <f t="shared" si="3"/>
        <v>0</v>
      </c>
      <c r="I54" s="21">
        <f t="shared" si="3"/>
        <v>0</v>
      </c>
      <c r="J54" s="21">
        <f t="shared" si="3"/>
        <v>0</v>
      </c>
      <c r="K54" s="21">
        <f t="shared" si="3"/>
        <v>0</v>
      </c>
      <c r="L54" s="21">
        <f t="shared" si="3"/>
        <v>0</v>
      </c>
      <c r="M54" s="21">
        <f t="shared" si="3"/>
        <v>72.342668081729059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0.19383593642518931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2.5193779866609312</v>
      </c>
      <c r="C58" s="23">
        <f t="shared" ref="C58:P58" ca="1" si="4">C54*C56</f>
        <v>0</v>
      </c>
      <c r="D58" s="23">
        <f t="shared" si="4"/>
        <v>0</v>
      </c>
      <c r="E58" s="23">
        <f t="shared" si="4"/>
        <v>0</v>
      </c>
      <c r="F58" s="23">
        <f t="shared" si="4"/>
        <v>0</v>
      </c>
      <c r="G58" s="23">
        <f t="shared" si="4"/>
        <v>618.76649189229352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549</v>
      </c>
      <c r="B61" s="260"/>
      <c r="C61" s="261"/>
    </row>
    <row r="62" spans="1:18" s="15" customFormat="1">
      <c r="A62" s="287"/>
      <c r="B62" s="283"/>
      <c r="C62" s="288"/>
    </row>
    <row r="63" spans="1:18">
      <c r="A63" s="289"/>
      <c r="B63" s="133"/>
      <c r="C63" s="290" t="s">
        <v>175</v>
      </c>
    </row>
    <row r="64" spans="1:18">
      <c r="A64" s="281" t="s">
        <v>195</v>
      </c>
      <c r="B64" s="284">
        <f>100%-B65</f>
        <v>0.97619999999999996</v>
      </c>
      <c r="C64" s="171"/>
    </row>
    <row r="65" spans="1:12">
      <c r="A65" s="281" t="s">
        <v>865</v>
      </c>
      <c r="B65" s="1041">
        <v>2.3800000000000002E-2</v>
      </c>
      <c r="C65" s="171" t="s">
        <v>692</v>
      </c>
    </row>
    <row r="66" spans="1:12" s="15" customFormat="1">
      <c r="A66" s="282"/>
      <c r="B66" s="265"/>
      <c r="C66" s="229"/>
    </row>
    <row r="67" spans="1:12">
      <c r="A67" s="285" t="s">
        <v>305</v>
      </c>
      <c r="B67" s="286">
        <f>SUM(B64:B65)</f>
        <v>1</v>
      </c>
      <c r="C67" s="173"/>
    </row>
    <row r="70" spans="1:12">
      <c r="A70" s="258" t="s">
        <v>490</v>
      </c>
      <c r="B70" s="260"/>
      <c r="C70" s="260"/>
      <c r="D70" s="260"/>
      <c r="E70" s="260"/>
      <c r="F70" s="260"/>
      <c r="G70" s="260"/>
      <c r="H70" s="260"/>
      <c r="I70" s="260"/>
      <c r="J70" s="260"/>
      <c r="K70" s="260"/>
      <c r="L70" s="261"/>
    </row>
    <row r="71" spans="1:12">
      <c r="A71" s="411" t="s">
        <v>550</v>
      </c>
    </row>
    <row r="72" spans="1:12">
      <c r="A72" s="257"/>
      <c r="B72" s="262"/>
      <c r="C72" s="262"/>
      <c r="D72" s="262"/>
      <c r="E72" s="262"/>
    </row>
    <row r="73" spans="1:12">
      <c r="A73" s="268"/>
      <c r="B73" s="269" t="s">
        <v>306</v>
      </c>
      <c r="C73" s="853">
        <f>C30</f>
        <v>2015</v>
      </c>
      <c r="D73" s="269" t="s">
        <v>307</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3.0499999999999999E-2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5" t="s">
        <v>230</v>
      </c>
      <c r="B1" s="1234" t="s">
        <v>231</v>
      </c>
      <c r="C1" s="1272" t="s">
        <v>232</v>
      </c>
      <c r="D1" s="1273"/>
      <c r="E1" s="1273"/>
      <c r="F1" s="1273"/>
      <c r="G1" s="1273"/>
      <c r="H1" s="1273"/>
      <c r="I1" s="1273"/>
      <c r="J1" s="1273"/>
      <c r="K1" s="1273"/>
      <c r="L1" s="1273"/>
      <c r="M1" s="1273"/>
      <c r="N1" s="1274"/>
      <c r="O1" s="1231" t="s">
        <v>233</v>
      </c>
      <c r="P1" s="1234" t="s">
        <v>537</v>
      </c>
      <c r="Q1" s="1231"/>
      <c r="S1" s="1237"/>
      <c r="T1" s="1237"/>
      <c r="U1" s="1237"/>
    </row>
    <row r="2" spans="1:21" s="525" customFormat="1" ht="15.75" thickBot="1">
      <c r="A2" s="1226"/>
      <c r="B2" s="1226"/>
      <c r="C2" s="1268" t="s">
        <v>190</v>
      </c>
      <c r="D2" s="1269"/>
      <c r="E2" s="1269"/>
      <c r="F2" s="1269"/>
      <c r="G2" s="1270"/>
      <c r="H2" s="1271" t="s">
        <v>234</v>
      </c>
      <c r="I2" s="1247" t="s">
        <v>235</v>
      </c>
      <c r="J2" s="1247" t="s">
        <v>223</v>
      </c>
      <c r="K2" s="1247" t="s">
        <v>236</v>
      </c>
      <c r="L2" s="1247" t="s">
        <v>120</v>
      </c>
      <c r="M2" s="1247" t="s">
        <v>820</v>
      </c>
      <c r="N2" s="1243" t="s">
        <v>821</v>
      </c>
      <c r="O2" s="1232"/>
      <c r="P2" s="1235"/>
      <c r="Q2" s="1232"/>
      <c r="S2" s="1237"/>
      <c r="T2" s="1237"/>
      <c r="U2" s="1237"/>
    </row>
    <row r="3" spans="1:21" s="525" customFormat="1" ht="53.45" customHeight="1" thickBot="1">
      <c r="A3" s="1227"/>
      <c r="B3" s="1236"/>
      <c r="C3" s="526" t="s">
        <v>192</v>
      </c>
      <c r="D3" s="969" t="s">
        <v>193</v>
      </c>
      <c r="E3" s="527" t="s">
        <v>194</v>
      </c>
      <c r="F3" s="528" t="s">
        <v>196</v>
      </c>
      <c r="G3" s="529" t="s">
        <v>197</v>
      </c>
      <c r="H3" s="1242"/>
      <c r="I3" s="1248"/>
      <c r="J3" s="1248"/>
      <c r="K3" s="1248"/>
      <c r="L3" s="1248"/>
      <c r="M3" s="1248"/>
      <c r="N3" s="1244"/>
      <c r="O3" s="1233"/>
      <c r="P3" s="1236"/>
      <c r="Q3" s="1233"/>
      <c r="S3" s="1237"/>
      <c r="T3" s="1237"/>
      <c r="U3" s="1237"/>
    </row>
    <row r="4" spans="1:21" s="525" customFormat="1" ht="15.75" thickTop="1">
      <c r="A4" s="530" t="s">
        <v>238</v>
      </c>
      <c r="B4" s="531">
        <f>IF(ISERROR(kWh_wind_land),0,kWh_wind_land)</f>
        <v>0</v>
      </c>
      <c r="C4" s="1249"/>
      <c r="D4" s="1252"/>
      <c r="E4" s="1252"/>
      <c r="F4" s="1255"/>
      <c r="G4" s="1258"/>
      <c r="H4" s="1261"/>
      <c r="I4" s="1252"/>
      <c r="J4" s="1252"/>
      <c r="K4" s="1252"/>
      <c r="L4" s="1252"/>
      <c r="M4" s="1252"/>
      <c r="N4" s="998"/>
      <c r="O4" s="532"/>
      <c r="P4" s="1264"/>
      <c r="Q4" s="1265"/>
      <c r="S4" s="965"/>
      <c r="T4" s="1220"/>
      <c r="U4" s="1220"/>
    </row>
    <row r="5" spans="1:21" s="525" customFormat="1">
      <c r="A5" s="533" t="s">
        <v>239</v>
      </c>
      <c r="B5" s="531">
        <f>IF(ISERROR(kWh_waterkracht),0,kWh_waterkracht)</f>
        <v>0</v>
      </c>
      <c r="C5" s="1250"/>
      <c r="D5" s="1253"/>
      <c r="E5" s="1253"/>
      <c r="F5" s="1256"/>
      <c r="G5" s="1259"/>
      <c r="H5" s="1262"/>
      <c r="I5" s="1253"/>
      <c r="J5" s="1253"/>
      <c r="K5" s="1253"/>
      <c r="L5" s="1253"/>
      <c r="M5" s="1253"/>
      <c r="N5" s="998"/>
      <c r="O5" s="534"/>
      <c r="P5" s="1245"/>
      <c r="Q5" s="1246"/>
      <c r="S5" s="965"/>
      <c r="T5" s="1220"/>
      <c r="U5" s="1220"/>
    </row>
    <row r="6" spans="1:21" s="525" customFormat="1">
      <c r="A6" s="533" t="s">
        <v>240</v>
      </c>
      <c r="B6" s="531">
        <f>IF(ISERROR((kWh_PV_kleiner_dan_10kW+kWh_PV_groter_dan_10kW)),0,(kWh_PV_kleiner_dan_10kW+kWh_PV_groter_dan_10kW))</f>
        <v>16643.947598154045</v>
      </c>
      <c r="C6" s="1250"/>
      <c r="D6" s="1253"/>
      <c r="E6" s="1253"/>
      <c r="F6" s="1256"/>
      <c r="G6" s="1259"/>
      <c r="H6" s="1262"/>
      <c r="I6" s="1253"/>
      <c r="J6" s="1253"/>
      <c r="K6" s="1253"/>
      <c r="L6" s="1253"/>
      <c r="M6" s="1253"/>
      <c r="N6" s="998"/>
      <c r="O6" s="534"/>
      <c r="P6" s="1245"/>
      <c r="Q6" s="1246"/>
      <c r="S6" s="965"/>
      <c r="T6" s="1220"/>
      <c r="U6" s="1220"/>
    </row>
    <row r="7" spans="1:21" s="525" customFormat="1">
      <c r="A7" s="533" t="s">
        <v>818</v>
      </c>
      <c r="B7" s="531"/>
      <c r="C7" s="1251"/>
      <c r="D7" s="1254"/>
      <c r="E7" s="1254"/>
      <c r="F7" s="1257"/>
      <c r="G7" s="1260"/>
      <c r="H7" s="1263"/>
      <c r="I7" s="1254"/>
      <c r="J7" s="1254"/>
      <c r="K7" s="1254"/>
      <c r="L7" s="1254"/>
      <c r="M7" s="1254"/>
      <c r="N7" s="999"/>
      <c r="O7" s="534"/>
      <c r="P7" s="966"/>
      <c r="Q7" s="967"/>
      <c r="S7" s="965"/>
      <c r="T7" s="965"/>
      <c r="U7" s="965"/>
    </row>
    <row r="8" spans="1:21" s="525" customFormat="1">
      <c r="A8" s="535" t="s">
        <v>241</v>
      </c>
      <c r="B8" s="1000">
        <f>N29</f>
        <v>43.649999999999991</v>
      </c>
      <c r="C8" s="536">
        <f>B48</f>
        <v>0</v>
      </c>
      <c r="D8" s="1001"/>
      <c r="E8" s="1001">
        <f>E48</f>
        <v>0</v>
      </c>
      <c r="F8" s="1002"/>
      <c r="G8" s="537"/>
      <c r="H8" s="1001">
        <f>I48</f>
        <v>0</v>
      </c>
      <c r="I8" s="1001">
        <f>G48+F48</f>
        <v>0</v>
      </c>
      <c r="J8" s="1001">
        <f>H48+D48+C48</f>
        <v>51.35294117647058</v>
      </c>
      <c r="K8" s="1001"/>
      <c r="L8" s="1001"/>
      <c r="M8" s="1001"/>
      <c r="N8" s="538"/>
      <c r="O8" s="539">
        <f>C8*$C$12+D8*$D$12+E8*$E$12+F8*$F$12+G8*$G$12+H8*$H$12+I8*$I$12+J8*$J$12</f>
        <v>0</v>
      </c>
      <c r="P8" s="1245"/>
      <c r="Q8" s="1246"/>
      <c r="S8" s="965"/>
      <c r="T8" s="1220"/>
      <c r="U8" s="1220"/>
    </row>
    <row r="9" spans="1:21" s="525" customFormat="1" ht="17.45" customHeight="1" thickBot="1">
      <c r="A9" s="540" t="s">
        <v>237</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3"/>
      <c r="O9" s="539">
        <f>C9*$C$12+D9*$D$12+E9*$E$12+F9*$F$12+G9*$G$12+H9*$H$12+I9*$I$12+J9*$J$12</f>
        <v>0</v>
      </c>
      <c r="P9" s="1266"/>
      <c r="Q9" s="1267"/>
      <c r="R9" s="546"/>
      <c r="S9" s="965"/>
      <c r="T9" s="1220"/>
      <c r="U9" s="1220"/>
    </row>
    <row r="10" spans="1:21" s="525" customFormat="1" ht="16.5" thickTop="1" thickBot="1">
      <c r="A10" s="547" t="s">
        <v>109</v>
      </c>
      <c r="B10" s="548">
        <f>SUM(B4:B9)</f>
        <v>16687.597598154047</v>
      </c>
      <c r="C10" s="549">
        <f t="shared" ref="C10:L10" si="0">SUM(C8:C9)</f>
        <v>0</v>
      </c>
      <c r="D10" s="549">
        <f t="shared" si="0"/>
        <v>0</v>
      </c>
      <c r="E10" s="549">
        <f t="shared" si="0"/>
        <v>0</v>
      </c>
      <c r="F10" s="549">
        <f t="shared" si="0"/>
        <v>0</v>
      </c>
      <c r="G10" s="549">
        <f t="shared" si="0"/>
        <v>0</v>
      </c>
      <c r="H10" s="549">
        <f t="shared" si="0"/>
        <v>0</v>
      </c>
      <c r="I10" s="549">
        <f t="shared" si="0"/>
        <v>0</v>
      </c>
      <c r="J10" s="549">
        <f t="shared" si="0"/>
        <v>51.35294117647058</v>
      </c>
      <c r="K10" s="549">
        <f t="shared" si="0"/>
        <v>0</v>
      </c>
      <c r="L10" s="549">
        <f t="shared" si="0"/>
        <v>0</v>
      </c>
      <c r="M10" s="1004"/>
      <c r="N10" s="1004"/>
      <c r="O10" s="550">
        <f>SUM(O4:O9)</f>
        <v>0</v>
      </c>
      <c r="P10" s="551"/>
      <c r="R10" s="963"/>
      <c r="S10" s="965"/>
      <c r="T10" s="963"/>
      <c r="U10" s="963"/>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5" t="s">
        <v>242</v>
      </c>
      <c r="B14" s="1225" t="s">
        <v>243</v>
      </c>
      <c r="C14" s="1228" t="s">
        <v>244</v>
      </c>
      <c r="D14" s="1229"/>
      <c r="E14" s="1229"/>
      <c r="F14" s="1229"/>
      <c r="G14" s="1229"/>
      <c r="H14" s="1229"/>
      <c r="I14" s="1229"/>
      <c r="J14" s="1229"/>
      <c r="K14" s="1229"/>
      <c r="L14" s="1229"/>
      <c r="M14" s="1229"/>
      <c r="N14" s="1230"/>
      <c r="O14" s="1231" t="s">
        <v>233</v>
      </c>
      <c r="P14" s="1234" t="s">
        <v>245</v>
      </c>
      <c r="Q14" s="1231"/>
      <c r="R14" s="1237"/>
      <c r="S14" s="1237"/>
      <c r="T14" s="1237"/>
    </row>
    <row r="15" spans="1:21" s="525" customFormat="1" ht="15.75" customHeight="1" thickBot="1">
      <c r="A15" s="1226"/>
      <c r="B15" s="1226"/>
      <c r="C15" s="1238" t="s">
        <v>190</v>
      </c>
      <c r="D15" s="1239"/>
      <c r="E15" s="1239"/>
      <c r="F15" s="1239"/>
      <c r="G15" s="1240"/>
      <c r="H15" s="1241" t="s">
        <v>234</v>
      </c>
      <c r="I15" s="1241" t="s">
        <v>235</v>
      </c>
      <c r="J15" s="1241" t="s">
        <v>223</v>
      </c>
      <c r="K15" s="1241" t="s">
        <v>246</v>
      </c>
      <c r="L15" s="1241" t="s">
        <v>120</v>
      </c>
      <c r="M15" s="1241" t="s">
        <v>820</v>
      </c>
      <c r="N15" s="1243" t="s">
        <v>821</v>
      </c>
      <c r="O15" s="1232"/>
      <c r="P15" s="1235"/>
      <c r="Q15" s="1232"/>
      <c r="R15" s="1237"/>
      <c r="S15" s="1237"/>
      <c r="T15" s="1237"/>
    </row>
    <row r="16" spans="1:21" s="525" customFormat="1" ht="40.700000000000003" customHeight="1" thickBot="1">
      <c r="A16" s="1227"/>
      <c r="B16" s="1227"/>
      <c r="C16" s="557" t="s">
        <v>192</v>
      </c>
      <c r="D16" s="969" t="s">
        <v>193</v>
      </c>
      <c r="E16" s="968" t="s">
        <v>194</v>
      </c>
      <c r="F16" s="969" t="s">
        <v>196</v>
      </c>
      <c r="G16" s="558" t="s">
        <v>197</v>
      </c>
      <c r="H16" s="1242"/>
      <c r="I16" s="1242"/>
      <c r="J16" s="1242"/>
      <c r="K16" s="1242"/>
      <c r="L16" s="1242"/>
      <c r="M16" s="1242"/>
      <c r="N16" s="1244"/>
      <c r="O16" s="1233"/>
      <c r="P16" s="1236"/>
      <c r="Q16" s="1233"/>
      <c r="R16" s="1237"/>
      <c r="S16" s="1237"/>
      <c r="T16" s="1237"/>
    </row>
    <row r="17" spans="1:26" s="525" customFormat="1" ht="15.75" thickTop="1">
      <c r="A17" s="559" t="s">
        <v>241</v>
      </c>
      <c r="B17" s="560">
        <f>O29</f>
        <v>62.357142857142847</v>
      </c>
      <c r="C17" s="561">
        <f>B49</f>
        <v>0</v>
      </c>
      <c r="D17" s="562"/>
      <c r="E17" s="562">
        <f>E49</f>
        <v>0</v>
      </c>
      <c r="F17" s="1007"/>
      <c r="G17" s="563"/>
      <c r="H17" s="561">
        <f>I49</f>
        <v>0</v>
      </c>
      <c r="I17" s="562">
        <f>G49+F49</f>
        <v>0</v>
      </c>
      <c r="J17" s="562">
        <f>H49+D49+C49</f>
        <v>73.361344537815114</v>
      </c>
      <c r="K17" s="562"/>
      <c r="L17" s="562"/>
      <c r="M17" s="562"/>
      <c r="N17" s="1008"/>
      <c r="O17" s="564">
        <f>C17*$C$22+E17*$E$22+H17*$H$22+I17*$I$22+J17*$J$22+D17*$D$22+F17*$F$22+G17*$G$22+K17*$K$22+L17*$L$22</f>
        <v>0</v>
      </c>
      <c r="P17" s="1223"/>
      <c r="Q17" s="1224"/>
      <c r="R17" s="964"/>
      <c r="S17" s="1217"/>
      <c r="T17" s="1217"/>
    </row>
    <row r="18" spans="1:26" s="525" customFormat="1">
      <c r="A18" s="565" t="s">
        <v>247</v>
      </c>
      <c r="B18" s="56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64">
        <f>C18*$C$22+E18*$E$22+H18*$H$22+I18*$I$22+J18*$J$22+D18*$D$22+F18*$F$22+G18*$G$22+K18*$K$22+L18*$L$22</f>
        <v>0</v>
      </c>
      <c r="P18" s="1218"/>
      <c r="Q18" s="1219"/>
      <c r="R18" s="965"/>
      <c r="S18" s="1220"/>
      <c r="T18" s="1220"/>
    </row>
    <row r="19" spans="1:26" s="525" customFormat="1" ht="15.75" thickBot="1">
      <c r="A19" s="540" t="s">
        <v>237</v>
      </c>
      <c r="B19" s="566">
        <f>'Eigen informatie GS &amp; warmtenet'!B11</f>
        <v>0</v>
      </c>
      <c r="C19" s="100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0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0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0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0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0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0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0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0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10"/>
      <c r="O19" s="564">
        <f>C19*$C$22+E19*$E$22+H19*$H$22+I19*$I$22+J19*$J$22+D19*$D$22+F19*$F$22+G19*$G$22+K19*$K$22+L19*$L$22</f>
        <v>0</v>
      </c>
      <c r="P19" s="1221"/>
      <c r="Q19" s="1222"/>
      <c r="R19" s="965"/>
      <c r="S19" s="1220"/>
      <c r="T19" s="1220"/>
    </row>
    <row r="20" spans="1:26" s="525" customFormat="1" ht="16.5" thickTop="1" thickBot="1">
      <c r="A20" s="547" t="s">
        <v>109</v>
      </c>
      <c r="B20" s="548">
        <f>SUM(B17:B19)</f>
        <v>62.357142857142847</v>
      </c>
      <c r="C20" s="548">
        <f>SUM(C17:C19)</f>
        <v>0</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0</v>
      </c>
      <c r="P20" s="1214"/>
      <c r="Q20" s="1215"/>
      <c r="R20" s="965"/>
      <c r="S20" s="1216"/>
      <c r="T20" s="1216"/>
    </row>
    <row r="21" spans="1:26" s="525" customFormat="1" ht="15.75" thickTop="1">
      <c r="A21" s="964"/>
      <c r="B21" s="965"/>
      <c r="C21" s="965"/>
      <c r="D21" s="965"/>
      <c r="E21" s="965"/>
      <c r="F21" s="965"/>
      <c r="G21" s="965"/>
      <c r="H21" s="965"/>
      <c r="I21" s="965"/>
      <c r="J21" s="965"/>
      <c r="K21" s="965"/>
      <c r="L21" s="965"/>
      <c r="M21" s="965"/>
      <c r="N21" s="965"/>
      <c r="O21" s="965"/>
      <c r="P21" s="963"/>
      <c r="Q21" s="963"/>
      <c r="R21" s="965"/>
      <c r="S21" s="963"/>
      <c r="T21" s="963"/>
    </row>
    <row r="22" spans="1:26" s="55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268</v>
      </c>
      <c r="B27" s="615" t="s">
        <v>89</v>
      </c>
      <c r="C27" s="615" t="s">
        <v>90</v>
      </c>
      <c r="D27" s="615"/>
      <c r="E27" s="615"/>
      <c r="F27" s="615"/>
      <c r="G27" s="615" t="s">
        <v>91</v>
      </c>
      <c r="H27" s="615" t="s">
        <v>92</v>
      </c>
      <c r="I27" s="615"/>
      <c r="J27" s="615"/>
      <c r="K27" s="615"/>
      <c r="L27" s="615" t="s">
        <v>93</v>
      </c>
      <c r="M27" s="616" t="s">
        <v>287</v>
      </c>
      <c r="N27" s="616" t="s">
        <v>94</v>
      </c>
      <c r="O27" s="616" t="s">
        <v>95</v>
      </c>
      <c r="P27" s="616" t="s">
        <v>524</v>
      </c>
      <c r="Q27" s="616" t="s">
        <v>96</v>
      </c>
      <c r="R27" s="616" t="s">
        <v>97</v>
      </c>
      <c r="S27" s="616" t="s">
        <v>98</v>
      </c>
      <c r="T27" s="616" t="s">
        <v>99</v>
      </c>
      <c r="U27" s="616" t="s">
        <v>100</v>
      </c>
      <c r="V27" s="616" t="s">
        <v>101</v>
      </c>
      <c r="W27" s="615" t="s">
        <v>102</v>
      </c>
      <c r="X27" s="615" t="s">
        <v>288</v>
      </c>
      <c r="Y27" s="615" t="s">
        <v>103</v>
      </c>
      <c r="Z27" s="617" t="s">
        <v>289</v>
      </c>
    </row>
    <row r="28" spans="1:26" s="572" customFormat="1" ht="25.5" hidden="1">
      <c r="A28" s="571"/>
      <c r="B28" s="762">
        <v>46025</v>
      </c>
      <c r="C28" s="762">
        <v>9140</v>
      </c>
      <c r="D28" s="619"/>
      <c r="E28" s="618"/>
      <c r="F28" s="618"/>
      <c r="G28" s="618" t="s">
        <v>906</v>
      </c>
      <c r="H28" s="618" t="s">
        <v>907</v>
      </c>
      <c r="I28" s="618"/>
      <c r="J28" s="761"/>
      <c r="K28" s="761"/>
      <c r="L28" s="618" t="s">
        <v>908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56" customFormat="1" hidden="1">
      <c r="A29" s="574" t="s">
        <v>269</v>
      </c>
      <c r="B29" s="575"/>
      <c r="C29" s="575"/>
      <c r="D29" s="575"/>
      <c r="E29" s="575"/>
      <c r="F29" s="575"/>
      <c r="G29" s="575"/>
      <c r="H29" s="575"/>
      <c r="I29" s="575"/>
      <c r="J29" s="575"/>
      <c r="K29" s="575"/>
      <c r="L29" s="576"/>
      <c r="M29" s="576">
        <f>SUM(M28:M28)</f>
        <v>9.6999999999999993</v>
      </c>
      <c r="N29" s="576">
        <f>SUM(N28:N28)</f>
        <v>43.649999999999991</v>
      </c>
      <c r="O29" s="576">
        <f>SUM(O28:O28)</f>
        <v>62.357142857142847</v>
      </c>
      <c r="P29" s="576">
        <f>SUM(P28:P28)</f>
        <v>0</v>
      </c>
      <c r="Q29" s="576">
        <f>SUM(Q28:Q28)</f>
        <v>124.71428571428569</v>
      </c>
      <c r="R29" s="576">
        <f>SUM(R28:R28)</f>
        <v>0</v>
      </c>
      <c r="S29" s="576">
        <f>SUM(S28:S28)</f>
        <v>0</v>
      </c>
      <c r="T29" s="576">
        <f>SUM(T28:T28)</f>
        <v>0</v>
      </c>
      <c r="U29" s="576">
        <f>SUM(U28:U28)</f>
        <v>0</v>
      </c>
      <c r="V29" s="576">
        <f>SUM(V28:V28)</f>
        <v>0</v>
      </c>
      <c r="W29" s="576">
        <f>SUM(W28:W28)</f>
        <v>0</v>
      </c>
      <c r="X29" s="577"/>
      <c r="Y29" s="577"/>
      <c r="Z29" s="578"/>
    </row>
    <row r="30" spans="1:26" s="556" customFormat="1">
      <c r="A30" s="574" t="s">
        <v>276</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277</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278</v>
      </c>
      <c r="B32" s="580"/>
      <c r="C32" s="580"/>
      <c r="D32" s="580"/>
      <c r="E32" s="580"/>
      <c r="F32" s="580"/>
      <c r="G32" s="580"/>
      <c r="H32" s="580"/>
      <c r="I32" s="580"/>
      <c r="J32" s="580"/>
      <c r="K32" s="580"/>
      <c r="L32" s="581"/>
      <c r="M32" s="581">
        <f>SUMIF($Z$28:$Z$28,"landbouw",M28:M28)</f>
        <v>9.6999999999999993</v>
      </c>
      <c r="N32" s="581">
        <f>SUMIF($Z$28:$Z$28,"landbouw",N28:N28)</f>
        <v>43.649999999999991</v>
      </c>
      <c r="O32" s="581">
        <f>SUMIF($Z$28:$Z$28,"landbouw",O28:O28)</f>
        <v>62.357142857142847</v>
      </c>
      <c r="P32" s="581">
        <f>SUMIF($Z$28:$Z$28,"landbouw",P28:P28)</f>
        <v>0</v>
      </c>
      <c r="Q32" s="581">
        <f>SUMIF($Z$28:$Z$28,"landbouw",Q28:Q28)</f>
        <v>124.71428571428569</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270</v>
      </c>
      <c r="B34" s="615" t="s">
        <v>89</v>
      </c>
      <c r="C34" s="615" t="s">
        <v>90</v>
      </c>
      <c r="D34" s="615"/>
      <c r="E34" s="615"/>
      <c r="F34" s="615"/>
      <c r="G34" s="615" t="s">
        <v>91</v>
      </c>
      <c r="H34" s="615" t="s">
        <v>92</v>
      </c>
      <c r="I34" s="615"/>
      <c r="J34" s="615"/>
      <c r="K34" s="615"/>
      <c r="L34" s="615" t="s">
        <v>93</v>
      </c>
      <c r="M34" s="616" t="s">
        <v>287</v>
      </c>
      <c r="N34" s="616" t="s">
        <v>94</v>
      </c>
      <c r="O34" s="616" t="s">
        <v>95</v>
      </c>
      <c r="P34" s="616" t="s">
        <v>524</v>
      </c>
      <c r="Q34" s="616" t="s">
        <v>96</v>
      </c>
      <c r="R34" s="616" t="s">
        <v>97</v>
      </c>
      <c r="S34" s="616" t="s">
        <v>98</v>
      </c>
      <c r="T34" s="616" t="s">
        <v>99</v>
      </c>
      <c r="U34" s="616" t="s">
        <v>100</v>
      </c>
      <c r="V34" s="616" t="s">
        <v>101</v>
      </c>
      <c r="W34" s="615" t="s">
        <v>102</v>
      </c>
      <c r="X34" s="615" t="s">
        <v>288</v>
      </c>
      <c r="Y34" s="615" t="s">
        <v>103</v>
      </c>
      <c r="Z34" s="617" t="s">
        <v>289</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269</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276</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277</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278</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271</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272</v>
      </c>
      <c r="C44" s="598" t="s">
        <v>273</v>
      </c>
      <c r="D44" s="598"/>
      <c r="E44" s="598"/>
      <c r="F44" s="598"/>
      <c r="G44" s="598"/>
      <c r="H44" s="598"/>
      <c r="I44" s="599"/>
      <c r="J44" s="598"/>
      <c r="K44" s="598"/>
      <c r="L44" s="598"/>
      <c r="M44" s="598"/>
      <c r="N44" s="598"/>
      <c r="O44" s="598"/>
      <c r="P44" s="593"/>
    </row>
    <row r="45" spans="1:27">
      <c r="A45" s="595" t="s">
        <v>269</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524</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274</v>
      </c>
      <c r="B48" s="610">
        <f t="shared" ref="B48:I48" si="2">$C$45*P29</f>
        <v>0</v>
      </c>
      <c r="C48" s="610">
        <f t="shared" si="2"/>
        <v>51.35294117647058</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275</v>
      </c>
      <c r="B49" s="613">
        <f t="shared" ref="B49:I49" si="3">$B$45*P29</f>
        <v>0</v>
      </c>
      <c r="C49" s="613">
        <f t="shared" si="3"/>
        <v>73.361344537815114</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401</v>
      </c>
      <c r="B1" s="345" t="s">
        <v>408</v>
      </c>
      <c r="C1" s="345" t="s">
        <v>407</v>
      </c>
      <c r="D1" s="345" t="s">
        <v>406</v>
      </c>
      <c r="E1" s="346" t="s">
        <v>402</v>
      </c>
      <c r="F1" s="347" t="s">
        <v>403</v>
      </c>
      <c r="G1" s="347" t="s">
        <v>404</v>
      </c>
      <c r="H1" s="347" t="s">
        <v>405</v>
      </c>
    </row>
    <row r="2" spans="1:8" s="11" customFormat="1">
      <c r="A2" s="1047" t="s">
        <v>852</v>
      </c>
      <c r="B2" s="1048" t="s">
        <v>874</v>
      </c>
      <c r="C2" s="1047" t="s">
        <v>640</v>
      </c>
      <c r="D2" s="1047" t="s">
        <v>727</v>
      </c>
      <c r="E2" s="341"/>
      <c r="F2" s="338" t="s">
        <v>730</v>
      </c>
      <c r="G2" s="338" t="s">
        <v>737</v>
      </c>
      <c r="H2" s="339" t="s">
        <v>738</v>
      </c>
    </row>
    <row r="3" spans="1:8" s="11" customFormat="1">
      <c r="A3" s="1047" t="s">
        <v>886</v>
      </c>
      <c r="B3" s="1048" t="s">
        <v>887</v>
      </c>
      <c r="C3" s="1047" t="s">
        <v>186</v>
      </c>
      <c r="D3" s="1049" t="s">
        <v>888</v>
      </c>
      <c r="E3" s="341"/>
      <c r="F3" s="862" t="s">
        <v>725</v>
      </c>
      <c r="G3" s="862" t="s">
        <v>724</v>
      </c>
      <c r="H3" s="862" t="s">
        <v>726</v>
      </c>
    </row>
    <row r="4" spans="1:8" s="11" customFormat="1">
      <c r="A4" s="340" t="s">
        <v>394</v>
      </c>
      <c r="B4" s="766" t="s">
        <v>700</v>
      </c>
      <c r="C4" s="340" t="s">
        <v>394</v>
      </c>
      <c r="D4" s="340" t="s">
        <v>733</v>
      </c>
      <c r="E4" s="341"/>
      <c r="F4" s="862" t="s">
        <v>721</v>
      </c>
      <c r="G4" s="862" t="s">
        <v>722</v>
      </c>
      <c r="H4" s="862" t="s">
        <v>723</v>
      </c>
    </row>
    <row r="5" spans="1:8">
      <c r="A5" s="335" t="s">
        <v>387</v>
      </c>
      <c r="B5" s="860" t="s">
        <v>701</v>
      </c>
      <c r="C5" s="335" t="s">
        <v>387</v>
      </c>
      <c r="D5" s="335" t="s">
        <v>734</v>
      </c>
      <c r="E5" s="337"/>
      <c r="F5" s="338" t="s">
        <v>388</v>
      </c>
      <c r="G5" s="338" t="s">
        <v>389</v>
      </c>
      <c r="H5" s="339" t="s">
        <v>390</v>
      </c>
    </row>
    <row r="6" spans="1:8">
      <c r="A6" s="335" t="s">
        <v>391</v>
      </c>
      <c r="B6" s="336" t="s">
        <v>701</v>
      </c>
      <c r="C6" s="335" t="s">
        <v>391</v>
      </c>
      <c r="D6" s="335" t="s">
        <v>735</v>
      </c>
      <c r="E6" s="337"/>
      <c r="F6" s="338" t="s">
        <v>707</v>
      </c>
      <c r="G6" s="338" t="s">
        <v>709</v>
      </c>
      <c r="H6" s="339" t="s">
        <v>708</v>
      </c>
    </row>
    <row r="7" spans="1:8">
      <c r="A7" s="340" t="s">
        <v>419</v>
      </c>
      <c r="B7" s="343" t="s">
        <v>420</v>
      </c>
      <c r="C7" s="340" t="s">
        <v>422</v>
      </c>
      <c r="D7" s="340" t="s">
        <v>418</v>
      </c>
      <c r="E7" s="337" t="s">
        <v>421</v>
      </c>
      <c r="F7" s="338"/>
      <c r="G7" s="338"/>
      <c r="H7" s="339"/>
    </row>
    <row r="8" spans="1:8" s="854" customFormat="1">
      <c r="A8" s="340" t="s">
        <v>728</v>
      </c>
      <c r="B8" s="766">
        <v>2015</v>
      </c>
      <c r="C8" s="340" t="s">
        <v>394</v>
      </c>
      <c r="D8" s="340" t="s">
        <v>736</v>
      </c>
      <c r="E8" s="337" t="s">
        <v>729</v>
      </c>
      <c r="F8" s="338"/>
      <c r="G8" s="338"/>
      <c r="H8" s="339"/>
    </row>
    <row r="9" spans="1:8" s="854" customFormat="1">
      <c r="A9" s="340" t="s">
        <v>750</v>
      </c>
      <c r="B9" s="766">
        <v>2017</v>
      </c>
      <c r="C9" s="340" t="s">
        <v>752</v>
      </c>
      <c r="D9" s="340" t="s">
        <v>751</v>
      </c>
      <c r="E9" s="342" t="s">
        <v>740</v>
      </c>
      <c r="F9" s="338"/>
      <c r="G9" s="338"/>
      <c r="H9" s="339"/>
    </row>
    <row r="10" spans="1:8" s="11" customFormat="1">
      <c r="A10" s="340" t="s">
        <v>617</v>
      </c>
      <c r="B10" s="893" t="str">
        <f>"juni 2016"</f>
        <v>juni 2016</v>
      </c>
      <c r="C10" s="340" t="s">
        <v>618</v>
      </c>
      <c r="D10" s="340" t="s">
        <v>619</v>
      </c>
      <c r="E10" s="341"/>
      <c r="F10" s="862" t="s">
        <v>710</v>
      </c>
      <c r="G10" s="862" t="s">
        <v>711</v>
      </c>
      <c r="H10" s="339" t="s">
        <v>712</v>
      </c>
    </row>
    <row r="11" spans="1:8">
      <c r="A11" s="335" t="s">
        <v>715</v>
      </c>
      <c r="B11" s="860" t="s">
        <v>700</v>
      </c>
      <c r="C11" s="335" t="s">
        <v>716</v>
      </c>
      <c r="D11" s="335" t="s">
        <v>878</v>
      </c>
      <c r="E11" s="664"/>
      <c r="F11" s="338" t="s">
        <v>719</v>
      </c>
      <c r="G11" s="338" t="s">
        <v>717</v>
      </c>
      <c r="H11" s="339" t="s">
        <v>718</v>
      </c>
    </row>
    <row r="12" spans="1:8" s="854" customFormat="1">
      <c r="A12" s="340" t="s">
        <v>732</v>
      </c>
      <c r="B12" s="766">
        <v>2017</v>
      </c>
      <c r="C12" s="340" t="s">
        <v>413</v>
      </c>
      <c r="D12" s="340" t="s">
        <v>731</v>
      </c>
      <c r="E12" s="337"/>
      <c r="F12" s="338" t="s">
        <v>730</v>
      </c>
      <c r="G12" s="338" t="s">
        <v>737</v>
      </c>
      <c r="H12" s="339" t="s">
        <v>738</v>
      </c>
    </row>
    <row r="13" spans="1:8" s="10" customFormat="1">
      <c r="A13" s="340" t="s">
        <v>396</v>
      </c>
      <c r="B13" s="336" t="s">
        <v>412</v>
      </c>
      <c r="C13" s="335"/>
      <c r="D13" s="344" t="s">
        <v>411</v>
      </c>
      <c r="E13" s="337"/>
      <c r="F13" s="338"/>
      <c r="G13" s="338"/>
      <c r="H13" s="339"/>
    </row>
    <row r="14" spans="1:8">
      <c r="A14" s="335" t="s">
        <v>382</v>
      </c>
      <c r="B14" s="336" t="s">
        <v>648</v>
      </c>
      <c r="C14" s="335" t="s">
        <v>702</v>
      </c>
      <c r="D14" s="335" t="s">
        <v>649</v>
      </c>
      <c r="E14" s="342" t="s">
        <v>383</v>
      </c>
      <c r="F14" s="338" t="s">
        <v>384</v>
      </c>
      <c r="G14" s="338" t="s">
        <v>385</v>
      </c>
      <c r="H14" s="338" t="s">
        <v>386</v>
      </c>
    </row>
    <row r="15" spans="1:8">
      <c r="A15" s="335" t="s">
        <v>395</v>
      </c>
      <c r="B15" s="860" t="s">
        <v>720</v>
      </c>
      <c r="C15" s="335" t="s">
        <v>395</v>
      </c>
      <c r="D15" s="335" t="s">
        <v>409</v>
      </c>
      <c r="E15" s="337"/>
      <c r="F15" s="338" t="s">
        <v>763</v>
      </c>
      <c r="G15" s="338" t="s">
        <v>764</v>
      </c>
      <c r="H15" s="339" t="s">
        <v>765</v>
      </c>
    </row>
    <row r="16" spans="1:8" s="861" customFormat="1">
      <c r="A16" s="863" t="s">
        <v>496</v>
      </c>
      <c r="B16" s="864" t="s">
        <v>367</v>
      </c>
      <c r="C16" s="863" t="s">
        <v>365</v>
      </c>
      <c r="D16" s="865" t="s">
        <v>366</v>
      </c>
      <c r="E16" s="866" t="s">
        <v>368</v>
      </c>
      <c r="F16" s="338" t="s">
        <v>704</v>
      </c>
      <c r="G16" s="338" t="s">
        <v>713</v>
      </c>
      <c r="H16" s="339" t="s">
        <v>714</v>
      </c>
    </row>
    <row r="17" spans="1:8" s="861" customFormat="1">
      <c r="A17" s="863" t="s">
        <v>496</v>
      </c>
      <c r="B17" s="864" t="s">
        <v>757</v>
      </c>
      <c r="C17" s="863" t="s">
        <v>758</v>
      </c>
      <c r="D17" s="865" t="s">
        <v>759</v>
      </c>
      <c r="E17" s="866"/>
      <c r="F17" s="338" t="s">
        <v>704</v>
      </c>
      <c r="G17" s="338" t="s">
        <v>713</v>
      </c>
      <c r="H17" s="339" t="s">
        <v>714</v>
      </c>
    </row>
    <row r="18" spans="1:8" s="11" customFormat="1">
      <c r="A18" s="340" t="s">
        <v>495</v>
      </c>
      <c r="B18" s="766">
        <v>2016</v>
      </c>
      <c r="C18" s="340" t="s">
        <v>413</v>
      </c>
      <c r="D18" s="340" t="s">
        <v>706</v>
      </c>
      <c r="E18" s="341" t="s">
        <v>705</v>
      </c>
      <c r="F18" s="338" t="s">
        <v>704</v>
      </c>
      <c r="G18" s="338" t="s">
        <v>713</v>
      </c>
      <c r="H18" s="339" t="s">
        <v>714</v>
      </c>
    </row>
    <row r="19" spans="1:8">
      <c r="A19" s="340" t="s">
        <v>186</v>
      </c>
      <c r="B19" s="766" t="s">
        <v>699</v>
      </c>
      <c r="C19" s="340" t="s">
        <v>414</v>
      </c>
      <c r="D19" s="340" t="s">
        <v>703</v>
      </c>
      <c r="E19" s="337"/>
      <c r="F19" s="338" t="s">
        <v>415</v>
      </c>
      <c r="G19" s="338" t="s">
        <v>416</v>
      </c>
      <c r="H19" s="339" t="s">
        <v>417</v>
      </c>
    </row>
    <row r="20" spans="1:8" s="11" customFormat="1">
      <c r="A20" s="1054" t="s">
        <v>876</v>
      </c>
      <c r="B20" s="1055" t="s">
        <v>875</v>
      </c>
      <c r="C20" s="1054" t="s">
        <v>186</v>
      </c>
      <c r="D20" s="1054" t="s">
        <v>877</v>
      </c>
      <c r="E20" s="341"/>
      <c r="F20" s="862" t="s">
        <v>725</v>
      </c>
      <c r="G20" s="862" t="s">
        <v>724</v>
      </c>
      <c r="H20" s="862" t="s">
        <v>726</v>
      </c>
    </row>
    <row r="21" spans="1:8" s="854" customFormat="1">
      <c r="A21" s="340" t="s">
        <v>395</v>
      </c>
      <c r="B21" s="766" t="s">
        <v>760</v>
      </c>
      <c r="C21" s="340" t="s">
        <v>395</v>
      </c>
      <c r="D21" s="340" t="s">
        <v>761</v>
      </c>
      <c r="E21" s="337"/>
      <c r="F21" s="338" t="s">
        <v>769</v>
      </c>
      <c r="G21" s="338" t="s">
        <v>770</v>
      </c>
      <c r="H21" s="339" t="s">
        <v>771</v>
      </c>
    </row>
    <row r="22" spans="1:8" s="854" customFormat="1">
      <c r="A22" s="340" t="s">
        <v>395</v>
      </c>
      <c r="B22" s="766" t="s">
        <v>757</v>
      </c>
      <c r="C22" s="340" t="s">
        <v>395</v>
      </c>
      <c r="D22" s="340" t="s">
        <v>762</v>
      </c>
      <c r="E22" s="337"/>
      <c r="F22" s="338" t="s">
        <v>766</v>
      </c>
      <c r="G22" s="338" t="s">
        <v>767</v>
      </c>
      <c r="H22" s="339" t="s">
        <v>768</v>
      </c>
    </row>
    <row r="23" spans="1:8" s="11" customFormat="1">
      <c r="A23" s="340" t="s">
        <v>393</v>
      </c>
      <c r="B23" s="893" t="str">
        <f>"november 2016"</f>
        <v>november 2016</v>
      </c>
      <c r="C23" s="340" t="s">
        <v>393</v>
      </c>
      <c r="D23" s="340" t="s">
        <v>643</v>
      </c>
      <c r="E23" s="341" t="s">
        <v>644</v>
      </c>
      <c r="F23" s="338" t="s">
        <v>772</v>
      </c>
      <c r="G23" s="338" t="s">
        <v>773</v>
      </c>
      <c r="H23" s="339" t="s">
        <v>774</v>
      </c>
    </row>
    <row r="24" spans="1:8" s="11" customFormat="1">
      <c r="A24" s="340" t="s">
        <v>393</v>
      </c>
      <c r="B24" s="893" t="str">
        <f>"november 2016"</f>
        <v>november 2016</v>
      </c>
      <c r="C24" s="340" t="s">
        <v>393</v>
      </c>
      <c r="D24" s="894" t="s">
        <v>622</v>
      </c>
      <c r="E24" s="341" t="s">
        <v>410</v>
      </c>
      <c r="F24" s="338" t="s">
        <v>772</v>
      </c>
      <c r="G24" s="338" t="s">
        <v>773</v>
      </c>
      <c r="H24" s="339" t="s">
        <v>774</v>
      </c>
    </row>
    <row r="27" spans="1:8">
      <c r="F27" s="854"/>
      <c r="G27" s="854"/>
    </row>
    <row r="28" spans="1:8">
      <c r="F28" s="854"/>
      <c r="G28" s="854"/>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1"/>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7" t="s">
        <v>607</v>
      </c>
      <c r="B1" s="867" t="s">
        <v>608</v>
      </c>
      <c r="C1" s="867" t="s">
        <v>610</v>
      </c>
      <c r="D1" s="867" t="s">
        <v>609</v>
      </c>
    </row>
    <row r="2" spans="1:4" s="855" customFormat="1">
      <c r="A2" s="855" t="s">
        <v>673</v>
      </c>
      <c r="B2" s="877">
        <v>42860</v>
      </c>
      <c r="C2" s="855" t="s">
        <v>681</v>
      </c>
      <c r="D2" s="878" t="s">
        <v>682</v>
      </c>
    </row>
    <row r="3" spans="1:4" s="855" customFormat="1">
      <c r="A3" s="855" t="s">
        <v>673</v>
      </c>
      <c r="B3" s="877">
        <v>42860</v>
      </c>
      <c r="C3" s="855" t="s">
        <v>684</v>
      </c>
      <c r="D3" s="878" t="s">
        <v>685</v>
      </c>
    </row>
    <row r="4" spans="1:4" s="855" customFormat="1">
      <c r="A4" s="855" t="s">
        <v>673</v>
      </c>
      <c r="B4" s="877">
        <v>42860</v>
      </c>
      <c r="C4" s="855" t="s">
        <v>689</v>
      </c>
      <c r="D4" s="878" t="s">
        <v>688</v>
      </c>
    </row>
    <row r="5" spans="1:4" s="855" customFormat="1">
      <c r="A5" s="855" t="s">
        <v>673</v>
      </c>
      <c r="B5" s="877">
        <v>42860</v>
      </c>
      <c r="C5" s="855" t="s">
        <v>690</v>
      </c>
      <c r="D5" s="891" t="s">
        <v>691</v>
      </c>
    </row>
    <row r="6" spans="1:4" s="855" customFormat="1">
      <c r="A6" s="855" t="s">
        <v>673</v>
      </c>
      <c r="B6" s="897">
        <v>42877</v>
      </c>
      <c r="C6" s="854" t="s">
        <v>754</v>
      </c>
      <c r="D6" s="898" t="s">
        <v>693</v>
      </c>
    </row>
    <row r="7" spans="1:4" s="855" customFormat="1">
      <c r="A7" s="855" t="s">
        <v>673</v>
      </c>
      <c r="B7" s="897">
        <v>42877</v>
      </c>
      <c r="C7" s="854" t="s">
        <v>755</v>
      </c>
      <c r="D7" s="898" t="s">
        <v>694</v>
      </c>
    </row>
    <row r="8" spans="1:4" s="855" customFormat="1">
      <c r="A8" s="855" t="s">
        <v>673</v>
      </c>
      <c r="B8" s="897">
        <v>42877</v>
      </c>
      <c r="C8" s="854" t="s">
        <v>756</v>
      </c>
      <c r="D8" s="898" t="s">
        <v>695</v>
      </c>
    </row>
    <row r="9" spans="1:4" s="7" customFormat="1">
      <c r="A9" s="855" t="s">
        <v>673</v>
      </c>
      <c r="B9" s="897">
        <v>42877</v>
      </c>
      <c r="C9" s="854" t="s">
        <v>697</v>
      </c>
      <c r="D9" s="898" t="s">
        <v>696</v>
      </c>
    </row>
    <row r="10" spans="1:4" s="7" customFormat="1">
      <c r="A10" s="855" t="s">
        <v>741</v>
      </c>
      <c r="B10" s="877">
        <v>43167</v>
      </c>
      <c r="C10" s="877" t="s">
        <v>742</v>
      </c>
      <c r="D10" s="898" t="s">
        <v>743</v>
      </c>
    </row>
    <row r="11" spans="1:4" s="7" customFormat="1">
      <c r="A11" s="855" t="s">
        <v>741</v>
      </c>
      <c r="B11" s="877">
        <v>43167</v>
      </c>
      <c r="C11" s="877" t="s">
        <v>744</v>
      </c>
      <c r="D11" s="901" t="s">
        <v>745</v>
      </c>
    </row>
    <row r="12" spans="1:4" s="7" customFormat="1">
      <c r="A12" s="855" t="s">
        <v>741</v>
      </c>
      <c r="B12" s="877">
        <v>43167</v>
      </c>
      <c r="C12" s="877" t="s">
        <v>746</v>
      </c>
      <c r="D12" s="901" t="s">
        <v>747</v>
      </c>
    </row>
    <row r="13" spans="1:4" s="7" customFormat="1">
      <c r="A13" s="855" t="s">
        <v>741</v>
      </c>
      <c r="B13" s="877">
        <v>43167</v>
      </c>
      <c r="C13" s="877" t="s">
        <v>748</v>
      </c>
      <c r="D13" s="901" t="s">
        <v>749</v>
      </c>
    </row>
    <row r="14" spans="1:4" s="7" customFormat="1">
      <c r="A14" s="855" t="s">
        <v>741</v>
      </c>
      <c r="B14" s="877">
        <v>43278</v>
      </c>
      <c r="C14" s="877" t="s">
        <v>775</v>
      </c>
      <c r="D14" s="898"/>
    </row>
    <row r="15" spans="1:4" s="7" customFormat="1">
      <c r="A15" s="855" t="s">
        <v>810</v>
      </c>
      <c r="B15" s="877">
        <v>43425</v>
      </c>
      <c r="C15" s="877" t="s">
        <v>811</v>
      </c>
      <c r="D15" s="898"/>
    </row>
    <row r="16" spans="1:4" s="7" customFormat="1">
      <c r="A16" s="855" t="s">
        <v>822</v>
      </c>
      <c r="B16" s="877">
        <v>43573</v>
      </c>
      <c r="C16" s="877" t="s">
        <v>823</v>
      </c>
      <c r="D16" s="901"/>
    </row>
    <row r="17" spans="1:4" s="7" customFormat="1">
      <c r="A17" s="855" t="s">
        <v>845</v>
      </c>
      <c r="B17" s="877">
        <v>43678</v>
      </c>
      <c r="C17" s="877" t="s">
        <v>846</v>
      </c>
      <c r="D17" s="901" t="s">
        <v>847</v>
      </c>
    </row>
    <row r="18" spans="1:4" s="7" customFormat="1">
      <c r="A18" s="1032" t="s">
        <v>851</v>
      </c>
      <c r="B18" s="1040">
        <v>43930</v>
      </c>
      <c r="C18" s="1036" t="s">
        <v>848</v>
      </c>
      <c r="D18" s="1039" t="s">
        <v>849</v>
      </c>
    </row>
    <row r="19" spans="1:4" s="7" customFormat="1">
      <c r="A19" s="1032" t="s">
        <v>851</v>
      </c>
      <c r="B19" s="1040">
        <v>43930</v>
      </c>
      <c r="C19" s="1036" t="s">
        <v>850</v>
      </c>
      <c r="D19" s="1039" t="s">
        <v>849</v>
      </c>
    </row>
    <row r="20" spans="1:4" s="7" customFormat="1">
      <c r="A20" s="1037" t="s">
        <v>851</v>
      </c>
      <c r="B20" s="1040">
        <v>43943</v>
      </c>
      <c r="C20" s="1036" t="s">
        <v>853</v>
      </c>
      <c r="D20" s="1038" t="s">
        <v>693</v>
      </c>
    </row>
    <row r="21" spans="1:4">
      <c r="A21" s="1037" t="s">
        <v>851</v>
      </c>
      <c r="B21" s="1040">
        <v>43943</v>
      </c>
      <c r="C21" s="1036" t="s">
        <v>854</v>
      </c>
      <c r="D21" s="1039" t="s">
        <v>694</v>
      </c>
    </row>
    <row r="22" spans="1:4">
      <c r="A22" s="1037" t="s">
        <v>851</v>
      </c>
      <c r="B22" s="1040">
        <v>43943</v>
      </c>
      <c r="C22" s="1036" t="s">
        <v>855</v>
      </c>
      <c r="D22" s="1039" t="s">
        <v>695</v>
      </c>
    </row>
    <row r="23" spans="1:4">
      <c r="A23" s="1037" t="s">
        <v>851</v>
      </c>
      <c r="B23" s="1040">
        <v>43943</v>
      </c>
      <c r="C23" s="1036" t="s">
        <v>856</v>
      </c>
      <c r="D23" s="1039" t="s">
        <v>857</v>
      </c>
    </row>
    <row r="24" spans="1:4">
      <c r="A24" s="1037" t="s">
        <v>851</v>
      </c>
      <c r="B24" s="1040">
        <v>43951</v>
      </c>
      <c r="C24" t="s">
        <v>681</v>
      </c>
      <c r="D24" s="1039" t="s">
        <v>858</v>
      </c>
    </row>
    <row r="25" spans="1:4">
      <c r="A25" s="1037" t="s">
        <v>851</v>
      </c>
      <c r="B25" s="1040">
        <v>43965</v>
      </c>
      <c r="C25" t="s">
        <v>859</v>
      </c>
      <c r="D25" s="1038" t="s">
        <v>685</v>
      </c>
    </row>
    <row r="26" spans="1:4">
      <c r="A26" s="1037" t="s">
        <v>862</v>
      </c>
      <c r="B26" s="1040">
        <v>44315</v>
      </c>
      <c r="C26" t="s">
        <v>863</v>
      </c>
      <c r="D26" s="878" t="s">
        <v>688</v>
      </c>
    </row>
    <row r="27" spans="1:4">
      <c r="A27" s="1050" t="s">
        <v>862</v>
      </c>
      <c r="B27" s="1051">
        <v>44326</v>
      </c>
      <c r="C27" t="s">
        <v>879</v>
      </c>
      <c r="D27" s="1052" t="s">
        <v>884</v>
      </c>
    </row>
    <row r="28" spans="1:4">
      <c r="A28" s="1050" t="s">
        <v>862</v>
      </c>
      <c r="B28" s="1051">
        <v>44326</v>
      </c>
      <c r="C28" t="s">
        <v>880</v>
      </c>
      <c r="D28" s="1052" t="s">
        <v>885</v>
      </c>
    </row>
    <row r="29" spans="1:4">
      <c r="A29" s="1050" t="s">
        <v>862</v>
      </c>
      <c r="B29" s="1051">
        <v>44326</v>
      </c>
      <c r="C29" t="s">
        <v>881</v>
      </c>
      <c r="D29" s="1052" t="s">
        <v>694</v>
      </c>
    </row>
    <row r="30" spans="1:4">
      <c r="A30" s="1050" t="s">
        <v>862</v>
      </c>
      <c r="B30" s="1051">
        <v>44326</v>
      </c>
      <c r="C30" t="s">
        <v>882</v>
      </c>
      <c r="D30" s="1052" t="s">
        <v>695</v>
      </c>
    </row>
    <row r="31" spans="1:4">
      <c r="A31" s="1050" t="s">
        <v>862</v>
      </c>
      <c r="B31" s="1051">
        <v>44326</v>
      </c>
      <c r="C31" t="s">
        <v>883</v>
      </c>
      <c r="D31" s="1053" t="s">
        <v>693</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2021-11-11T13:04:11Z</dcterms:modified>
</cp:coreProperties>
</file>