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5D59D787-B20A-4C09-AEC3-47A6A76BB8E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D6" i="22" l="1"/>
  <c r="A3" i="23"/>
  <c r="D10" i="22" s="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<sst xmlns="http://schemas.openxmlformats.org/spreadsheetml/2006/main" count="2477" uniqueCount="906">
  <si>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</si>
  <si>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</si>
  <si>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</si>
  <si>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</si>
  <si>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</si>
  <si>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</si>
  <si>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</si>
  <si>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</si>
  <si>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</si>
  <si>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</si>
  <si>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</si>
  <si>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</si>
  <si>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</si>
  <si>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</si>
  <si>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</si>
  <si>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</si>
  <si>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</si>
  <si>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</si>
  <si>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</si>
  <si>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</si>
  <si>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</si>
  <si>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</si>
  <si>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</si>
  <si>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</si>
  <si>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</si>
  <si>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</si>
  <si>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</si>
  <si>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</si>
  <si>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</si>
  <si>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</si>
  <si>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</si>
  <si>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</si>
  <si>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</si>
  <si>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</si>
  <si>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</si>
  <si>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</si>
  <si>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</si>
  <si>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</si>
  <si>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</si>
  <si>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</si>
  <si>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</si>
  <si>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</si>
  <si>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</si>
  <si>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</si>
  <si>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</si>
  <si>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</si>
  <si>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</si>
  <si>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</si>
  <si>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</si>
  <si>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</si>
  <si>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</si>
  <si>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</si>
  <si>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</si>
  <si>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</si>
  <si>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</si>
  <si>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</si>
  <si>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</si>
  <si>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</si>
  <si>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</si>
  <si>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</si>
  <si>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</si>
  <si>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</si>
  <si>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</si>
  <si>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</si>
  <si>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</si>
  <si>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</si>
  <si>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</si>
  <si>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</si>
  <si>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</si>
  <si>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</si>
  <si>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</si>
  <si>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</si>
  <si>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</si>
  <si>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</si>
  <si>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</si>
  <si>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</si>
  <si>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</si>
  <si>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</si>
  <si>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</si>
  <si>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</si>
  <si>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</si>
  <si>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</si>
  <si>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</si>
  <si>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</si>
  <si>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</si>
  <si>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</si>
  <si>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</si>
  <si>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</si>
  <si>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</si>
  <si>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</si>
  <si>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</si>
  <si>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</si>
  <si>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</si>
  <si>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</si>
  <si>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</si>
  <si>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</si>
  <si>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</si>
  <si>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</si>
  <si>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</si>
  <si>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</si>
  <si>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</si>
  <si>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</si>
  <si>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</si>
  <si>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</si>
  <si>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</si>
  <si>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</si>
  <si>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</si>
  <si>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</si>
  <si>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</si>
  <si>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</si>
  <si>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</si>
  <si>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</si>
  <si>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</si>
  <si>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</si>
  <si>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</si>
  <si>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</si>
  <si>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</si>
  <si>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</si>
  <si>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</si>
  <si>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</si>
  <si>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</si>
  <si>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</si>
  <si>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</si>
  <si>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</si>
  <si>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</si>
  <si>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</si>
  <si>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</si>
  <si>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</si>
  <si>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</si>
  <si>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</si>
  <si>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</si>
  <si>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</si>
  <si>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</si>
  <si>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</si>
  <si>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</si>
  <si>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</si>
  <si>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</si>
  <si>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</si>
  <si>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</si>
  <si>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</si>
  <si>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</si>
  <si>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</si>
  <si>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</si>
  <si>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</si>
  <si>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</si>
  <si>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</si>
  <si>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</si>
  <si>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</si>
  <si>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</si>
  <si>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</si>
  <si>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</si>
  <si>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</si>
  <si>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</si>
  <si>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</si>
  <si>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</si>
  <si>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</si>
  <si>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</si>
  <si>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</si>
  <si>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</si>
  <si>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</si>
  <si>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</si>
  <si>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</si>
  <si>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</si>
  <si>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</si>
  <si>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</si>
  <si>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</si>
  <si>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</si>
  <si>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</si>
  <si>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</si>
  <si>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</si>
  <si>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</si>
  <si>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</si>
  <si>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</si>
  <si>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</si>
  <si>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</si>
  <si>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</si>
  <si>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</si>
  <si>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</si>
  <si>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</si>
  <si>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</si>
  <si>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</si>
  <si>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</si>
  <si>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</si>
  <si>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</si>
  <si>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</si>
  <si>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</si>
  <si>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</si>
  <si>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</si>
  <si>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</si>
  <si>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</si>
  <si>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</si>
  <si>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</si>
  <si>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</si>
  <si>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</si>
  <si>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</si>
  <si>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</si>
  <si>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</si>
  <si>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</si>
  <si>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</si>
  <si>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</si>
  <si>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</si>
  <si>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</si>
  <si>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</si>
  <si>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</si>
  <si>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</si>
  <si>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</si>
  <si>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</si>
  <si>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</si>
  <si>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</si>
  <si>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</si>
  <si>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</si>
  <si>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</si>
  <si>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</si>
  <si>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</si>
  <si>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</si>
  <si>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</si>
  <si>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</si>
  <si>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</si>
  <si>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</si>
  <si>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</si>
  <si>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</si>
  <si>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</si>
  <si>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</si>
  <si>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</si>
  <si>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</si>
  <si>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</si>
  <si>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</si>
  <si>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</si>
  <si>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</si>
  <si>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</si>
  <si>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</si>
  <si>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</si>
  <si>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</si>
  <si>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</si>
  <si>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</si>
  <si>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</si>
  <si>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</si>
  <si>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</si>
  <si>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</si>
  <si>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</si>
  <si>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</si>
  <si>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</si>
  <si>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</si>
  <si>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</si>
  <si>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</si>
  <si>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</si>
  <si>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</si>
  <si>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</si>
  <si>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</si>
  <si>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</si>
  <si>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</si>
  <si>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</si>
  <si>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</si>
  <si>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</si>
  <si>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</si>
  <si>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</si>
  <si>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</si>
  <si>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</si>
  <si>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</si>
  <si>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</si>
  <si>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</si>
  <si>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</si>
  <si>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</si>
  <si>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</si>
  <si>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</si>
  <si>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</si>
  <si>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</si>
  <si>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</si>
  <si>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</si>
  <si>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</si>
  <si>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</si>
  <si>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</si>
  <si>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</si>
  <si>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</si>
  <si>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</si>
  <si>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</si>
  <si>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</si>
  <si>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</si>
  <si>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</si>
  <si>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</si>
  <si>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</si>
  <si>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</si>
  <si>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</si>
  <si>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</si>
  <si>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</si>
  <si>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</si>
  <si>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</si>
  <si>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</si>
  <si>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</si>
  <si>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</si>
  <si>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</si>
  <si>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</si>
  <si>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</si>
  <si>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</si>
  <si>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</si>
  <si>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</si>
  <si>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</si>
  <si>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</si>
  <si>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</si>
  <si>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</si>
  <si>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</si>
  <si>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</si>
  <si>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</si>
  <si>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</si>
  <si>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</si>
  <si>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</si>
  <si>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</si>
  <si>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</si>
  <si>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</si>
  <si>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</si>
  <si>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</si>
  <si>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</si>
  <si>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</si>
  <si>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</si>
  <si>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</si>
  <si>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</si>
  <si>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</si>
  <si>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</si>
  <si>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</si>
  <si>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</si>
  <si>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</si>
  <si>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</si>
  <si>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</si>
  <si>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</si>
  <si>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</si>
  <si>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</si>
  <si>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</si>
  <si>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</si>
  <si>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</si>
  <si>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</si>
  <si>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</si>
  <si>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</si>
  <si>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</si>
  <si>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</si>
  <si>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</si>
  <si>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</si>
  <si>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</si>
  <si>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</si>
  <si>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</si>
  <si>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</si>
  <si>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</si>
  <si>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</si>
  <si>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</si>
  <si>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</si>
  <si>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</si>
  <si>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</si>
  <si>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</si>
  <si>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</si>
  <si>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</si>
  <si>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</si>
  <si>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</si>
  <si>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</si>
  <si>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</si>
  <si>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</si>
  <si>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</si>
  <si>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</si>
  <si>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</si>
  <si>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</si>
  <si>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</si>
  <si>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</si>
  <si>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</si>
  <si>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</si>
  <si>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</si>
  <si>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</si>
  <si>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</si>
  <si>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</si>
  <si>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</si>
  <si>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</si>
  <si>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</si>
  <si>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</si>
  <si>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</si>
  <si>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</si>
  <si>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</si>
  <si>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</si>
  <si>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</si>
  <si>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</si>
  <si>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</si>
  <si>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</si>
  <si>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</si>
  <si>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</si>
  <si>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</si>
  <si>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</si>
  <si>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</si>
  <si>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</si>
  <si>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</si>
  <si>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</si>
  <si>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</si>
  <si>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</si>
  <si>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</si>
  <si>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</si>
  <si>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</si>
  <si>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</si>
  <si>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</si>
  <si>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</si>
  <si>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</si>
  <si>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</si>
  <si>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</si>
  <si>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</si>
  <si>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</si>
  <si>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</si>
  <si>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</si>
  <si>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</si>
  <si>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</si>
  <si>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</si>
  <si>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</si>
  <si>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</si>
  <si>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</si>
  <si>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</si>
  <si>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</si>
  <si>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</si>
  <si>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</si>
  <si>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</si>
  <si>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</si>
  <si>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</si>
  <si>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</si>
  <si>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</si>
  <si>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</si>
  <si>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</si>
  <si>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</si>
  <si>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</si>
  <si>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</si>
  <si>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</si>
  <si>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</si>
  <si>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</si>
  <si>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</si>
  <si>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</si>
  <si>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</si>
  <si>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</si>
  <si>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</si>
  <si>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</si>
  <si>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</si>
  <si>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</si>
  <si>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</si>
  <si>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</si>
  <si>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</si>
  <si>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</si>
  <si>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</si>
  <si>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</si>
  <si>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</si>
  <si>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</si>
  <si>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</si>
  <si>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</si>
  <si>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</si>
  <si>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</si>
  <si>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</si>
  <si>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</si>
  <si>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</si>
  <si>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</si>
  <si>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</si>
  <si>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</si>
  <si>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</si>
  <si>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</si>
  <si>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</si>
  <si>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</si>
  <si>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</si>
  <si>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</si>
  <si>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</si>
  <si>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</si>
  <si>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</si>
  <si>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</si>
  <si>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</si>
  <si>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</si>
  <si>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</si>
  <si>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</si>
  <si>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</si>
  <si>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</si>
  <si>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</si>
  <si>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</si>
  <si>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</si>
  <si>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</si>
  <si>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</si>
  <si>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</si>
  <si>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</si>
  <si>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</si>
  <si>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</si>
  <si>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</si>
  <si>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</si>
  <si>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</si>
  <si>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</si>
  <si>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</si>
  <si>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</si>
  <si>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</si>
  <si>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</si>
  <si>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</si>
  <si>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</si>
  <si>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</si>
  <si>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</si>
  <si>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</si>
  <si>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</si>
  <si>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</si>
  <si>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</si>
  <si>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</si>
  <si>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</si>
  <si>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</si>
  <si>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</si>
  <si>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</si>
  <si>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</si>
  <si>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</si>
  <si>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</si>
  <si>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</si>
  <si>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</si>
  <si>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</si>
  <si>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</si>
  <si>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</si>
  <si>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</si>
  <si>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</si>
  <si>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</si>
  <si>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</si>
  <si>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</si>
  <si>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</si>
  <si>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</si>
  <si>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</si>
  <si>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</si>
  <si>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</si>
  <si>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</si>
  <si>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</si>
  <si>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</si>
  <si>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</si>
  <si>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</si>
  <si>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</si>
  <si>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</si>
  <si>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</si>
  <si>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</si>
  <si>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</si>
  <si>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</si>
  <si>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</si>
  <si>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</si>
  <si>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</si>
  <si>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</si>
  <si>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</si>
  <si>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</si>
  <si>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</si>
  <si>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</si>
  <si>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</si>
  <si>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</si>
  <si>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</si>
  <si>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</si>
  <si>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</si>
  <si>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</si>
  <si>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</si>
  <si>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</si>
  <si>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</si>
  <si>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</si>
  <si>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</si>
  <si>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</si>
  <si>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</si>
  <si>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</si>
  <si>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</si>
  <si>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</si>
  <si>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</si>
  <si>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</si>
  <si>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</si>
  <si>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</si>
  <si>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</si>
  <si>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</si>
  <si>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</si>
  <si>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</si>
  <si>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</si>
  <si>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</si>
  <si>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</si>
  <si>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</si>
  <si>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</si>
  <si>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</si>
  <si>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</si>
  <si>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</si>
  <si>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</si>
  <si>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</si>
  <si>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</si>
  <si>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</si>
  <si>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</si>
  <si>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</si>
  <si>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</si>
  <si>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</si>
  <si>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</si>
  <si>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</si>
  <si>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</si>
  <si>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</si>
  <si>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</si>
  <si>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</si>
  <si>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</si>
  <si>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</si>
  <si>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</si>
  <si>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</si>
  <si>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</si>
  <si>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</si>
  <si>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</si>
  <si>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</si>
  <si>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</si>
  <si>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</si>
  <si>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</si>
  <si>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</si>
  <si>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</si>
  <si>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</si>
  <si>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</si>
  <si>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</si>
  <si>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</si>
  <si>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</si>
  <si>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</si>
  <si>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</si>
  <si>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</si>
  <si>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</si>
  <si>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</si>
  <si>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</si>
  <si>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</si>
  <si>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</si>
  <si>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</si>
  <si>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</si>
  <si>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</si>
  <si>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</si>
  <si>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</si>
  <si>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</si>
  <si>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</si>
  <si>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</si>
  <si>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</si>
  <si>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</si>
  <si>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</si>
  <si>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</si>
  <si>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</si>
  <si>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</si>
  <si>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</si>
  <si>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</si>
  <si>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</si>
  <si>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</si>
  <si>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</si>
  <si>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</si>
  <si>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</si>
  <si>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</si>
  <si>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</si>
  <si>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</si>
  <si>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</si>
  <si>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</si>
  <si>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</si>
  <si>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</si>
  <si>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</si>
  <si>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</si>
  <si>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</si>
  <si>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</si>
  <si>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</si>
  <si>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</si>
  <si>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</si>
  <si>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</si>
  <si>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</si>
  <si>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</si>
  <si>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</si>
  <si>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</si>
  <si>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</si>
  <si>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</si>
  <si>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</si>
  <si>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</si>
  <si>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</si>
  <si>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</si>
  <si>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</si>
  <si>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</si>
  <si>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</si>
  <si>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</si>
  <si>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</si>
  <si>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</si>
  <si>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</si>
  <si>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</si>
  <si>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</si>
  <si>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</si>
  <si>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</si>
  <si>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</si>
  <si>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</si>
  <si>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</si>
  <si>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</si>
  <si>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</si>
  <si>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</si>
  <si>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</si>
  <si>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</si>
  <si>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</si>
  <si>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</si>
  <si>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</si>
  <si>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</si>
  <si>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</si>
  <si>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</si>
  <si>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</si>
  <si>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</si>
  <si>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</si>
  <si>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</si>
  <si>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</si>
  <si>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</si>
  <si>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</si>
  <si>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</si>
  <si>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</si>
  <si>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</si>
  <si>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</si>
  <si>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</si>
  <si>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</si>
  <si>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</si>
  <si>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</si>
  <si>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</si>
  <si>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</si>
  <si>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</si>
  <si>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</si>
  <si>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</si>
  <si>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</si>
  <si>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</si>
  <si>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</si>
  <si>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</si>
  <si>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</si>
  <si>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</si>
  <si>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</si>
  <si>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</si>
  <si>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</si>
  <si>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</si>
  <si>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</si>
  <si>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</si>
  <si>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</si>
  <si>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</si>
  <si>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</si>
  <si>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</si>
  <si>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</si>
  <si>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</si>
  <si>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</si>
  <si>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</si>
  <si>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</si>
  <si>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</si>
  <si>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</si>
  <si>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</si>
  <si>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</si>
  <si>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</si>
  <si>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</si>
  <si>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</si>
  <si>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</si>
  <si>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</si>
  <si>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</si>
  <si>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</si>
  <si>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</si>
  <si>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</si>
  <si>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</si>
  <si>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</si>
  <si>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</si>
  <si>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</si>
  <si>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</si>
  <si>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</si>
  <si>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</si>
  <si>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</si>
  <si>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</si>
  <si>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</si>
  <si>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</si>
  <si>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</si>
  <si>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</si>
  <si>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</si>
  <si>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</si>
  <si>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</si>
  <si>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</si>
  <si>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</si>
  <si>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</si>
  <si>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</si>
  <si>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</si>
  <si>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</si>
  <si>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</si>
  <si>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</si>
  <si>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</si>
  <si>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</si>
  <si>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</si>
  <si>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</si>
  <si>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</si>
  <si>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</si>
  <si>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</si>
  <si>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</si>
  <si>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</si>
  <si>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</si>
  <si>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</si>
  <si>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</si>
  <si>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</si>
  <si>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</si>
  <si>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</si>
  <si>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</si>
  <si>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</si>
  <si>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</si>
  <si>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</si>
  <si>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</si>
  <si>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</si>
  <si>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</si>
  <si>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</si>
  <si>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</si>
  <si>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</si>
  <si>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</si>
  <si>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</si>
  <si>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</si>
  <si>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</si>
  <si>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</si>
  <si>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</si>
  <si>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</si>
  <si>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</si>
  <si>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</si>
  <si>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</si>
  <si>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</si>
  <si>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</si>
  <si>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</si>
  <si>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</si>
  <si>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</si>
  <si>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</si>
  <si>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</si>
  <si>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</si>
  <si>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</si>
  <si>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</si>
  <si>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</si>
  <si>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</si>
  <si>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</si>
  <si>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</si>
  <si>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</si>
  <si>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</si>
  <si>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</si>
  <si>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</si>
  <si>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</si>
  <si>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</si>
  <si>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</si>
  <si>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</si>
  <si>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</si>
  <si>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</si>
  <si>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</si>
  <si>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</si>
  <si>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</si>
  <si>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</si>
  <si>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</si>
  <si>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</si>
  <si>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</si>
  <si>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</si>
  <si>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</si>
  <si>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</si>
  <si>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</si>
  <si>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</si>
  <si>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</si>
  <si>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</si>
  <si>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</si>
  <si>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</si>
  <si>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</si>
  <si>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</si>
  <si>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</si>
  <si>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</si>
  <si>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</si>
  <si>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</si>
  <si>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</si>
  <si>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</si>
  <si>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</si>
  <si>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</si>
  <si>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</si>
  <si>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</si>
  <si>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</si>
  <si>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</si>
  <si>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</si>
  <si>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</si>
  <si>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</si>
  <si>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</si>
  <si>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</si>
  <si>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</si>
  <si>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</si>
  <si>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</si>
  <si>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</si>
  <si>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</si>
  <si>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</si>
  <si>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</si>
  <si>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</si>
  <si>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</si>
  <si>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</si>
  <si>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</si>
  <si>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</si>
  <si>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</si>
  <si>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</si>
  <si>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</si>
  <si>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</si>
  <si>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</si>
  <si>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</si>
  <si>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</si>
  <si>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</si>
  <si>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</si>
  <si>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</si>
  <si>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</si>
  <si>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</si>
  <si>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</si>
  <si>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</si>
  <si>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</si>
  <si>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</si>
  <si>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</si>
  <si>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</si>
  <si>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</si>
  <si>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</si>
  <si>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</si>
  <si>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</si>
  <si>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</si>
  <si>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</si>
  <si>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</si>
  <si>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</si>
  <si>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</si>
  <si>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</si>
  <si>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</si>
  <si>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</si>
  <si>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</si>
  <si>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</si>
  <si>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</si>
  <si>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</si>
  <si>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</si>
  <si>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</si>
  <si>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</si>
  <si>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</si>
  <si>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</si>
  <si>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</si>
  <si>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37018</t>
  </si>
  <si>
    <t>WINGENE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</si>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</sst>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D02F2B3A-36C8-466A-89E3-D7497E81C00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117598.76034096599</c:v>
                </c:pt>
                <c:pt idx="1">
                  <c:v>34351.335023574262</c:v>
                </c:pt>
                <c:pt idx="2">
                  <c:v>1024.7270000000001</c:v>
                </c:pt>
                <c:pt idx="3">
                  <c:v>53391.423896447639</c:v>
                </c:pt>
                <c:pt idx="4">
                  <c:v>92325.120890501188</c:v>
                </c:pt>
                <c:pt idx="5">
                  <c:v>61019.752839627901</c:v>
                </c:pt>
                <c:pt idx="6">
                  <c:v>673.08993817582927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117598.76034096599</c:v>
                </c:pt>
                <c:pt idx="1">
                  <c:v>34351.335023574262</c:v>
                </c:pt>
                <c:pt idx="2">
                  <c:v>1024.7270000000001</c:v>
                </c:pt>
                <c:pt idx="3">
                  <c:v>53391.423896447639</c:v>
                </c:pt>
                <c:pt idx="4">
                  <c:v>92325.120890501188</c:v>
                </c:pt>
                <c:pt idx="5">
                  <c:v>61019.752839627901</c:v>
                </c:pt>
                <c:pt idx="6">
                  <c:v>673.08993817582927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24743.529245615984</c:v>
                </c:pt>
                <c:pt idx="2">
                  <c:v>6691.4749496392051</c:v>
                </c:pt>
                <c:pt idx="3">
                  <c:v>204.12176291143257</c:v>
                </c:pt>
                <c:pt idx="4">
                  <c:v>13436.056035114067</c:v>
                </c:pt>
                <c:pt idx="5">
                  <c:v>18288.006675175679</c:v>
                </c:pt>
                <c:pt idx="6">
                  <c:v>15629.832858495743</c:v>
                </c:pt>
                <c:pt idx="7">
                  <c:v>174.05738781695393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24743.529245615984</c:v>
                </c:pt>
                <c:pt idx="2">
                  <c:v>6691.4749496392051</c:v>
                </c:pt>
                <c:pt idx="3">
                  <c:v>204.12176291143257</c:v>
                </c:pt>
                <c:pt idx="4">
                  <c:v>13436.056035114067</c:v>
                </c:pt>
                <c:pt idx="5">
                  <c:v>18288.006675175679</c:v>
                </c:pt>
                <c:pt idx="6">
                  <c:v>15629.832858495743</c:v>
                </c:pt>
                <c:pt idx="7">
                  <c:v>174.05738781695393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37018</v>
      </c>
      <c r="B6" s="382"/>
      <c r="C6" s="383"/>
    </row>
    <row r="7" spans="1:7" s="380" customFormat="1" ht="15.75" customHeight="1">
      <c r="A7" s="384" t="str">
        <f>txtMunicipality</f>
        <v>WINGENE</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15258.943151700001</v>
      </c>
      <c r="D10" s="970">
        <f ca="1">tertiair!C16</f>
        <v>0</v>
      </c>
      <c r="E10" s="970">
        <f ca="1">tertiair!D16</f>
        <v>14235.485699653022</v>
      </c>
      <c r="F10" s="970">
        <f>tertiair!E16</f>
        <v>279.73673004048152</v>
      </c>
      <c r="G10" s="970">
        <f ca="1">tertiair!F16</f>
        <v>3434.4730290639145</v>
      </c>
      <c r="H10" s="970">
        <f>tertiair!G16</f>
        <v>0</v>
      </c>
      <c r="I10" s="970">
        <f>tertiair!H16</f>
        <v>0</v>
      </c>
      <c r="J10" s="970">
        <f>tertiair!I16</f>
        <v>0</v>
      </c>
      <c r="K10" s="970">
        <f>tertiair!J16</f>
        <v>0</v>
      </c>
      <c r="L10" s="970">
        <f>tertiair!K16</f>
        <v>0</v>
      </c>
      <c r="M10" s="970">
        <f ca="1">tertiair!L16</f>
        <v>0</v>
      </c>
      <c r="N10" s="970">
        <f>tertiair!M16</f>
        <v>0</v>
      </c>
      <c r="O10" s="970">
        <f ca="1">tertiair!N16</f>
        <v>2161.1700797835178</v>
      </c>
      <c r="P10" s="970">
        <f>tertiair!O16</f>
        <v>6.2533333333333339</v>
      </c>
      <c r="Q10" s="971">
        <f>tertiair!P16</f>
        <v>0</v>
      </c>
      <c r="R10" s="666">
        <f ca="1">SUM(C10:Q10)</f>
        <v>35376.062023574268</v>
      </c>
      <c r="S10" s="67"/>
    </row>
    <row r="11" spans="1:19" s="439" customFormat="1">
      <c r="A11" s="775" t="s">
        <v>214</v>
      </c>
      <c r="B11" s="780"/>
      <c r="C11" s="970">
        <f>huishoudens!B8</f>
        <v>25443.335254431557</v>
      </c>
      <c r="D11" s="970">
        <f>huishoudens!C8</f>
        <v>0</v>
      </c>
      <c r="E11" s="970">
        <f>huishoudens!D8</f>
        <v>40778.483827994285</v>
      </c>
      <c r="F11" s="970">
        <f>huishoudens!E8</f>
        <v>1492.4991150350791</v>
      </c>
      <c r="G11" s="970">
        <f>huishoudens!F8</f>
        <v>40578.09672737863</v>
      </c>
      <c r="H11" s="970">
        <f>huishoudens!G8</f>
        <v>0</v>
      </c>
      <c r="I11" s="970">
        <f>huishoudens!H8</f>
        <v>0</v>
      </c>
      <c r="J11" s="970">
        <f>huishoudens!I8</f>
        <v>0</v>
      </c>
      <c r="K11" s="970">
        <f>huishoudens!J8</f>
        <v>748.33258119473408</v>
      </c>
      <c r="L11" s="970">
        <f>huishoudens!K8</f>
        <v>0</v>
      </c>
      <c r="M11" s="970">
        <f>huishoudens!L8</f>
        <v>0</v>
      </c>
      <c r="N11" s="970">
        <f>huishoudens!M8</f>
        <v>0</v>
      </c>
      <c r="O11" s="970">
        <f>huishoudens!N8</f>
        <v>7673.9895015983693</v>
      </c>
      <c r="P11" s="970">
        <f>huishoudens!O8</f>
        <v>254.82333333333335</v>
      </c>
      <c r="Q11" s="971">
        <f>huishoudens!P8</f>
        <v>629.20000000000005</v>
      </c>
      <c r="R11" s="666">
        <f>SUM(C11:Q11)</f>
        <v>117598.76034096599</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29700.605316692003</v>
      </c>
      <c r="D13" s="970">
        <f>industrie!C18</f>
        <v>0</v>
      </c>
      <c r="E13" s="970">
        <f>industrie!D18</f>
        <v>44996.750253041624</v>
      </c>
      <c r="F13" s="970">
        <f>industrie!E18</f>
        <v>1789.6045363657281</v>
      </c>
      <c r="G13" s="970">
        <f>industrie!F18</f>
        <v>10640.825288261214</v>
      </c>
      <c r="H13" s="970">
        <f>industrie!G18</f>
        <v>0</v>
      </c>
      <c r="I13" s="970">
        <f>industrie!H18</f>
        <v>0</v>
      </c>
      <c r="J13" s="970">
        <f>industrie!I18</f>
        <v>0</v>
      </c>
      <c r="K13" s="970">
        <f>industrie!J18</f>
        <v>99.07827804345628</v>
      </c>
      <c r="L13" s="970">
        <f>industrie!K18</f>
        <v>0</v>
      </c>
      <c r="M13" s="970">
        <f>industrie!L18</f>
        <v>0</v>
      </c>
      <c r="N13" s="970">
        <f>industrie!M18</f>
        <v>0</v>
      </c>
      <c r="O13" s="970">
        <f>industrie!N18</f>
        <v>5098.2572180971547</v>
      </c>
      <c r="P13" s="970">
        <f>industrie!O18</f>
        <v>0</v>
      </c>
      <c r="Q13" s="971">
        <f>industrie!P18</f>
        <v>0</v>
      </c>
      <c r="R13" s="666">
        <f>SUM(C13:Q13)</f>
        <v>92325.120890501188</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70402.883722823564</v>
      </c>
      <c r="D16" s="698">
        <f t="shared" ref="D16:R16" ca="1" si="0">SUM(D9:D15)</f>
        <v>0</v>
      </c>
      <c r="E16" s="698">
        <f t="shared" ca="1" si="0"/>
        <v>100010.71978068893</v>
      </c>
      <c r="F16" s="698">
        <f t="shared" si="0"/>
        <v>3561.8403814412886</v>
      </c>
      <c r="G16" s="698">
        <f t="shared" ca="1" si="0"/>
        <v>54653.395044703757</v>
      </c>
      <c r="H16" s="698">
        <f t="shared" si="0"/>
        <v>0</v>
      </c>
      <c r="I16" s="698">
        <f t="shared" si="0"/>
        <v>0</v>
      </c>
      <c r="J16" s="698">
        <f t="shared" si="0"/>
        <v>0</v>
      </c>
      <c r="K16" s="698">
        <f t="shared" si="0"/>
        <v>847.41085923819037</v>
      </c>
      <c r="L16" s="698">
        <f t="shared" si="0"/>
        <v>0</v>
      </c>
      <c r="M16" s="698">
        <f t="shared" ca="1" si="0"/>
        <v>0</v>
      </c>
      <c r="N16" s="698">
        <f t="shared" si="0"/>
        <v>0</v>
      </c>
      <c r="O16" s="698">
        <f t="shared" ca="1" si="0"/>
        <v>14933.416799479042</v>
      </c>
      <c r="P16" s="698">
        <f t="shared" si="0"/>
        <v>261.07666666666671</v>
      </c>
      <c r="Q16" s="698">
        <f t="shared" si="0"/>
        <v>629.20000000000005</v>
      </c>
      <c r="R16" s="698">
        <f t="shared" ca="1" si="0"/>
        <v>245299.94325504143</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3.6409215394257743</v>
      </c>
      <c r="D19" s="970">
        <f>transport!C54</f>
        <v>0</v>
      </c>
      <c r="E19" s="970">
        <f>transport!D54</f>
        <v>0</v>
      </c>
      <c r="F19" s="970">
        <f>transport!E54</f>
        <v>0</v>
      </c>
      <c r="G19" s="970">
        <f>transport!F54</f>
        <v>0</v>
      </c>
      <c r="H19" s="970">
        <f>transport!G54</f>
        <v>649.18400728502399</v>
      </c>
      <c r="I19" s="970">
        <f>transport!H54</f>
        <v>0</v>
      </c>
      <c r="J19" s="970">
        <f>transport!I54</f>
        <v>0</v>
      </c>
      <c r="K19" s="970">
        <f>transport!J54</f>
        <v>0</v>
      </c>
      <c r="L19" s="970">
        <f>transport!K54</f>
        <v>0</v>
      </c>
      <c r="M19" s="970">
        <f>transport!L54</f>
        <v>0</v>
      </c>
      <c r="N19" s="970">
        <f>transport!M54</f>
        <v>20.265009351379476</v>
      </c>
      <c r="O19" s="970">
        <f>transport!N54</f>
        <v>0</v>
      </c>
      <c r="P19" s="970">
        <f>transport!O54</f>
        <v>0</v>
      </c>
      <c r="Q19" s="971">
        <f>transport!P54</f>
        <v>0</v>
      </c>
      <c r="R19" s="666">
        <f>SUM(C19:Q19)</f>
        <v>673.08993817582927</v>
      </c>
      <c r="S19" s="67"/>
    </row>
    <row r="20" spans="1:19" s="439" customFormat="1">
      <c r="A20" s="775" t="s">
        <v>296</v>
      </c>
      <c r="B20" s="780"/>
      <c r="C20" s="970">
        <f>transport!B14</f>
        <v>16.333156333561977</v>
      </c>
      <c r="D20" s="970">
        <f>transport!C14</f>
        <v>0</v>
      </c>
      <c r="E20" s="970">
        <f>transport!D14</f>
        <v>27.822097482718902</v>
      </c>
      <c r="F20" s="970">
        <f>transport!E14</f>
        <v>129.84571770644919</v>
      </c>
      <c r="G20" s="970">
        <f>transport!F14</f>
        <v>0</v>
      </c>
      <c r="H20" s="970">
        <f>transport!G14</f>
        <v>49985.979440077412</v>
      </c>
      <c r="I20" s="970">
        <f>transport!H14</f>
        <v>9016.9791288968318</v>
      </c>
      <c r="J20" s="970">
        <f>transport!I14</f>
        <v>0</v>
      </c>
      <c r="K20" s="970">
        <f>transport!J14</f>
        <v>0</v>
      </c>
      <c r="L20" s="970">
        <f>transport!K14</f>
        <v>0</v>
      </c>
      <c r="M20" s="970">
        <f>transport!L14</f>
        <v>0</v>
      </c>
      <c r="N20" s="970">
        <f>transport!M14</f>
        <v>1842.7932991309253</v>
      </c>
      <c r="O20" s="970">
        <f>transport!N14</f>
        <v>0</v>
      </c>
      <c r="P20" s="970">
        <f>transport!O14</f>
        <v>0</v>
      </c>
      <c r="Q20" s="971">
        <f>transport!P14</f>
        <v>0</v>
      </c>
      <c r="R20" s="666">
        <f>SUM(C20:Q20)</f>
        <v>61019.752839627901</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19.974077872987753</v>
      </c>
      <c r="D22" s="778">
        <f t="shared" ref="D22:R22" si="1">SUM(D18:D21)</f>
        <v>0</v>
      </c>
      <c r="E22" s="778">
        <f t="shared" si="1"/>
        <v>27.822097482718902</v>
      </c>
      <c r="F22" s="778">
        <f t="shared" si="1"/>
        <v>129.84571770644919</v>
      </c>
      <c r="G22" s="778">
        <f t="shared" si="1"/>
        <v>0</v>
      </c>
      <c r="H22" s="778">
        <f t="shared" si="1"/>
        <v>50635.163447362436</v>
      </c>
      <c r="I22" s="778">
        <f t="shared" si="1"/>
        <v>9016.9791288968318</v>
      </c>
      <c r="J22" s="778">
        <f t="shared" si="1"/>
        <v>0</v>
      </c>
      <c r="K22" s="778">
        <f t="shared" si="1"/>
        <v>0</v>
      </c>
      <c r="L22" s="778">
        <f t="shared" si="1"/>
        <v>0</v>
      </c>
      <c r="M22" s="778">
        <f t="shared" si="1"/>
        <v>0</v>
      </c>
      <c r="N22" s="778">
        <f t="shared" si="1"/>
        <v>1863.0583084823047</v>
      </c>
      <c r="O22" s="778">
        <f t="shared" si="1"/>
        <v>0</v>
      </c>
      <c r="P22" s="778">
        <f t="shared" si="1"/>
        <v>0</v>
      </c>
      <c r="Q22" s="778">
        <f t="shared" si="1"/>
        <v>0</v>
      </c>
      <c r="R22" s="778">
        <f t="shared" si="1"/>
        <v>61692.842777803729</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10302.675435429999</v>
      </c>
      <c r="D24" s="970">
        <f>+landbouw!C8</f>
        <v>0</v>
      </c>
      <c r="E24" s="970">
        <f>+landbouw!D8</f>
        <v>3681.6349918018</v>
      </c>
      <c r="F24" s="970">
        <f>+landbouw!E8</f>
        <v>265.66644177952151</v>
      </c>
      <c r="G24" s="970">
        <f>+landbouw!F8</f>
        <v>37658.240765722585</v>
      </c>
      <c r="H24" s="970">
        <f>+landbouw!G8</f>
        <v>0</v>
      </c>
      <c r="I24" s="970">
        <f>+landbouw!H8</f>
        <v>0</v>
      </c>
      <c r="J24" s="970">
        <f>+landbouw!I8</f>
        <v>0</v>
      </c>
      <c r="K24" s="970">
        <f>+landbouw!J8</f>
        <v>1483.2062617137312</v>
      </c>
      <c r="L24" s="970">
        <f>+landbouw!K8</f>
        <v>0</v>
      </c>
      <c r="M24" s="970">
        <f>+landbouw!L8</f>
        <v>0</v>
      </c>
      <c r="N24" s="970">
        <f>+landbouw!M8</f>
        <v>0</v>
      </c>
      <c r="O24" s="970">
        <f>+landbouw!N8</f>
        <v>0</v>
      </c>
      <c r="P24" s="970">
        <f>+landbouw!O8</f>
        <v>0</v>
      </c>
      <c r="Q24" s="971">
        <f>+landbouw!P8</f>
        <v>0</v>
      </c>
      <c r="R24" s="666">
        <f>SUM(C24:Q24)</f>
        <v>53391.423896447639</v>
      </c>
      <c r="S24" s="67"/>
    </row>
    <row r="25" spans="1:19" s="439" customFormat="1" ht="15" thickBot="1">
      <c r="A25" s="797" t="s">
        <v>815</v>
      </c>
      <c r="B25" s="973"/>
      <c r="C25" s="974">
        <f>IF(Onbekend_ele_kWh="---",0,Onbekend_ele_kWh)/1000+IF(REST_rest_ele_kWh="---",0,REST_rest_ele_kWh)/1000</f>
        <v>661.6105362400001</v>
      </c>
      <c r="D25" s="974"/>
      <c r="E25" s="974">
        <f>IF(onbekend_gas_kWh="---",0,onbekend_gas_kWh)/1000+IF(REST_rest_gas_kWh="---",0,REST_rest_gas_kWh)/1000</f>
        <v>1270.9553995000001</v>
      </c>
      <c r="F25" s="974"/>
      <c r="G25" s="974"/>
      <c r="H25" s="974"/>
      <c r="I25" s="974"/>
      <c r="J25" s="974"/>
      <c r="K25" s="974"/>
      <c r="L25" s="974"/>
      <c r="M25" s="974"/>
      <c r="N25" s="974"/>
      <c r="O25" s="974"/>
      <c r="P25" s="974"/>
      <c r="Q25" s="975"/>
      <c r="R25" s="666">
        <f>SUM(C25:Q25)</f>
        <v>1932.5659357400002</v>
      </c>
      <c r="S25" s="67"/>
    </row>
    <row r="26" spans="1:19" s="439" customFormat="1" ht="15.75" thickBot="1">
      <c r="A26" s="671" t="s">
        <v>816</v>
      </c>
      <c r="B26" s="783"/>
      <c r="C26" s="778">
        <f>SUM(C24:C25)</f>
        <v>10964.285971669999</v>
      </c>
      <c r="D26" s="778">
        <f t="shared" ref="D26:R26" si="2">SUM(D24:D25)</f>
        <v>0</v>
      </c>
      <c r="E26" s="778">
        <f t="shared" si="2"/>
        <v>4952.5903913018001</v>
      </c>
      <c r="F26" s="778">
        <f t="shared" si="2"/>
        <v>265.66644177952151</v>
      </c>
      <c r="G26" s="778">
        <f t="shared" si="2"/>
        <v>37658.240765722585</v>
      </c>
      <c r="H26" s="778">
        <f t="shared" si="2"/>
        <v>0</v>
      </c>
      <c r="I26" s="778">
        <f t="shared" si="2"/>
        <v>0</v>
      </c>
      <c r="J26" s="778">
        <f t="shared" si="2"/>
        <v>0</v>
      </c>
      <c r="K26" s="778">
        <f t="shared" si="2"/>
        <v>1483.2062617137312</v>
      </c>
      <c r="L26" s="778">
        <f t="shared" si="2"/>
        <v>0</v>
      </c>
      <c r="M26" s="778">
        <f t="shared" si="2"/>
        <v>0</v>
      </c>
      <c r="N26" s="778">
        <f t="shared" si="2"/>
        <v>0</v>
      </c>
      <c r="O26" s="778">
        <f t="shared" si="2"/>
        <v>0</v>
      </c>
      <c r="P26" s="778">
        <f t="shared" si="2"/>
        <v>0</v>
      </c>
      <c r="Q26" s="778">
        <f t="shared" si="2"/>
        <v>0</v>
      </c>
      <c r="R26" s="778">
        <f t="shared" si="2"/>
        <v>55323.989832187639</v>
      </c>
      <c r="S26" s="67"/>
    </row>
    <row r="27" spans="1:19" s="439" customFormat="1" ht="17.25" thickTop="1" thickBot="1">
      <c r="A27" s="672" t="s">
        <v>109</v>
      </c>
      <c r="B27" s="771"/>
      <c r="C27" s="673">
        <f ca="1">C22+C16+C26</f>
        <v>81387.143772366559</v>
      </c>
      <c r="D27" s="673">
        <f t="shared" ref="D27:R27" ca="1" si="3">D22+D16+D26</f>
        <v>0</v>
      </c>
      <c r="E27" s="673">
        <f t="shared" ca="1" si="3"/>
        <v>104991.13226947344</v>
      </c>
      <c r="F27" s="673">
        <f t="shared" si="3"/>
        <v>3957.3525409272593</v>
      </c>
      <c r="G27" s="673">
        <f t="shared" ca="1" si="3"/>
        <v>92311.635810426349</v>
      </c>
      <c r="H27" s="673">
        <f t="shared" si="3"/>
        <v>50635.163447362436</v>
      </c>
      <c r="I27" s="673">
        <f t="shared" si="3"/>
        <v>9016.9791288968318</v>
      </c>
      <c r="J27" s="673">
        <f t="shared" si="3"/>
        <v>0</v>
      </c>
      <c r="K27" s="673">
        <f t="shared" si="3"/>
        <v>2330.6171209519216</v>
      </c>
      <c r="L27" s="673">
        <f t="shared" si="3"/>
        <v>0</v>
      </c>
      <c r="M27" s="673">
        <f t="shared" ca="1" si="3"/>
        <v>0</v>
      </c>
      <c r="N27" s="673">
        <f t="shared" si="3"/>
        <v>1863.0583084823047</v>
      </c>
      <c r="O27" s="673">
        <f t="shared" ca="1" si="3"/>
        <v>14933.416799479042</v>
      </c>
      <c r="P27" s="673">
        <f t="shared" si="3"/>
        <v>261.07666666666671</v>
      </c>
      <c r="Q27" s="673">
        <f t="shared" si="3"/>
        <v>629.20000000000005</v>
      </c>
      <c r="R27" s="673">
        <f t="shared" ca="1" si="3"/>
        <v>362316.7758650328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3039.5240647414726</v>
      </c>
      <c r="D40" s="970">
        <f ca="1">tertiair!C20</f>
        <v>0</v>
      </c>
      <c r="E40" s="970">
        <f ca="1">tertiair!D20</f>
        <v>2875.5681113299106</v>
      </c>
      <c r="F40" s="970">
        <f>tertiair!E20</f>
        <v>63.500237719189307</v>
      </c>
      <c r="G40" s="970">
        <f ca="1">tertiair!F20</f>
        <v>917.00429876006524</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6895.5967125506377</v>
      </c>
    </row>
    <row r="41" spans="1:18">
      <c r="A41" s="788" t="s">
        <v>214</v>
      </c>
      <c r="B41" s="795"/>
      <c r="C41" s="970">
        <f ca="1">huishoudens!B12</f>
        <v>5068.2166532951424</v>
      </c>
      <c r="D41" s="970">
        <f ca="1">huishoudens!C12</f>
        <v>0</v>
      </c>
      <c r="E41" s="970">
        <f>huishoudens!D12</f>
        <v>8237.2537332548454</v>
      </c>
      <c r="F41" s="970">
        <f>huishoudens!E12</f>
        <v>338.79729911296295</v>
      </c>
      <c r="G41" s="970">
        <f>huishoudens!F12</f>
        <v>10834.351826210095</v>
      </c>
      <c r="H41" s="970">
        <f>huishoudens!G12</f>
        <v>0</v>
      </c>
      <c r="I41" s="970">
        <f>huishoudens!H12</f>
        <v>0</v>
      </c>
      <c r="J41" s="970">
        <f>huishoudens!I12</f>
        <v>0</v>
      </c>
      <c r="K41" s="970">
        <f>huishoudens!J12</f>
        <v>264.90973374293583</v>
      </c>
      <c r="L41" s="970">
        <f>huishoudens!K12</f>
        <v>0</v>
      </c>
      <c r="M41" s="970">
        <f>huishoudens!L12</f>
        <v>0</v>
      </c>
      <c r="N41" s="970">
        <f>huishoudens!M12</f>
        <v>0</v>
      </c>
      <c r="O41" s="970">
        <f>huishoudens!N12</f>
        <v>0</v>
      </c>
      <c r="P41" s="970">
        <f>huishoudens!O12</f>
        <v>0</v>
      </c>
      <c r="Q41" s="740">
        <f>huishoudens!P12</f>
        <v>0</v>
      </c>
      <c r="R41" s="816">
        <f t="shared" ca="1" si="4"/>
        <v>24743.529245615984</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5916.2488319131226</v>
      </c>
      <c r="D43" s="970">
        <f ca="1">industrie!C22</f>
        <v>0</v>
      </c>
      <c r="E43" s="970">
        <f>industrie!D22</f>
        <v>9089.3435511144089</v>
      </c>
      <c r="F43" s="970">
        <f>industrie!E22</f>
        <v>406.24022975502027</v>
      </c>
      <c r="G43" s="970">
        <f>industrie!F22</f>
        <v>2841.1003519657443</v>
      </c>
      <c r="H43" s="970">
        <f>industrie!G22</f>
        <v>0</v>
      </c>
      <c r="I43" s="970">
        <f>industrie!H22</f>
        <v>0</v>
      </c>
      <c r="J43" s="970">
        <f>industrie!I22</f>
        <v>0</v>
      </c>
      <c r="K43" s="970">
        <f>industrie!J22</f>
        <v>35.073710427383524</v>
      </c>
      <c r="L43" s="970">
        <f>industrie!K22</f>
        <v>0</v>
      </c>
      <c r="M43" s="970">
        <f>industrie!L22</f>
        <v>0</v>
      </c>
      <c r="N43" s="970">
        <f>industrie!M22</f>
        <v>0</v>
      </c>
      <c r="O43" s="970">
        <f>industrie!N22</f>
        <v>0</v>
      </c>
      <c r="P43" s="970">
        <f>industrie!O22</f>
        <v>0</v>
      </c>
      <c r="Q43" s="740">
        <f>industrie!P22</f>
        <v>0</v>
      </c>
      <c r="R43" s="815">
        <f t="shared" ca="1" si="4"/>
        <v>18288.006675175679</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14023.989549949738</v>
      </c>
      <c r="D46" s="698">
        <f t="shared" ref="D46:Q46" ca="1" si="5">SUM(D39:D45)</f>
        <v>0</v>
      </c>
      <c r="E46" s="698">
        <f t="shared" ca="1" si="5"/>
        <v>20202.165395699165</v>
      </c>
      <c r="F46" s="698">
        <f t="shared" si="5"/>
        <v>808.53776658717254</v>
      </c>
      <c r="G46" s="698">
        <f t="shared" ca="1" si="5"/>
        <v>14592.456476935904</v>
      </c>
      <c r="H46" s="698">
        <f t="shared" si="5"/>
        <v>0</v>
      </c>
      <c r="I46" s="698">
        <f t="shared" si="5"/>
        <v>0</v>
      </c>
      <c r="J46" s="698">
        <f t="shared" si="5"/>
        <v>0</v>
      </c>
      <c r="K46" s="698">
        <f t="shared" si="5"/>
        <v>299.98344417031933</v>
      </c>
      <c r="L46" s="698">
        <f t="shared" si="5"/>
        <v>0</v>
      </c>
      <c r="M46" s="698">
        <f t="shared" ca="1" si="5"/>
        <v>0</v>
      </c>
      <c r="N46" s="698">
        <f t="shared" si="5"/>
        <v>0</v>
      </c>
      <c r="O46" s="698">
        <f t="shared" ca="1" si="5"/>
        <v>0</v>
      </c>
      <c r="P46" s="698">
        <f t="shared" si="5"/>
        <v>0</v>
      </c>
      <c r="Q46" s="698">
        <f t="shared" si="5"/>
        <v>0</v>
      </c>
      <c r="R46" s="698">
        <f ca="1">SUM(R39:R45)</f>
        <v>49927.132633342306</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0.72525787185249924</v>
      </c>
      <c r="D49" s="970">
        <f ca="1">transport!C58</f>
        <v>0</v>
      </c>
      <c r="E49" s="970">
        <f>transport!D58</f>
        <v>0</v>
      </c>
      <c r="F49" s="970">
        <f>transport!E58</f>
        <v>0</v>
      </c>
      <c r="G49" s="970">
        <f>transport!F58</f>
        <v>0</v>
      </c>
      <c r="H49" s="970">
        <f>transport!G58</f>
        <v>173.33212994510143</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174.05738781695393</v>
      </c>
    </row>
    <row r="50" spans="1:18">
      <c r="A50" s="791" t="s">
        <v>296</v>
      </c>
      <c r="B50" s="801"/>
      <c r="C50" s="669">
        <f ca="1">transport!B18</f>
        <v>3.2535032888903102</v>
      </c>
      <c r="D50" s="669">
        <f>transport!C18</f>
        <v>0</v>
      </c>
      <c r="E50" s="669">
        <f>transport!D18</f>
        <v>5.6200636915092188</v>
      </c>
      <c r="F50" s="669">
        <f>transport!E18</f>
        <v>29.474977919363969</v>
      </c>
      <c r="G50" s="669">
        <f>transport!F18</f>
        <v>0</v>
      </c>
      <c r="H50" s="669">
        <f>transport!G18</f>
        <v>13346.256510500669</v>
      </c>
      <c r="I50" s="669">
        <f>transport!H18</f>
        <v>2245.2278030953112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15629.832858495743</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3.9787611607428093</v>
      </c>
      <c r="D52" s="698">
        <f t="shared" ref="D52:Q52" ca="1" si="6">SUM(D48:D51)</f>
        <v>0</v>
      </c>
      <c r="E52" s="698">
        <f t="shared" si="6"/>
        <v>5.6200636915092188</v>
      </c>
      <c r="F52" s="698">
        <f t="shared" si="6"/>
        <v>29.474977919363969</v>
      </c>
      <c r="G52" s="698">
        <f t="shared" si="6"/>
        <v>0</v>
      </c>
      <c r="H52" s="698">
        <f t="shared" si="6"/>
        <v>13519.588640445771</v>
      </c>
      <c r="I52" s="698">
        <f t="shared" si="6"/>
        <v>2245.2278030953112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15803.890246312698</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2052.2541833915593</v>
      </c>
      <c r="D54" s="669">
        <f ca="1">+landbouw!C12</f>
        <v>0</v>
      </c>
      <c r="E54" s="669">
        <f>+landbouw!D12</f>
        <v>743.69026834396368</v>
      </c>
      <c r="F54" s="669">
        <f>+landbouw!E12</f>
        <v>60.306282283951383</v>
      </c>
      <c r="G54" s="669">
        <f>+landbouw!F12</f>
        <v>10054.750284447931</v>
      </c>
      <c r="H54" s="669">
        <f>+landbouw!G12</f>
        <v>0</v>
      </c>
      <c r="I54" s="669">
        <f>+landbouw!H12</f>
        <v>0</v>
      </c>
      <c r="J54" s="669">
        <f>+landbouw!I12</f>
        <v>0</v>
      </c>
      <c r="K54" s="669">
        <f>+landbouw!J12</f>
        <v>525.05501664666087</v>
      </c>
      <c r="L54" s="669">
        <f>+landbouw!K12</f>
        <v>0</v>
      </c>
      <c r="M54" s="669">
        <f>+landbouw!L12</f>
        <v>0</v>
      </c>
      <c r="N54" s="669">
        <f>+landbouw!M12</f>
        <v>0</v>
      </c>
      <c r="O54" s="669">
        <f>+landbouw!N12</f>
        <v>0</v>
      </c>
      <c r="P54" s="669">
        <f>+landbouw!O12</f>
        <v>0</v>
      </c>
      <c r="Q54" s="670">
        <f>+landbouw!P12</f>
        <v>0</v>
      </c>
      <c r="R54" s="697">
        <f ca="1">SUM(C54:Q54)</f>
        <v>13436.056035114067</v>
      </c>
    </row>
    <row r="55" spans="1:18" ht="15" thickBot="1">
      <c r="A55" s="791" t="s">
        <v>815</v>
      </c>
      <c r="B55" s="801"/>
      <c r="C55" s="669">
        <f ca="1">C25*'EF ele_warmte'!B12</f>
        <v>131.79032953956229</v>
      </c>
      <c r="D55" s="669"/>
      <c r="E55" s="669">
        <f>E25*EF_CO2_aardgas</f>
        <v>256.73299069900003</v>
      </c>
      <c r="F55" s="669"/>
      <c r="G55" s="669"/>
      <c r="H55" s="669"/>
      <c r="I55" s="669"/>
      <c r="J55" s="669"/>
      <c r="K55" s="669"/>
      <c r="L55" s="669"/>
      <c r="M55" s="669"/>
      <c r="N55" s="669"/>
      <c r="O55" s="669"/>
      <c r="P55" s="669"/>
      <c r="Q55" s="670"/>
      <c r="R55" s="697">
        <f ca="1">SUM(C55:Q55)</f>
        <v>388.52332023856229</v>
      </c>
    </row>
    <row r="56" spans="1:18" ht="15.75" thickBot="1">
      <c r="A56" s="789" t="s">
        <v>816</v>
      </c>
      <c r="B56" s="802"/>
      <c r="C56" s="698">
        <f ca="1">SUM(C54:C55)</f>
        <v>2184.0445129311215</v>
      </c>
      <c r="D56" s="698">
        <f t="shared" ref="D56:Q56" ca="1" si="7">SUM(D54:D55)</f>
        <v>0</v>
      </c>
      <c r="E56" s="698">
        <f t="shared" si="7"/>
        <v>1000.4232590429638</v>
      </c>
      <c r="F56" s="698">
        <f t="shared" si="7"/>
        <v>60.306282283951383</v>
      </c>
      <c r="G56" s="698">
        <f t="shared" si="7"/>
        <v>10054.750284447931</v>
      </c>
      <c r="H56" s="698">
        <f t="shared" si="7"/>
        <v>0</v>
      </c>
      <c r="I56" s="698">
        <f t="shared" si="7"/>
        <v>0</v>
      </c>
      <c r="J56" s="698">
        <f t="shared" si="7"/>
        <v>0</v>
      </c>
      <c r="K56" s="698">
        <f t="shared" si="7"/>
        <v>525.05501664666087</v>
      </c>
      <c r="L56" s="698">
        <f t="shared" si="7"/>
        <v>0</v>
      </c>
      <c r="M56" s="698">
        <f t="shared" si="7"/>
        <v>0</v>
      </c>
      <c r="N56" s="698">
        <f t="shared" si="7"/>
        <v>0</v>
      </c>
      <c r="O56" s="698">
        <f t="shared" si="7"/>
        <v>0</v>
      </c>
      <c r="P56" s="698">
        <f t="shared" si="7"/>
        <v>0</v>
      </c>
      <c r="Q56" s="699">
        <f t="shared" si="7"/>
        <v>0</v>
      </c>
      <c r="R56" s="700">
        <f ca="1">SUM(R54:R55)</f>
        <v>13824.579355352629</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16212.012824041602</v>
      </c>
      <c r="D61" s="706">
        <f t="shared" ref="D61:Q61" ca="1" si="8">D46+D52+D56</f>
        <v>0</v>
      </c>
      <c r="E61" s="706">
        <f t="shared" ca="1" si="8"/>
        <v>21208.208718433638</v>
      </c>
      <c r="F61" s="706">
        <f t="shared" si="8"/>
        <v>898.3190267904879</v>
      </c>
      <c r="G61" s="706">
        <f t="shared" ca="1" si="8"/>
        <v>24647.206761383837</v>
      </c>
      <c r="H61" s="706">
        <f t="shared" si="8"/>
        <v>13519.588640445771</v>
      </c>
      <c r="I61" s="706">
        <f t="shared" si="8"/>
        <v>2245.2278030953112</v>
      </c>
      <c r="J61" s="706">
        <f t="shared" si="8"/>
        <v>0</v>
      </c>
      <c r="K61" s="706">
        <f t="shared" si="8"/>
        <v>825.0384608169802</v>
      </c>
      <c r="L61" s="706">
        <f t="shared" si="8"/>
        <v>0</v>
      </c>
      <c r="M61" s="706">
        <f t="shared" ca="1" si="8"/>
        <v>0</v>
      </c>
      <c r="N61" s="706">
        <f t="shared" si="8"/>
        <v>0</v>
      </c>
      <c r="O61" s="706">
        <f t="shared" ca="1" si="8"/>
        <v>0</v>
      </c>
      <c r="P61" s="706">
        <f t="shared" si="8"/>
        <v>0</v>
      </c>
      <c r="Q61" s="706">
        <f t="shared" si="8"/>
        <v>0</v>
      </c>
      <c r="R61" s="706">
        <f ca="1">R46+R52+R56</f>
        <v>79555.602235007638</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0.19919623754564145</v>
      </c>
      <c r="D63" s="747">
        <f t="shared" ca="1" si="9"/>
        <v>0</v>
      </c>
      <c r="E63" s="981">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8029.6196816805796</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0</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8029.6196816805796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25443.335254431557</v>
      </c>
      <c r="C4" s="443">
        <f>huishoudens!C8</f>
        <v>0</v>
      </c>
      <c r="D4" s="443">
        <f>huishoudens!D8</f>
        <v>40778.483827994285</v>
      </c>
      <c r="E4" s="443">
        <f>huishoudens!E8</f>
        <v>1492.4991150350791</v>
      </c>
      <c r="F4" s="443">
        <f>huishoudens!F8</f>
        <v>40578.09672737863</v>
      </c>
      <c r="G4" s="443">
        <f>huishoudens!G8</f>
        <v>0</v>
      </c>
      <c r="H4" s="443">
        <f>huishoudens!H8</f>
        <v>0</v>
      </c>
      <c r="I4" s="443">
        <f>huishoudens!I8</f>
        <v>0</v>
      </c>
      <c r="J4" s="443">
        <f>huishoudens!J8</f>
        <v>748.33258119473408</v>
      </c>
      <c r="K4" s="443">
        <f>huishoudens!K8</f>
        <v>0</v>
      </c>
      <c r="L4" s="443">
        <f>huishoudens!L8</f>
        <v>0</v>
      </c>
      <c r="M4" s="443">
        <f>huishoudens!M8</f>
        <v>0</v>
      </c>
      <c r="N4" s="443">
        <f>huishoudens!N8</f>
        <v>7673.9895015983693</v>
      </c>
      <c r="O4" s="443">
        <f>huishoudens!O8</f>
        <v>254.82333333333335</v>
      </c>
      <c r="P4" s="444">
        <f>huishoudens!P8</f>
        <v>629.20000000000005</v>
      </c>
      <c r="Q4" s="445">
        <f>SUM(B4:P4)</f>
        <v>117598.76034096599</v>
      </c>
    </row>
    <row r="5" spans="1:17">
      <c r="A5" s="442" t="s">
        <v>149</v>
      </c>
      <c r="B5" s="443">
        <f ca="1">tertiair!B16</f>
        <v>14234.2161517</v>
      </c>
      <c r="C5" s="443">
        <f ca="1">tertiair!C16</f>
        <v>0</v>
      </c>
      <c r="D5" s="443">
        <f ca="1">tertiair!D16</f>
        <v>14235.485699653022</v>
      </c>
      <c r="E5" s="443">
        <f>tertiair!E16</f>
        <v>279.73673004048152</v>
      </c>
      <c r="F5" s="443">
        <f ca="1">tertiair!F16</f>
        <v>3434.4730290639145</v>
      </c>
      <c r="G5" s="443">
        <f>tertiair!G16</f>
        <v>0</v>
      </c>
      <c r="H5" s="443">
        <f>tertiair!H16</f>
        <v>0</v>
      </c>
      <c r="I5" s="443">
        <f>tertiair!I16</f>
        <v>0</v>
      </c>
      <c r="J5" s="443">
        <f>tertiair!J16</f>
        <v>0</v>
      </c>
      <c r="K5" s="443">
        <f>tertiair!K16</f>
        <v>0</v>
      </c>
      <c r="L5" s="443">
        <f ca="1">tertiair!L16</f>
        <v>0</v>
      </c>
      <c r="M5" s="443">
        <f>tertiair!M16</f>
        <v>0</v>
      </c>
      <c r="N5" s="443">
        <f ca="1">tertiair!N16</f>
        <v>2161.1700797835178</v>
      </c>
      <c r="O5" s="443">
        <f>tertiair!O16</f>
        <v>6.2533333333333339</v>
      </c>
      <c r="P5" s="444">
        <f>tertiair!P16</f>
        <v>0</v>
      </c>
      <c r="Q5" s="442">
        <f t="shared" ref="Q5:Q14" ca="1" si="0">SUM(B5:P5)</f>
        <v>34351.335023574262</v>
      </c>
    </row>
    <row r="6" spans="1:17">
      <c r="A6" s="442" t="s">
        <v>187</v>
      </c>
      <c r="B6" s="443">
        <f>'openbare verlichting'!B8</f>
        <v>1024.7270000000001</v>
      </c>
      <c r="C6" s="443"/>
      <c r="D6" s="443"/>
      <c r="E6" s="443"/>
      <c r="F6" s="443"/>
      <c r="G6" s="443"/>
      <c r="H6" s="443"/>
      <c r="I6" s="443"/>
      <c r="J6" s="443"/>
      <c r="K6" s="443"/>
      <c r="L6" s="443"/>
      <c r="M6" s="443"/>
      <c r="N6" s="443"/>
      <c r="O6" s="443"/>
      <c r="P6" s="444"/>
      <c r="Q6" s="442">
        <f t="shared" si="0"/>
        <v>1024.7270000000001</v>
      </c>
    </row>
    <row r="7" spans="1:17">
      <c r="A7" s="442" t="s">
        <v>105</v>
      </c>
      <c r="B7" s="443">
        <f>landbouw!B8</f>
        <v>10302.675435429999</v>
      </c>
      <c r="C7" s="443">
        <f>landbouw!C8</f>
        <v>0</v>
      </c>
      <c r="D7" s="443">
        <f>landbouw!D8</f>
        <v>3681.6349918018</v>
      </c>
      <c r="E7" s="443">
        <f>landbouw!E8</f>
        <v>265.66644177952151</v>
      </c>
      <c r="F7" s="443">
        <f>landbouw!F8</f>
        <v>37658.240765722585</v>
      </c>
      <c r="G7" s="443">
        <f>landbouw!G8</f>
        <v>0</v>
      </c>
      <c r="H7" s="443">
        <f>landbouw!H8</f>
        <v>0</v>
      </c>
      <c r="I7" s="443">
        <f>landbouw!I8</f>
        <v>0</v>
      </c>
      <c r="J7" s="443">
        <f>landbouw!J8</f>
        <v>1483.2062617137312</v>
      </c>
      <c r="K7" s="443">
        <f>landbouw!K8</f>
        <v>0</v>
      </c>
      <c r="L7" s="443">
        <f>landbouw!L8</f>
        <v>0</v>
      </c>
      <c r="M7" s="443">
        <f>landbouw!M8</f>
        <v>0</v>
      </c>
      <c r="N7" s="443">
        <f>landbouw!N8</f>
        <v>0</v>
      </c>
      <c r="O7" s="443">
        <f>landbouw!O8</f>
        <v>0</v>
      </c>
      <c r="P7" s="444">
        <f>landbouw!P8</f>
        <v>0</v>
      </c>
      <c r="Q7" s="442">
        <f t="shared" si="0"/>
        <v>53391.423896447639</v>
      </c>
    </row>
    <row r="8" spans="1:17">
      <c r="A8" s="442" t="s">
        <v>625</v>
      </c>
      <c r="B8" s="443">
        <f>industrie!B18</f>
        <v>29700.605316692003</v>
      </c>
      <c r="C8" s="443">
        <f>industrie!C18</f>
        <v>0</v>
      </c>
      <c r="D8" s="443">
        <f>industrie!D18</f>
        <v>44996.750253041624</v>
      </c>
      <c r="E8" s="443">
        <f>industrie!E18</f>
        <v>1789.6045363657281</v>
      </c>
      <c r="F8" s="443">
        <f>industrie!F18</f>
        <v>10640.825288261214</v>
      </c>
      <c r="G8" s="443">
        <f>industrie!G18</f>
        <v>0</v>
      </c>
      <c r="H8" s="443">
        <f>industrie!H18</f>
        <v>0</v>
      </c>
      <c r="I8" s="443">
        <f>industrie!I18</f>
        <v>0</v>
      </c>
      <c r="J8" s="443">
        <f>industrie!J18</f>
        <v>99.07827804345628</v>
      </c>
      <c r="K8" s="443">
        <f>industrie!K18</f>
        <v>0</v>
      </c>
      <c r="L8" s="443">
        <f>industrie!L18</f>
        <v>0</v>
      </c>
      <c r="M8" s="443">
        <f>industrie!M18</f>
        <v>0</v>
      </c>
      <c r="N8" s="443">
        <f>industrie!N18</f>
        <v>5098.2572180971547</v>
      </c>
      <c r="O8" s="443">
        <f>industrie!O18</f>
        <v>0</v>
      </c>
      <c r="P8" s="444">
        <f>industrie!P18</f>
        <v>0</v>
      </c>
      <c r="Q8" s="442">
        <f t="shared" si="0"/>
        <v>92325.120890501188</v>
      </c>
    </row>
    <row r="9" spans="1:17" s="448" customFormat="1">
      <c r="A9" s="446" t="s">
        <v>551</v>
      </c>
      <c r="B9" s="447">
        <f>transport!B14</f>
        <v>16.333156333561977</v>
      </c>
      <c r="C9" s="447">
        <f>transport!C14</f>
        <v>0</v>
      </c>
      <c r="D9" s="447">
        <f>transport!D14</f>
        <v>27.822097482718902</v>
      </c>
      <c r="E9" s="447">
        <f>transport!E14</f>
        <v>129.84571770644919</v>
      </c>
      <c r="F9" s="447">
        <f>transport!F14</f>
        <v>0</v>
      </c>
      <c r="G9" s="447">
        <f>transport!G14</f>
        <v>49985.979440077412</v>
      </c>
      <c r="H9" s="447">
        <f>transport!H14</f>
        <v>9016.9791288968318</v>
      </c>
      <c r="I9" s="447">
        <f>transport!I14</f>
        <v>0</v>
      </c>
      <c r="J9" s="447">
        <f>transport!J14</f>
        <v>0</v>
      </c>
      <c r="K9" s="447">
        <f>transport!K14</f>
        <v>0</v>
      </c>
      <c r="L9" s="447">
        <f>transport!L14</f>
        <v>0</v>
      </c>
      <c r="M9" s="447">
        <f>transport!M14</f>
        <v>1842.7932991309253</v>
      </c>
      <c r="N9" s="447">
        <f>transport!N14</f>
        <v>0</v>
      </c>
      <c r="O9" s="447">
        <f>transport!O14</f>
        <v>0</v>
      </c>
      <c r="P9" s="447">
        <f>transport!P14</f>
        <v>0</v>
      </c>
      <c r="Q9" s="446">
        <f>SUM(B9:P9)</f>
        <v>61019.752839627901</v>
      </c>
    </row>
    <row r="10" spans="1:17">
      <c r="A10" s="442" t="s">
        <v>541</v>
      </c>
      <c r="B10" s="443">
        <f>transport!B54</f>
        <v>3.6409215394257743</v>
      </c>
      <c r="C10" s="443">
        <f>transport!C54</f>
        <v>0</v>
      </c>
      <c r="D10" s="443">
        <f>transport!D54</f>
        <v>0</v>
      </c>
      <c r="E10" s="443">
        <f>transport!E54</f>
        <v>0</v>
      </c>
      <c r="F10" s="443">
        <f>transport!F54</f>
        <v>0</v>
      </c>
      <c r="G10" s="443">
        <f>transport!G54</f>
        <v>649.18400728502399</v>
      </c>
      <c r="H10" s="443">
        <f>transport!H54</f>
        <v>0</v>
      </c>
      <c r="I10" s="443">
        <f>transport!I54</f>
        <v>0</v>
      </c>
      <c r="J10" s="443">
        <f>transport!J54</f>
        <v>0</v>
      </c>
      <c r="K10" s="443">
        <f>transport!K54</f>
        <v>0</v>
      </c>
      <c r="L10" s="443">
        <f>transport!L54</f>
        <v>0</v>
      </c>
      <c r="M10" s="443">
        <f>transport!M54</f>
        <v>20.265009351379476</v>
      </c>
      <c r="N10" s="443">
        <f>transport!N54</f>
        <v>0</v>
      </c>
      <c r="O10" s="443">
        <f>transport!O54</f>
        <v>0</v>
      </c>
      <c r="P10" s="444">
        <f>transport!P54</f>
        <v>0</v>
      </c>
      <c r="Q10" s="442">
        <f t="shared" si="0"/>
        <v>673.08993817582927</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661.6105362400001</v>
      </c>
      <c r="C14" s="450"/>
      <c r="D14" s="450">
        <f>'SEAP template'!E25</f>
        <v>1270.9553995000001</v>
      </c>
      <c r="E14" s="450"/>
      <c r="F14" s="450"/>
      <c r="G14" s="450"/>
      <c r="H14" s="450"/>
      <c r="I14" s="450"/>
      <c r="J14" s="450"/>
      <c r="K14" s="450"/>
      <c r="L14" s="450"/>
      <c r="M14" s="450"/>
      <c r="N14" s="450"/>
      <c r="O14" s="450"/>
      <c r="P14" s="451"/>
      <c r="Q14" s="442">
        <f t="shared" si="0"/>
        <v>1932.5659357400002</v>
      </c>
    </row>
    <row r="15" spans="1:17" s="452" customFormat="1">
      <c r="A15" s="996" t="s">
        <v>545</v>
      </c>
      <c r="B15" s="936">
        <f ca="1">SUM(B4:B14)</f>
        <v>81387.143772366544</v>
      </c>
      <c r="C15" s="936">
        <f t="shared" ref="C15:Q15" ca="1" si="1">SUM(C4:C14)</f>
        <v>0</v>
      </c>
      <c r="D15" s="936">
        <f t="shared" ca="1" si="1"/>
        <v>104991.13226947346</v>
      </c>
      <c r="E15" s="936">
        <f t="shared" si="1"/>
        <v>3957.3525409272593</v>
      </c>
      <c r="F15" s="936">
        <f t="shared" ca="1" si="1"/>
        <v>92311.635810426335</v>
      </c>
      <c r="G15" s="936">
        <f t="shared" si="1"/>
        <v>50635.163447362436</v>
      </c>
      <c r="H15" s="936">
        <f t="shared" si="1"/>
        <v>9016.9791288968318</v>
      </c>
      <c r="I15" s="936">
        <f t="shared" si="1"/>
        <v>0</v>
      </c>
      <c r="J15" s="936">
        <f t="shared" si="1"/>
        <v>2330.6171209519212</v>
      </c>
      <c r="K15" s="936">
        <f t="shared" si="1"/>
        <v>0</v>
      </c>
      <c r="L15" s="936">
        <f t="shared" ca="1" si="1"/>
        <v>0</v>
      </c>
      <c r="M15" s="936">
        <f t="shared" si="1"/>
        <v>1863.0583084823047</v>
      </c>
      <c r="N15" s="936">
        <f t="shared" ca="1" si="1"/>
        <v>14933.416799479042</v>
      </c>
      <c r="O15" s="936">
        <f t="shared" si="1"/>
        <v>261.07666666666671</v>
      </c>
      <c r="P15" s="936">
        <f t="shared" si="1"/>
        <v>629.20000000000005</v>
      </c>
      <c r="Q15" s="936">
        <f t="shared" ca="1" si="1"/>
        <v>362316.77586503286</v>
      </c>
    </row>
    <row r="17" spans="1:17">
      <c r="A17" s="453" t="s">
        <v>546</v>
      </c>
      <c r="B17" s="752">
        <f ca="1">huishoudens!B10</f>
        <v>0.19919623754564147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5068.2166532951424</v>
      </c>
      <c r="C22" s="443">
        <f t="shared" ref="C22:C32" ca="1" si="3">C4*$C$17</f>
        <v>0</v>
      </c>
      <c r="D22" s="443">
        <f t="shared" ref="D22:D32" si="4">D4*$D$17</f>
        <v>8237.2537332548454</v>
      </c>
      <c r="E22" s="443">
        <f t="shared" ref="E22:E32" si="5">E4*$E$17</f>
        <v>338.79729911296295</v>
      </c>
      <c r="F22" s="443">
        <f t="shared" ref="F22:F32" si="6">F4*$F$17</f>
        <v>10834.351826210095</v>
      </c>
      <c r="G22" s="443">
        <f t="shared" ref="G22:G32" si="7">G4*$G$17</f>
        <v>0</v>
      </c>
      <c r="H22" s="443">
        <f t="shared" ref="H22:H32" si="8">H4*$H$17</f>
        <v>0</v>
      </c>
      <c r="I22" s="443">
        <f t="shared" ref="I22:I32" si="9">I4*$I$17</f>
        <v>0</v>
      </c>
      <c r="J22" s="443">
        <f t="shared" ref="J22:J32" si="10">J4*$J$17</f>
        <v>264.90973374293583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24743.529245615984</v>
      </c>
    </row>
    <row r="23" spans="1:17">
      <c r="A23" s="442" t="s">
        <v>149</v>
      </c>
      <c r="B23" s="443">
        <f t="shared" ca="1" si="2"/>
        <v>2835.40230183004</v>
      </c>
      <c r="C23" s="443">
        <f t="shared" ca="1" si="3"/>
        <v>0</v>
      </c>
      <c r="D23" s="443">
        <f t="shared" ca="1" si="4"/>
        <v>2875.5681113299106</v>
      </c>
      <c r="E23" s="443">
        <f t="shared" si="5"/>
        <v>63.500237719189307</v>
      </c>
      <c r="F23" s="443">
        <f t="shared" ca="1" si="6"/>
        <v>917.00429876006524</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6691.4749496392051</v>
      </c>
    </row>
    <row r="24" spans="1:17">
      <c r="A24" s="442" t="s">
        <v>187</v>
      </c>
      <c r="B24" s="443">
        <f t="shared" ca="1" si="2"/>
        <v>204.12176291143257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204.12176291143257</v>
      </c>
    </row>
    <row r="25" spans="1:17">
      <c r="A25" s="442" t="s">
        <v>105</v>
      </c>
      <c r="B25" s="443">
        <f t="shared" ca="1" si="2"/>
        <v>2052.2541833915593</v>
      </c>
      <c r="C25" s="443">
        <f t="shared" ca="1" si="3"/>
        <v>0</v>
      </c>
      <c r="D25" s="443">
        <f t="shared" si="4"/>
        <v>743.69026834396368</v>
      </c>
      <c r="E25" s="443">
        <f t="shared" si="5"/>
        <v>60.306282283951383</v>
      </c>
      <c r="F25" s="443">
        <f t="shared" si="6"/>
        <v>10054.750284447931</v>
      </c>
      <c r="G25" s="443">
        <f t="shared" si="7"/>
        <v>0</v>
      </c>
      <c r="H25" s="443">
        <f t="shared" si="8"/>
        <v>0</v>
      </c>
      <c r="I25" s="443">
        <f t="shared" si="9"/>
        <v>0</v>
      </c>
      <c r="J25" s="443">
        <f t="shared" si="10"/>
        <v>525.05501664666087</v>
      </c>
      <c r="K25" s="443">
        <f t="shared" si="11"/>
        <v>0</v>
      </c>
      <c r="L25" s="443">
        <f t="shared" si="12"/>
        <v>0</v>
      </c>
      <c r="M25" s="443">
        <f t="shared" si="13"/>
        <v>0</v>
      </c>
      <c r="N25" s="443">
        <f t="shared" si="14"/>
        <v>0</v>
      </c>
      <c r="O25" s="443">
        <f t="shared" si="15"/>
        <v>0</v>
      </c>
      <c r="P25" s="444">
        <f t="shared" si="16"/>
        <v>0</v>
      </c>
      <c r="Q25" s="442">
        <f t="shared" ca="1" si="17"/>
        <v>13436.056035114067</v>
      </c>
    </row>
    <row r="26" spans="1:17">
      <c r="A26" s="442" t="s">
        <v>625</v>
      </c>
      <c r="B26" s="443">
        <f t="shared" ca="1" si="2"/>
        <v>5916.2488319131226</v>
      </c>
      <c r="C26" s="443">
        <f t="shared" ca="1" si="3"/>
        <v>0</v>
      </c>
      <c r="D26" s="443">
        <f t="shared" si="4"/>
        <v>9089.3435511144089</v>
      </c>
      <c r="E26" s="443">
        <f t="shared" si="5"/>
        <v>406.24022975502027</v>
      </c>
      <c r="F26" s="443">
        <f t="shared" si="6"/>
        <v>2841.1003519657443</v>
      </c>
      <c r="G26" s="443">
        <f t="shared" si="7"/>
        <v>0</v>
      </c>
      <c r="H26" s="443">
        <f t="shared" si="8"/>
        <v>0</v>
      </c>
      <c r="I26" s="443">
        <f t="shared" si="9"/>
        <v>0</v>
      </c>
      <c r="J26" s="443">
        <f t="shared" si="10"/>
        <v>35.073710427383524</v>
      </c>
      <c r="K26" s="443">
        <f t="shared" si="11"/>
        <v>0</v>
      </c>
      <c r="L26" s="443">
        <f t="shared" si="12"/>
        <v>0</v>
      </c>
      <c r="M26" s="443">
        <f t="shared" si="13"/>
        <v>0</v>
      </c>
      <c r="N26" s="443">
        <f t="shared" si="14"/>
        <v>0</v>
      </c>
      <c r="O26" s="443">
        <f t="shared" si="15"/>
        <v>0</v>
      </c>
      <c r="P26" s="444">
        <f t="shared" si="16"/>
        <v>0</v>
      </c>
      <c r="Q26" s="442">
        <f t="shared" ca="1" si="17"/>
        <v>18288.006675175679</v>
      </c>
    </row>
    <row r="27" spans="1:17" s="448" customFormat="1">
      <c r="A27" s="446" t="s">
        <v>551</v>
      </c>
      <c r="B27" s="746">
        <f t="shared" ca="1" si="2"/>
        <v>3.2535032888903102</v>
      </c>
      <c r="C27" s="447">
        <f t="shared" ca="1" si="3"/>
        <v>0</v>
      </c>
      <c r="D27" s="447">
        <f t="shared" si="4"/>
        <v>5.6200636915092188</v>
      </c>
      <c r="E27" s="447">
        <f t="shared" si="5"/>
        <v>29.474977919363969</v>
      </c>
      <c r="F27" s="447">
        <f t="shared" si="6"/>
        <v>0</v>
      </c>
      <c r="G27" s="447">
        <f t="shared" si="7"/>
        <v>13346.256510500669</v>
      </c>
      <c r="H27" s="447">
        <f t="shared" si="8"/>
        <v>2245.2278030953112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15629.832858495743</v>
      </c>
    </row>
    <row r="28" spans="1:17">
      <c r="A28" s="442" t="s">
        <v>541</v>
      </c>
      <c r="B28" s="443">
        <f t="shared" ca="1" si="2"/>
        <v>0.72525787185249924</v>
      </c>
      <c r="C28" s="443">
        <f t="shared" ca="1" si="3"/>
        <v>0</v>
      </c>
      <c r="D28" s="443">
        <f t="shared" si="4"/>
        <v>0</v>
      </c>
      <c r="E28" s="443">
        <f t="shared" si="5"/>
        <v>0</v>
      </c>
      <c r="F28" s="443">
        <f t="shared" si="6"/>
        <v>0</v>
      </c>
      <c r="G28" s="443">
        <f t="shared" si="7"/>
        <v>173.33212994510143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174.05738781695393</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131.79032953956229</v>
      </c>
      <c r="C32" s="443">
        <f t="shared" ca="1" si="3"/>
        <v>0</v>
      </c>
      <c r="D32" s="443">
        <f t="shared" si="4"/>
        <v>256.73299069900003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388.52332023856229</v>
      </c>
    </row>
    <row r="33" spans="1:17" s="452" customFormat="1">
      <c r="A33" s="996" t="s">
        <v>545</v>
      </c>
      <c r="B33" s="936">
        <f ca="1">SUM(B22:B32)</f>
        <v>16212.012824041602</v>
      </c>
      <c r="C33" s="936">
        <f t="shared" ref="C33:Q33" ca="1" si="18">SUM(C22:C32)</f>
        <v>0</v>
      </c>
      <c r="D33" s="936">
        <f t="shared" ca="1" si="18"/>
        <v>21208.208718433638</v>
      </c>
      <c r="E33" s="936">
        <f t="shared" si="18"/>
        <v>898.3190267904879</v>
      </c>
      <c r="F33" s="936">
        <f t="shared" ca="1" si="18"/>
        <v>24647.206761383837</v>
      </c>
      <c r="G33" s="936">
        <f t="shared" si="18"/>
        <v>13519.588640445771</v>
      </c>
      <c r="H33" s="936">
        <f t="shared" si="18"/>
        <v>2245.2278030953112</v>
      </c>
      <c r="I33" s="936">
        <f t="shared" si="18"/>
        <v>0</v>
      </c>
      <c r="J33" s="936">
        <f t="shared" si="18"/>
        <v>825.0384608169802</v>
      </c>
      <c r="K33" s="936">
        <f t="shared" si="18"/>
        <v>0</v>
      </c>
      <c r="L33" s="936">
        <f t="shared" ca="1" si="18"/>
        <v>0</v>
      </c>
      <c r="M33" s="936">
        <f t="shared" si="18"/>
        <v>0</v>
      </c>
      <c r="N33" s="936">
        <f t="shared" ca="1" si="18"/>
        <v>0</v>
      </c>
      <c r="O33" s="936">
        <f t="shared" si="18"/>
        <v>0</v>
      </c>
      <c r="P33" s="936">
        <f t="shared" si="18"/>
        <v>0</v>
      </c>
      <c r="Q33" s="936">
        <f t="shared" ca="1" si="18"/>
        <v>79555.602235007624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8029.6196816805796</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8029.6196816805796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0.19919623754564147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0</v>
      </c>
      <c r="C17" s="1019">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0.19919623754564147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1</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1.5633333333333335</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0.19919623754564147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0.19919623754564147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5677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4713.8999999999996</v>
      </c>
      <c r="C14" s="324"/>
      <c r="D14" s="324"/>
      <c r="E14" s="324"/>
      <c r="F14" s="324"/>
    </row>
    <row r="15" spans="1:6">
      <c r="A15" s="1288" t="s">
        <v>177</v>
      </c>
      <c r="B15" s="1289">
        <v>716</v>
      </c>
      <c r="C15" s="324"/>
      <c r="D15" s="324"/>
      <c r="E15" s="324"/>
      <c r="F15" s="324"/>
    </row>
    <row r="16" spans="1:6">
      <c r="A16" s="1288" t="s">
        <v>6</v>
      </c>
      <c r="B16" s="1289">
        <v>3109</v>
      </c>
      <c r="C16" s="324"/>
      <c r="D16" s="324"/>
      <c r="E16" s="324"/>
      <c r="F16" s="324"/>
    </row>
    <row r="17" spans="1:6">
      <c r="A17" s="1288" t="s">
        <v>7</v>
      </c>
      <c r="B17" s="1289">
        <v>2446</v>
      </c>
      <c r="C17" s="324"/>
      <c r="D17" s="324"/>
      <c r="E17" s="324"/>
      <c r="F17" s="324"/>
    </row>
    <row r="18" spans="1:6">
      <c r="A18" s="1288" t="s">
        <v>8</v>
      </c>
      <c r="B18" s="1289">
        <v>3424</v>
      </c>
      <c r="C18" s="324"/>
      <c r="D18" s="324"/>
      <c r="E18" s="324"/>
      <c r="F18" s="324"/>
    </row>
    <row r="19" spans="1:6">
      <c r="A19" s="1288" t="s">
        <v>9</v>
      </c>
      <c r="B19" s="1289">
        <v>3130</v>
      </c>
      <c r="C19" s="324"/>
      <c r="D19" s="324"/>
      <c r="E19" s="324"/>
      <c r="F19" s="324"/>
    </row>
    <row r="20" spans="1:6">
      <c r="A20" s="1288" t="s">
        <v>10</v>
      </c>
      <c r="B20" s="1289">
        <v>2203</v>
      </c>
      <c r="C20" s="324"/>
      <c r="D20" s="324"/>
      <c r="E20" s="324"/>
      <c r="F20" s="324"/>
    </row>
    <row r="21" spans="1:6">
      <c r="A21" s="1288" t="s">
        <v>11</v>
      </c>
      <c r="B21" s="1289">
        <v>33831</v>
      </c>
      <c r="C21" s="324"/>
      <c r="D21" s="324"/>
      <c r="E21" s="324"/>
      <c r="F21" s="324"/>
    </row>
    <row r="22" spans="1:6">
      <c r="A22" s="1288" t="s">
        <v>12</v>
      </c>
      <c r="B22" s="1289">
        <v>124206</v>
      </c>
      <c r="C22" s="324"/>
      <c r="D22" s="324"/>
      <c r="E22" s="324"/>
      <c r="F22" s="324"/>
    </row>
    <row r="23" spans="1:6">
      <c r="A23" s="1288" t="s">
        <v>13</v>
      </c>
      <c r="B23" s="1289">
        <v>3750</v>
      </c>
      <c r="C23" s="324"/>
      <c r="D23" s="324"/>
      <c r="E23" s="324"/>
      <c r="F23" s="324"/>
    </row>
    <row r="24" spans="1:6">
      <c r="A24" s="1288" t="s">
        <v>14</v>
      </c>
      <c r="B24" s="1289">
        <v>76</v>
      </c>
      <c r="C24" s="324"/>
      <c r="D24" s="324"/>
      <c r="E24" s="324"/>
      <c r="F24" s="324"/>
    </row>
    <row r="25" spans="1:6">
      <c r="A25" s="1288" t="s">
        <v>15</v>
      </c>
      <c r="B25" s="1289">
        <v>10526</v>
      </c>
      <c r="C25" s="324"/>
      <c r="D25" s="324"/>
      <c r="E25" s="324"/>
      <c r="F25" s="324"/>
    </row>
    <row r="26" spans="1:6">
      <c r="A26" s="1288" t="s">
        <v>16</v>
      </c>
      <c r="B26" s="1289">
        <v>198</v>
      </c>
      <c r="C26" s="324"/>
      <c r="D26" s="324"/>
      <c r="E26" s="324"/>
      <c r="F26" s="324"/>
    </row>
    <row r="27" spans="1:6">
      <c r="A27" s="1288" t="s">
        <v>17</v>
      </c>
      <c r="B27" s="1289">
        <v>1</v>
      </c>
      <c r="C27" s="324"/>
      <c r="D27" s="324"/>
      <c r="E27" s="324"/>
      <c r="F27" s="324"/>
    </row>
    <row r="28" spans="1:6">
      <c r="A28" s="1288" t="s">
        <v>18</v>
      </c>
      <c r="B28" s="1290">
        <v>971874</v>
      </c>
      <c r="C28" s="324"/>
      <c r="D28" s="324"/>
      <c r="E28" s="324"/>
      <c r="F28" s="324"/>
    </row>
    <row r="29" spans="1:6">
      <c r="A29" s="1288" t="s">
        <v>902</v>
      </c>
      <c r="B29" s="1290">
        <v>133</v>
      </c>
      <c r="C29" s="324"/>
      <c r="D29" s="324"/>
      <c r="E29" s="324"/>
      <c r="F29" s="324"/>
    </row>
    <row r="30" spans="1:6">
      <c r="A30" s="1283" t="s">
        <v>903</v>
      </c>
      <c r="B30" s="1291">
        <v>23</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2</v>
      </c>
      <c r="D38" s="1289">
        <v>316423.36846000003</v>
      </c>
      <c r="E38" s="1289">
        <v>1</v>
      </c>
      <c r="F38" s="1289">
        <v>2784.0964044000002</v>
      </c>
    </row>
    <row r="39" spans="1:6">
      <c r="A39" s="1288" t="s">
        <v>29</v>
      </c>
      <c r="B39" s="1288" t="s">
        <v>30</v>
      </c>
      <c r="C39" s="1289">
        <v>2957</v>
      </c>
      <c r="D39" s="1289">
        <v>45174607.631999999</v>
      </c>
      <c r="E39" s="1289">
        <v>5116</v>
      </c>
      <c r="F39" s="1289">
        <v>21219439.859999999</v>
      </c>
    </row>
    <row r="40" spans="1:6">
      <c r="A40" s="1288" t="s">
        <v>29</v>
      </c>
      <c r="B40" s="1288" t="s">
        <v>28</v>
      </c>
      <c r="C40" s="1289">
        <v>1</v>
      </c>
      <c r="D40" s="1289">
        <v>34354.483292999998</v>
      </c>
      <c r="E40" s="1289">
        <v>1</v>
      </c>
      <c r="F40" s="1289">
        <v>7636</v>
      </c>
    </row>
    <row r="41" spans="1:6">
      <c r="A41" s="1288" t="s">
        <v>31</v>
      </c>
      <c r="B41" s="1288" t="s">
        <v>32</v>
      </c>
      <c r="C41" s="1289">
        <v>100</v>
      </c>
      <c r="D41" s="1289">
        <v>3145238.8001000001</v>
      </c>
      <c r="E41" s="1289">
        <v>241</v>
      </c>
      <c r="F41" s="1289">
        <v>3412618.2330999998</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17</v>
      </c>
      <c r="D44" s="1289">
        <v>5405855.0076000001</v>
      </c>
      <c r="E44" s="1289">
        <v>59</v>
      </c>
      <c r="F44" s="1289">
        <v>9332929.2280999999</v>
      </c>
    </row>
    <row r="45" spans="1:6">
      <c r="A45" s="1288" t="s">
        <v>31</v>
      </c>
      <c r="B45" s="1288" t="s">
        <v>36</v>
      </c>
      <c r="C45" s="1289">
        <v>0</v>
      </c>
      <c r="D45" s="1289">
        <v>0</v>
      </c>
      <c r="E45" s="1289">
        <v>3</v>
      </c>
      <c r="F45" s="1289">
        <v>87202.029582000003</v>
      </c>
    </row>
    <row r="46" spans="1:6">
      <c r="A46" s="1288" t="s">
        <v>31</v>
      </c>
      <c r="B46" s="1288" t="s">
        <v>37</v>
      </c>
      <c r="C46" s="1289">
        <v>0</v>
      </c>
      <c r="D46" s="1289">
        <v>0</v>
      </c>
      <c r="E46" s="1289">
        <v>0</v>
      </c>
      <c r="F46" s="1289">
        <v>0</v>
      </c>
    </row>
    <row r="47" spans="1:6">
      <c r="A47" s="1288" t="s">
        <v>31</v>
      </c>
      <c r="B47" s="1288" t="s">
        <v>38</v>
      </c>
      <c r="C47" s="1289">
        <v>0</v>
      </c>
      <c r="D47" s="1289">
        <v>0</v>
      </c>
      <c r="E47" s="1289">
        <v>7</v>
      </c>
      <c r="F47" s="1289">
        <v>770853.73731</v>
      </c>
    </row>
    <row r="48" spans="1:6">
      <c r="A48" s="1288" t="s">
        <v>31</v>
      </c>
      <c r="B48" s="1288" t="s">
        <v>28</v>
      </c>
      <c r="C48" s="1289">
        <v>19</v>
      </c>
      <c r="D48" s="1289">
        <v>40438082.572999999</v>
      </c>
      <c r="E48" s="1289">
        <v>30</v>
      </c>
      <c r="F48" s="1289">
        <v>5843292.7825999996</v>
      </c>
    </row>
    <row r="49" spans="1:6">
      <c r="A49" s="1288" t="s">
        <v>31</v>
      </c>
      <c r="B49" s="1288" t="s">
        <v>39</v>
      </c>
      <c r="C49" s="1289">
        <v>0</v>
      </c>
      <c r="D49" s="1289">
        <v>0</v>
      </c>
      <c r="E49" s="1289">
        <v>0</v>
      </c>
      <c r="F49" s="1289">
        <v>0</v>
      </c>
    </row>
    <row r="50" spans="1:6">
      <c r="A50" s="1288" t="s">
        <v>31</v>
      </c>
      <c r="B50" s="1288" t="s">
        <v>40</v>
      </c>
      <c r="C50" s="1289">
        <v>8</v>
      </c>
      <c r="D50" s="1289">
        <v>896356.05061000003</v>
      </c>
      <c r="E50" s="1289">
        <v>18</v>
      </c>
      <c r="F50" s="1289">
        <v>10253709.306</v>
      </c>
    </row>
    <row r="51" spans="1:6">
      <c r="A51" s="1288" t="s">
        <v>41</v>
      </c>
      <c r="B51" s="1288" t="s">
        <v>42</v>
      </c>
      <c r="C51" s="1289">
        <v>20</v>
      </c>
      <c r="D51" s="1289">
        <v>2320704.409</v>
      </c>
      <c r="E51" s="1289">
        <v>333</v>
      </c>
      <c r="F51" s="1289">
        <v>10174238.817</v>
      </c>
    </row>
    <row r="52" spans="1:6">
      <c r="A52" s="1288" t="s">
        <v>41</v>
      </c>
      <c r="B52" s="1288" t="s">
        <v>28</v>
      </c>
      <c r="C52" s="1289">
        <v>5</v>
      </c>
      <c r="D52" s="1289">
        <v>1760930.8369</v>
      </c>
      <c r="E52" s="1289">
        <v>5</v>
      </c>
      <c r="F52" s="1289">
        <v>128436.61843</v>
      </c>
    </row>
    <row r="53" spans="1:6">
      <c r="A53" s="1288" t="s">
        <v>43</v>
      </c>
      <c r="B53" s="1288" t="s">
        <v>44</v>
      </c>
      <c r="C53" s="1289">
        <v>84</v>
      </c>
      <c r="D53" s="1289">
        <v>1270955.3995000001</v>
      </c>
      <c r="E53" s="1289">
        <v>190</v>
      </c>
      <c r="F53" s="1289">
        <v>661610.53624000004</v>
      </c>
    </row>
    <row r="54" spans="1:6">
      <c r="A54" s="1288" t="s">
        <v>45</v>
      </c>
      <c r="B54" s="1288" t="s">
        <v>46</v>
      </c>
      <c r="C54" s="1289">
        <v>0</v>
      </c>
      <c r="D54" s="1289">
        <v>0</v>
      </c>
      <c r="E54" s="1289">
        <v>1</v>
      </c>
      <c r="F54" s="1289">
        <v>1024727</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56</v>
      </c>
      <c r="D57" s="1289">
        <v>4339227.4883000003</v>
      </c>
      <c r="E57" s="1289">
        <v>133</v>
      </c>
      <c r="F57" s="1289">
        <v>2561055.5521999998</v>
      </c>
    </row>
    <row r="58" spans="1:6">
      <c r="A58" s="1288" t="s">
        <v>48</v>
      </c>
      <c r="B58" s="1288" t="s">
        <v>50</v>
      </c>
      <c r="C58" s="1289">
        <v>18</v>
      </c>
      <c r="D58" s="1289">
        <v>2069860.9835999999</v>
      </c>
      <c r="E58" s="1289">
        <v>48</v>
      </c>
      <c r="F58" s="1289">
        <v>603613.13314000005</v>
      </c>
    </row>
    <row r="59" spans="1:6">
      <c r="A59" s="1288" t="s">
        <v>48</v>
      </c>
      <c r="B59" s="1288" t="s">
        <v>51</v>
      </c>
      <c r="C59" s="1289">
        <v>59</v>
      </c>
      <c r="D59" s="1289">
        <v>1778284.1529000001</v>
      </c>
      <c r="E59" s="1289">
        <v>176</v>
      </c>
      <c r="F59" s="1289">
        <v>5498190.1721000001</v>
      </c>
    </row>
    <row r="60" spans="1:6">
      <c r="A60" s="1288" t="s">
        <v>48</v>
      </c>
      <c r="B60" s="1288" t="s">
        <v>52</v>
      </c>
      <c r="C60" s="1289">
        <v>35</v>
      </c>
      <c r="D60" s="1289">
        <v>1425138.6106</v>
      </c>
      <c r="E60" s="1289">
        <v>64</v>
      </c>
      <c r="F60" s="1289">
        <v>1219315.3747</v>
      </c>
    </row>
    <row r="61" spans="1:6">
      <c r="A61" s="1288" t="s">
        <v>48</v>
      </c>
      <c r="B61" s="1288" t="s">
        <v>53</v>
      </c>
      <c r="C61" s="1289">
        <v>83</v>
      </c>
      <c r="D61" s="1289">
        <v>2248141.1582999998</v>
      </c>
      <c r="E61" s="1289">
        <v>187</v>
      </c>
      <c r="F61" s="1289">
        <v>2793239.8977999999</v>
      </c>
    </row>
    <row r="62" spans="1:6">
      <c r="A62" s="1288" t="s">
        <v>48</v>
      </c>
      <c r="B62" s="1288" t="s">
        <v>54</v>
      </c>
      <c r="C62" s="1289">
        <v>10</v>
      </c>
      <c r="D62" s="1289">
        <v>937950.22261000006</v>
      </c>
      <c r="E62" s="1289">
        <v>13</v>
      </c>
      <c r="F62" s="1289">
        <v>131709.73986</v>
      </c>
    </row>
    <row r="63" spans="1:6">
      <c r="A63" s="1288" t="s">
        <v>48</v>
      </c>
      <c r="B63" s="1288" t="s">
        <v>28</v>
      </c>
      <c r="C63" s="1289">
        <v>77</v>
      </c>
      <c r="D63" s="1289">
        <v>2983532.3056999999</v>
      </c>
      <c r="E63" s="1289">
        <v>90</v>
      </c>
      <c r="F63" s="1289">
        <v>1427092.2819000001</v>
      </c>
    </row>
    <row r="64" spans="1:6">
      <c r="A64" s="1288" t="s">
        <v>55</v>
      </c>
      <c r="B64" s="1288" t="s">
        <v>56</v>
      </c>
      <c r="C64" s="1289">
        <v>0</v>
      </c>
      <c r="D64" s="1289">
        <v>0</v>
      </c>
      <c r="E64" s="1289">
        <v>0</v>
      </c>
      <c r="F64" s="1289">
        <v>0</v>
      </c>
    </row>
    <row r="65" spans="1:6">
      <c r="A65" s="1288" t="s">
        <v>55</v>
      </c>
      <c r="B65" s="1288" t="s">
        <v>28</v>
      </c>
      <c r="C65" s="1289">
        <v>2</v>
      </c>
      <c r="D65" s="1289">
        <v>42848.065236000002</v>
      </c>
      <c r="E65" s="1289">
        <v>3</v>
      </c>
      <c r="F65" s="1289">
        <v>25726.623577999999</v>
      </c>
    </row>
    <row r="66" spans="1:6">
      <c r="A66" s="1288" t="s">
        <v>55</v>
      </c>
      <c r="B66" s="1288" t="s">
        <v>57</v>
      </c>
      <c r="C66" s="1289">
        <v>0</v>
      </c>
      <c r="D66" s="1289">
        <v>0</v>
      </c>
      <c r="E66" s="1289">
        <v>7</v>
      </c>
      <c r="F66" s="1289">
        <v>31498.789292000001</v>
      </c>
    </row>
    <row r="67" spans="1:6">
      <c r="A67" s="1288" t="s">
        <v>55</v>
      </c>
      <c r="B67" s="1288" t="s">
        <v>58</v>
      </c>
      <c r="C67" s="1289">
        <v>0</v>
      </c>
      <c r="D67" s="1289">
        <v>0</v>
      </c>
      <c r="E67" s="1289">
        <v>0</v>
      </c>
      <c r="F67" s="1289">
        <v>0</v>
      </c>
    </row>
    <row r="68" spans="1:6">
      <c r="A68" s="1283" t="s">
        <v>55</v>
      </c>
      <c r="B68" s="1283" t="s">
        <v>59</v>
      </c>
      <c r="C68" s="1291">
        <v>7</v>
      </c>
      <c r="D68" s="1291">
        <v>172157.95692999999</v>
      </c>
      <c r="E68" s="1291">
        <v>20</v>
      </c>
      <c r="F68" s="1291">
        <v>309912.97476999997</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33140518</v>
      </c>
      <c r="E73" s="441"/>
      <c r="F73" s="324"/>
    </row>
    <row r="74" spans="1:6">
      <c r="A74" s="1288" t="s">
        <v>63</v>
      </c>
      <c r="B74" s="1288" t="s">
        <v>651</v>
      </c>
      <c r="C74" s="1301" t="s">
        <v>653</v>
      </c>
      <c r="D74" s="1289">
        <v>3706737.2760921242</v>
      </c>
      <c r="E74" s="441"/>
      <c r="F74" s="324"/>
    </row>
    <row r="75" spans="1:6">
      <c r="A75" s="1288" t="s">
        <v>64</v>
      </c>
      <c r="B75" s="1288" t="s">
        <v>650</v>
      </c>
      <c r="C75" s="1301" t="s">
        <v>654</v>
      </c>
      <c r="D75" s="1289">
        <v>18708021</v>
      </c>
      <c r="E75" s="441"/>
      <c r="F75" s="324"/>
    </row>
    <row r="76" spans="1:6">
      <c r="A76" s="1288" t="s">
        <v>64</v>
      </c>
      <c r="B76" s="1288" t="s">
        <v>651</v>
      </c>
      <c r="C76" s="1301" t="s">
        <v>655</v>
      </c>
      <c r="D76" s="1289">
        <v>959457.27609212429</v>
      </c>
      <c r="E76" s="441"/>
      <c r="F76" s="324"/>
    </row>
    <row r="77" spans="1:6">
      <c r="A77" s="1288" t="s">
        <v>65</v>
      </c>
      <c r="B77" s="1288" t="s">
        <v>650</v>
      </c>
      <c r="C77" s="1301" t="s">
        <v>656</v>
      </c>
      <c r="D77" s="1289">
        <v>10441879</v>
      </c>
      <c r="E77" s="441"/>
      <c r="F77" s="324"/>
    </row>
    <row r="78" spans="1:6">
      <c r="A78" s="1283" t="s">
        <v>65</v>
      </c>
      <c r="B78" s="1283" t="s">
        <v>651</v>
      </c>
      <c r="C78" s="1283" t="s">
        <v>657</v>
      </c>
      <c r="D78" s="1291">
        <v>1494331</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182047.44781575142</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4216.2593944315577</v>
      </c>
      <c r="C91" s="324"/>
      <c r="D91" s="324"/>
      <c r="E91" s="324"/>
      <c r="F91" s="324"/>
    </row>
    <row r="92" spans="1:6">
      <c r="A92" s="1283" t="s">
        <v>68</v>
      </c>
      <c r="B92" s="1284">
        <v>3813.3602872490219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1717</v>
      </c>
      <c r="C97" s="324"/>
      <c r="D97" s="324"/>
      <c r="E97" s="324"/>
      <c r="F97" s="324"/>
    </row>
    <row r="98" spans="1:6">
      <c r="A98" s="1288" t="s">
        <v>71</v>
      </c>
      <c r="B98" s="1289">
        <v>0</v>
      </c>
      <c r="C98" s="324"/>
      <c r="D98" s="324"/>
      <c r="E98" s="324"/>
      <c r="F98" s="324"/>
    </row>
    <row r="99" spans="1:6">
      <c r="A99" s="1288" t="s">
        <v>72</v>
      </c>
      <c r="B99" s="1289">
        <v>325</v>
      </c>
      <c r="C99" s="324"/>
      <c r="D99" s="324"/>
      <c r="E99" s="324"/>
      <c r="F99" s="324"/>
    </row>
    <row r="100" spans="1:6">
      <c r="A100" s="1288" t="s">
        <v>73</v>
      </c>
      <c r="B100" s="1289">
        <v>430</v>
      </c>
      <c r="C100" s="324"/>
      <c r="D100" s="324"/>
      <c r="E100" s="324"/>
      <c r="F100" s="324"/>
    </row>
    <row r="101" spans="1:6">
      <c r="A101" s="1288" t="s">
        <v>74</v>
      </c>
      <c r="B101" s="1289">
        <v>213</v>
      </c>
      <c r="C101" s="324"/>
      <c r="D101" s="324"/>
      <c r="E101" s="324"/>
      <c r="F101" s="324"/>
    </row>
    <row r="102" spans="1:6">
      <c r="A102" s="1288" t="s">
        <v>75</v>
      </c>
      <c r="B102" s="1289">
        <v>98</v>
      </c>
      <c r="C102" s="324"/>
      <c r="D102" s="324"/>
      <c r="E102" s="324"/>
      <c r="F102" s="324"/>
    </row>
    <row r="103" spans="1:6">
      <c r="A103" s="1288" t="s">
        <v>76</v>
      </c>
      <c r="B103" s="1289">
        <v>235</v>
      </c>
      <c r="C103" s="324"/>
      <c r="D103" s="324"/>
      <c r="E103" s="324"/>
      <c r="F103" s="324"/>
    </row>
    <row r="104" spans="1:6">
      <c r="A104" s="1288" t="s">
        <v>77</v>
      </c>
      <c r="B104" s="1289">
        <v>1832</v>
      </c>
      <c r="C104" s="324"/>
      <c r="D104" s="324"/>
      <c r="E104" s="324"/>
      <c r="F104" s="324"/>
    </row>
    <row r="105" spans="1:6">
      <c r="A105" s="1283" t="s">
        <v>78</v>
      </c>
      <c r="B105" s="1291">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1</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18</v>
      </c>
      <c r="C123" s="1289">
        <v>24</v>
      </c>
      <c r="D123" s="324"/>
      <c r="E123" s="324"/>
      <c r="F123" s="324"/>
    </row>
    <row r="124" spans="1:6">
      <c r="A124" s="1288" t="s">
        <v>88</v>
      </c>
      <c r="B124" s="1289">
        <v>0</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139</v>
      </c>
      <c r="C129" s="324"/>
      <c r="D129" s="324"/>
      <c r="E129" s="324"/>
      <c r="F129" s="324"/>
    </row>
    <row r="130" spans="1:6">
      <c r="A130" s="1288" t="s">
        <v>284</v>
      </c>
      <c r="B130" s="1289">
        <v>4</v>
      </c>
      <c r="C130" s="324"/>
      <c r="D130" s="324"/>
      <c r="E130" s="324"/>
      <c r="F130" s="324"/>
    </row>
    <row r="131" spans="1:6">
      <c r="A131" s="1288" t="s">
        <v>285</v>
      </c>
      <c r="B131" s="1289">
        <v>0</v>
      </c>
      <c r="C131" s="324"/>
      <c r="D131" s="324"/>
      <c r="E131" s="324"/>
      <c r="F131" s="324"/>
    </row>
    <row r="132" spans="1:6">
      <c r="A132" s="1283" t="s">
        <v>286</v>
      </c>
      <c r="B132" s="1284">
        <v>15</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81387.143772366559</v>
      </c>
      <c r="C3" s="43" t="s">
        <v>163</v>
      </c>
      <c r="D3" s="43"/>
      <c r="E3" s="154"/>
      <c r="F3" s="43"/>
      <c r="G3" s="43"/>
      <c r="H3" s="43"/>
      <c r="I3" s="43"/>
      <c r="J3" s="43"/>
      <c r="K3" s="96"/>
    </row>
    <row r="4" spans="1:11">
      <c r="A4" s="350" t="s">
        <v>164</v>
      </c>
      <c r="B4" s="49">
        <f>IF(ISERROR('SEAP template'!B78+'SEAP template'!C78),0,'SEAP template'!B78+'SEAP template'!C78)</f>
        <v>8029.6196816805796</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0.19919623754564147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1024.7270000000001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1024.7270000000001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0.19919623754564147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204.12176291143257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21227.075860000001</v>
      </c>
      <c r="C5" s="17">
        <f>IF(ISERROR('Eigen informatie GS &amp; warmtenet'!B57),0,'Eigen informatie GS &amp; warmtenet'!B57)</f>
        <v>0</v>
      </c>
      <c r="D5" s="30">
        <f>(SUM(HH_hh_gas_kWh,HH_rest_gas_kWh)/1000)*0.902</f>
        <v>40778.483827994285</v>
      </c>
      <c r="E5" s="17">
        <f>B32*B41</f>
        <v>1492.4991150350791</v>
      </c>
      <c r="F5" s="17">
        <f>B36*B45</f>
        <v>40578.09672737863</v>
      </c>
      <c r="G5" s="18"/>
      <c r="H5" s="17"/>
      <c r="I5" s="17"/>
      <c r="J5" s="17">
        <f>B35*B44+C35*C44</f>
        <v>748.33258119473408</v>
      </c>
      <c r="K5" s="17"/>
      <c r="L5" s="17"/>
      <c r="M5" s="17"/>
      <c r="N5" s="17">
        <f>B34*B43+C34*C43</f>
        <v>7673.9895015983693</v>
      </c>
      <c r="O5" s="17">
        <f>B52*B53*B54</f>
        <v>254.82333333333335</v>
      </c>
      <c r="P5" s="17">
        <f>B60*B61*B62/1000-B60*B61*B62/1000/B63</f>
        <v>629.20000000000005</v>
      </c>
    </row>
    <row r="6" spans="1:16">
      <c r="A6" s="16" t="s">
        <v>611</v>
      </c>
      <c r="B6" s="754">
        <f>kWh_PV_kleiner_dan_10kW</f>
        <v>4216.2593944315577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25443.335254431557</v>
      </c>
      <c r="C8" s="21">
        <f>C5</f>
        <v>0</v>
      </c>
      <c r="D8" s="21">
        <f>D5</f>
        <v>40778.483827994285</v>
      </c>
      <c r="E8" s="21">
        <f>E5</f>
        <v>1492.4991150350791</v>
      </c>
      <c r="F8" s="21">
        <f>F5</f>
        <v>40578.09672737863</v>
      </c>
      <c r="G8" s="21"/>
      <c r="H8" s="21"/>
      <c r="I8" s="21"/>
      <c r="J8" s="21">
        <f>J5</f>
        <v>748.33258119473408</v>
      </c>
      <c r="K8" s="21"/>
      <c r="L8" s="21">
        <f>L5</f>
        <v>0</v>
      </c>
      <c r="M8" s="21">
        <f>M5</f>
        <v>0</v>
      </c>
      <c r="N8" s="21">
        <f>N5</f>
        <v>7673.9895015983693</v>
      </c>
      <c r="O8" s="21">
        <f>O5</f>
        <v>254.82333333333335</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0.19919623754564147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5068.2166532951424</v>
      </c>
      <c r="C12" s="23">
        <f ca="1">C10*C8</f>
        <v>0</v>
      </c>
      <c r="D12" s="23">
        <f>D8*D10</f>
        <v>8237.2537332548454</v>
      </c>
      <c r="E12" s="23">
        <f>E10*E8</f>
        <v>338.79729911296295</v>
      </c>
      <c r="F12" s="23">
        <f>F10*F8</f>
        <v>10834.351826210095</v>
      </c>
      <c r="G12" s="23"/>
      <c r="H12" s="23"/>
      <c r="I12" s="23"/>
      <c r="J12" s="23">
        <f>J10*J8</f>
        <v>264.90973374293583</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5677</v>
      </c>
      <c r="C26" s="36"/>
      <c r="D26" s="225"/>
    </row>
    <row r="27" spans="1:5" s="15" customFormat="1">
      <c r="A27" s="227" t="s">
        <v>680</v>
      </c>
      <c r="B27" s="37">
        <f>SUM(HH_hh_gas_aantal,HH_rest_gas_aantal)</f>
        <v>2958</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2810.1</v>
      </c>
      <c r="C31" s="34" t="s">
        <v>104</v>
      </c>
      <c r="D31" s="171"/>
    </row>
    <row r="32" spans="1:5">
      <c r="A32" s="168" t="s">
        <v>72</v>
      </c>
      <c r="B32" s="33">
        <f>IF((B21*($B$26-($B$27-0.05*$B$27)-$B$60))&lt;0,0,B21*($B$26-($B$27-0.05*$B$27)-$B$60))</f>
        <v>18.288366296925616</v>
      </c>
      <c r="C32" s="34" t="s">
        <v>104</v>
      </c>
      <c r="D32" s="171"/>
    </row>
    <row r="33" spans="1:6">
      <c r="A33" s="168" t="s">
        <v>73</v>
      </c>
      <c r="B33" s="33">
        <f>IF((B22*($B$26-($B$27-0.05*$B$27)-$B$60))&lt;0,0,B22*($B$26-($B$27-0.05*$B$27)-$B$60))</f>
        <v>636.86735087239185</v>
      </c>
      <c r="C33" s="34" t="s">
        <v>104</v>
      </c>
      <c r="D33" s="171"/>
    </row>
    <row r="34" spans="1:6">
      <c r="A34" s="168" t="s">
        <v>74</v>
      </c>
      <c r="B34" s="33">
        <f>IF((B24*($B$26-($B$27-0.05*$B$27)-$B$60))&lt;0,0,B24*($B$26-($B$27-0.05*$B$27)-$B$60))</f>
        <v>126.46880543366861</v>
      </c>
      <c r="C34" s="33">
        <f>B26*C24</f>
        <v>1161.8681064432235</v>
      </c>
      <c r="D34" s="230"/>
    </row>
    <row r="35" spans="1:6">
      <c r="A35" s="168" t="s">
        <v>76</v>
      </c>
      <c r="B35" s="33">
        <f>IF((B19*($B$26-($B$27-0.05*$B$27)-$B$60))&lt;0,0,B19*($B$26-($B$27-0.05*$B$27)-$B$60))</f>
        <v>61.761088490445488</v>
      </c>
      <c r="C35" s="33">
        <f>B35/2</f>
        <v>30.880544245222744</v>
      </c>
      <c r="D35" s="230"/>
    </row>
    <row r="36" spans="1:6">
      <c r="A36" s="168" t="s">
        <v>77</v>
      </c>
      <c r="B36" s="33">
        <f>IF((B18*($B$26-($B$27-0.05*$B$27)-$B$60))&lt;0,0,B18*($B$26-($B$27-0.05*$B$27)-$B$60))</f>
        <v>1990.5143889065694</v>
      </c>
      <c r="C36" s="34" t="s">
        <v>104</v>
      </c>
      <c r="D36" s="171"/>
    </row>
    <row r="37" spans="1:6">
      <c r="A37" s="168" t="s">
        <v>78</v>
      </c>
      <c r="B37" s="33">
        <f>B60</f>
        <v>33</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163</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33</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14234.2161517</v>
      </c>
      <c r="C5" s="17">
        <f>IF(ISERROR('Eigen informatie GS &amp; warmtenet'!B58),0,'Eigen informatie GS &amp; warmtenet'!B58)</f>
        <v>0</v>
      </c>
      <c r="D5" s="30">
        <f>SUM(D6:D12)</f>
        <v>14235.485699653022</v>
      </c>
      <c r="E5" s="17">
        <f>SUM(E6:E12)</f>
        <v>279.73673004048152</v>
      </c>
      <c r="F5" s="17">
        <f>SUM(F6:F12)</f>
        <v>3434.4730290639145</v>
      </c>
      <c r="G5" s="18"/>
      <c r="H5" s="17"/>
      <c r="I5" s="17"/>
      <c r="J5" s="17">
        <f>SUM(J6:J12)</f>
        <v>0</v>
      </c>
      <c r="K5" s="17"/>
      <c r="L5" s="17"/>
      <c r="M5" s="17"/>
      <c r="N5" s="17">
        <f>SUM(N6:N12)</f>
        <v>2161.1700797835178</v>
      </c>
      <c r="O5" s="17">
        <f>B38*B39*B40</f>
        <v>6.2533333333333339</v>
      </c>
      <c r="P5" s="17">
        <f>B46*B47*B48/1000-B46*B47*B48/1000/B49</f>
        <v>0</v>
      </c>
      <c r="R5" s="32"/>
    </row>
    <row r="6" spans="1:18">
      <c r="A6" s="32" t="s">
        <v>53</v>
      </c>
      <c r="B6" s="37">
        <f>B26</f>
        <v>2793.2398978000001</v>
      </c>
      <c r="C6" s="33"/>
      <c r="D6" s="37">
        <f>IF(ISERROR(TER_kantoor_gas_kWh/1000),0,TER_kantoor_gas_kWh/1000)*0.902</f>
        <v>2027.8233247865999</v>
      </c>
      <c r="E6" s="33">
        <f>$C$26*'E Balans VL '!I12/100/3.6*1000000</f>
        <v>36.566951034830211</v>
      </c>
      <c r="F6" s="33">
        <f>$C$26*('E Balans VL '!L12+'E Balans VL '!N12)/100/3.6*1000000</f>
        <v>712.24730967611765</v>
      </c>
      <c r="G6" s="34"/>
      <c r="H6" s="33"/>
      <c r="I6" s="33"/>
      <c r="J6" s="33">
        <f>$C$26*('E Balans VL '!D12+'E Balans VL '!E12)/100/3.6*1000000</f>
        <v>0</v>
      </c>
      <c r="K6" s="33"/>
      <c r="L6" s="33"/>
      <c r="M6" s="33"/>
      <c r="N6" s="33">
        <f>$C$26*'E Balans VL '!Y12/100/3.6*1000000</f>
        <v>2.8026459835420652</v>
      </c>
      <c r="O6" s="33"/>
      <c r="P6" s="33"/>
      <c r="R6" s="32"/>
    </row>
    <row r="7" spans="1:18">
      <c r="A7" s="32" t="s">
        <v>52</v>
      </c>
      <c r="B7" s="37">
        <f t="shared" ref="B7:B12" si="0">B27</f>
        <v>1219.3153747000001</v>
      </c>
      <c r="C7" s="33"/>
      <c r="D7" s="37">
        <f>IF(ISERROR(TER_horeca_gas_kWh/1000),0,TER_horeca_gas_kWh/1000)*0.902</f>
        <v>1285.4750267612001</v>
      </c>
      <c r="E7" s="33">
        <f>$C$27*'E Balans VL '!I9/100/3.6*1000000</f>
        <v>40.351922055950794</v>
      </c>
      <c r="F7" s="33">
        <f>$C$27*('E Balans VL '!L9+'E Balans VL '!N9)/100/3.6*1000000</f>
        <v>524.30093813845394</v>
      </c>
      <c r="G7" s="34"/>
      <c r="H7" s="33"/>
      <c r="I7" s="33"/>
      <c r="J7" s="33">
        <f>$C$27*('E Balans VL '!D9+'E Balans VL '!E9)/100/3.6*1000000</f>
        <v>0</v>
      </c>
      <c r="K7" s="33"/>
      <c r="L7" s="33"/>
      <c r="M7" s="33"/>
      <c r="N7" s="33">
        <f>$C$27*'E Balans VL '!Y9/100/3.6*1000000</f>
        <v>0.29350691709264687</v>
      </c>
      <c r="O7" s="33"/>
      <c r="P7" s="33"/>
      <c r="R7" s="32"/>
    </row>
    <row r="8" spans="1:18">
      <c r="A8" s="6" t="s">
        <v>51</v>
      </c>
      <c r="B8" s="37">
        <f t="shared" si="0"/>
        <v>5498.1901721000004</v>
      </c>
      <c r="C8" s="33"/>
      <c r="D8" s="37">
        <f>IF(ISERROR(TER_handel_gas_kWh/1000),0,TER_handel_gas_kWh/1000)*0.902</f>
        <v>1604.0123059158002</v>
      </c>
      <c r="E8" s="33">
        <f>$C$28*'E Balans VL '!I13/100/3.6*1000000</f>
        <v>173.53128281599035</v>
      </c>
      <c r="F8" s="33">
        <f>$C$28*('E Balans VL '!L13+'E Balans VL '!N13)/100/3.6*1000000</f>
        <v>1078.2919098668012</v>
      </c>
      <c r="G8" s="34"/>
      <c r="H8" s="33"/>
      <c r="I8" s="33"/>
      <c r="J8" s="33">
        <f>$C$28*('E Balans VL '!D13+'E Balans VL '!E13)/100/3.6*1000000</f>
        <v>0</v>
      </c>
      <c r="K8" s="33"/>
      <c r="L8" s="33"/>
      <c r="M8" s="33"/>
      <c r="N8" s="33">
        <f>$C$28*'E Balans VL '!Y13/100/3.6*1000000</f>
        <v>6.5252842737654291</v>
      </c>
      <c r="O8" s="33"/>
      <c r="P8" s="33"/>
      <c r="R8" s="32"/>
    </row>
    <row r="9" spans="1:18">
      <c r="A9" s="32" t="s">
        <v>50</v>
      </c>
      <c r="B9" s="37">
        <f t="shared" si="0"/>
        <v>603.61313314000006</v>
      </c>
      <c r="C9" s="33"/>
      <c r="D9" s="37">
        <f>IF(ISERROR(TER_gezond_gas_kWh/1000),0,TER_gezond_gas_kWh/1000)*0.902</f>
        <v>1867.0146072072</v>
      </c>
      <c r="E9" s="33">
        <f>$C$29*'E Balans VL '!I10/100/3.6*1000000</f>
        <v>7.7280139352325208E-2</v>
      </c>
      <c r="F9" s="33">
        <f>$C$29*('E Balans VL '!L10+'E Balans VL '!N10)/100/3.6*1000000</f>
        <v>125.75791537802608</v>
      </c>
      <c r="G9" s="34"/>
      <c r="H9" s="33"/>
      <c r="I9" s="33"/>
      <c r="J9" s="33">
        <f>$C$29*('E Balans VL '!D10+'E Balans VL '!E10)/100/3.6*1000000</f>
        <v>0</v>
      </c>
      <c r="K9" s="33"/>
      <c r="L9" s="33"/>
      <c r="M9" s="33"/>
      <c r="N9" s="33">
        <f>$C$29*'E Balans VL '!Y10/100/3.6*1000000</f>
        <v>7.089721553803888</v>
      </c>
      <c r="O9" s="33"/>
      <c r="P9" s="33"/>
      <c r="R9" s="32"/>
    </row>
    <row r="10" spans="1:18">
      <c r="A10" s="32" t="s">
        <v>49</v>
      </c>
      <c r="B10" s="37">
        <f t="shared" si="0"/>
        <v>2561.0555522</v>
      </c>
      <c r="C10" s="33"/>
      <c r="D10" s="37">
        <f>IF(ISERROR(TER_ander_gas_kWh/1000),0,TER_ander_gas_kWh/1000)*0.902</f>
        <v>3913.9831944466</v>
      </c>
      <c r="E10" s="33">
        <f>$C$30*'E Balans VL '!I14/100/3.6*1000000</f>
        <v>3.8512252783741694</v>
      </c>
      <c r="F10" s="33">
        <f>$C$30*('E Balans VL '!L14+'E Balans VL '!N14)/100/3.6*1000000</f>
        <v>565.39851133217223</v>
      </c>
      <c r="G10" s="34"/>
      <c r="H10" s="33"/>
      <c r="I10" s="33"/>
      <c r="J10" s="33">
        <f>$C$30*('E Balans VL '!D14+'E Balans VL '!E14)/100/3.6*1000000</f>
        <v>0</v>
      </c>
      <c r="K10" s="33"/>
      <c r="L10" s="33"/>
      <c r="M10" s="33"/>
      <c r="N10" s="33">
        <f>$C$30*'E Balans VL '!Y14/100/3.6*1000000</f>
        <v>2018.2841276739257</v>
      </c>
      <c r="O10" s="33"/>
      <c r="P10" s="33"/>
      <c r="R10" s="32"/>
    </row>
    <row r="11" spans="1:18">
      <c r="A11" s="32" t="s">
        <v>54</v>
      </c>
      <c r="B11" s="37">
        <f t="shared" si="0"/>
        <v>131.70973986000001</v>
      </c>
      <c r="C11" s="33"/>
      <c r="D11" s="37">
        <f>IF(ISERROR(TER_onderwijs_gas_kWh/1000),0,TER_onderwijs_gas_kWh/1000)*0.902</f>
        <v>846.03110079422015</v>
      </c>
      <c r="E11" s="33">
        <f>$C$31*'E Balans VL '!I11/100/3.6*1000000</f>
        <v>0.23195188913150855</v>
      </c>
      <c r="F11" s="33">
        <f>$C$31*('E Balans VL '!L11+'E Balans VL '!N11)/100/3.6*1000000</f>
        <v>60.812770177162996</v>
      </c>
      <c r="G11" s="34"/>
      <c r="H11" s="33"/>
      <c r="I11" s="33"/>
      <c r="J11" s="33">
        <f>$C$31*('E Balans VL '!D11+'E Balans VL '!E11)/100/3.6*1000000</f>
        <v>0</v>
      </c>
      <c r="K11" s="33"/>
      <c r="L11" s="33"/>
      <c r="M11" s="33"/>
      <c r="N11" s="33">
        <f>$C$31*'E Balans VL '!Y11/100/3.6*1000000</f>
        <v>0.2453770667440266</v>
      </c>
      <c r="O11" s="33"/>
      <c r="P11" s="33"/>
      <c r="R11" s="32"/>
    </row>
    <row r="12" spans="1:18">
      <c r="A12" s="32" t="s">
        <v>249</v>
      </c>
      <c r="B12" s="37">
        <f t="shared" si="0"/>
        <v>1427.0922819</v>
      </c>
      <c r="C12" s="33"/>
      <c r="D12" s="37">
        <f>IF(ISERROR(TER_rest_gas_kWh/1000),0,TER_rest_gas_kWh/1000)*0.902</f>
        <v>2691.1461397414</v>
      </c>
      <c r="E12" s="33">
        <f>$C$32*'E Balans VL '!I8/100/3.6*1000000</f>
        <v>25.126116826852162</v>
      </c>
      <c r="F12" s="33">
        <f>$C$32*('E Balans VL '!L8+'E Balans VL '!N8)/100/3.6*1000000</f>
        <v>367.66367449517969</v>
      </c>
      <c r="G12" s="34"/>
      <c r="H12" s="33"/>
      <c r="I12" s="33"/>
      <c r="J12" s="33">
        <f>$C$32*('E Balans VL '!D8+'E Balans VL '!E8)/100/3.6*1000000</f>
        <v>0</v>
      </c>
      <c r="K12" s="33"/>
      <c r="L12" s="33"/>
      <c r="M12" s="33"/>
      <c r="N12" s="33">
        <f>$C$32*'E Balans VL '!Y8/100/3.6*1000000</f>
        <v>125.92941631464429</v>
      </c>
      <c r="O12" s="33"/>
      <c r="P12" s="33"/>
      <c r="R12" s="32"/>
    </row>
    <row r="13" spans="1:18">
      <c r="A13" s="16" t="s">
        <v>478</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14234.2161517</v>
      </c>
      <c r="C16" s="21">
        <f t="shared" ca="1" si="1"/>
        <v>0</v>
      </c>
      <c r="D16" s="21">
        <f t="shared" ca="1" si="1"/>
        <v>14235.485699653022</v>
      </c>
      <c r="E16" s="21">
        <f t="shared" si="1"/>
        <v>279.73673004048152</v>
      </c>
      <c r="F16" s="21">
        <f t="shared" ca="1" si="1"/>
        <v>3434.4730290639145</v>
      </c>
      <c r="G16" s="21">
        <f t="shared" si="1"/>
        <v>0</v>
      </c>
      <c r="H16" s="21">
        <f t="shared" si="1"/>
        <v>0</v>
      </c>
      <c r="I16" s="21">
        <f t="shared" si="1"/>
        <v>0</v>
      </c>
      <c r="J16" s="21">
        <f t="shared" si="1"/>
        <v>0</v>
      </c>
      <c r="K16" s="21">
        <f t="shared" si="1"/>
        <v>0</v>
      </c>
      <c r="L16" s="21">
        <f t="shared" ca="1" si="1"/>
        <v>0</v>
      </c>
      <c r="M16" s="21">
        <f t="shared" si="1"/>
        <v>0</v>
      </c>
      <c r="N16" s="21">
        <f t="shared" ca="1" si="1"/>
        <v>2161.1700797835178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0.19919623754564147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2835.40230183004</v>
      </c>
      <c r="C20" s="23">
        <f t="shared" ref="C20:P20" ca="1" si="2">C16*C18</f>
        <v>0</v>
      </c>
      <c r="D20" s="23">
        <f t="shared" ca="1" si="2"/>
        <v>2875.5681113299106</v>
      </c>
      <c r="E20" s="23">
        <f t="shared" si="2"/>
        <v>63.500237719189307</v>
      </c>
      <c r="F20" s="23">
        <f t="shared" ca="1" si="2"/>
        <v>917.00429876006524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2793.2398978000001</v>
      </c>
      <c r="C26" s="39">
        <f>IF(ISERROR(B26*3.6/1000000/'E Balans VL '!Z12*100),0,B26*3.6/1000000/'E Balans VL '!Z12*100)</f>
        <v>5.9833368594454456E-2</v>
      </c>
      <c r="D26" s="233" t="s">
        <v>646</v>
      </c>
      <c r="F26" s="6"/>
    </row>
    <row r="27" spans="1:18">
      <c r="A27" s="228" t="s">
        <v>52</v>
      </c>
      <c r="B27" s="33">
        <f>IF(ISERROR(TER_horeca_ele_kWh/1000),0,TER_horeca_ele_kWh/1000)</f>
        <v>1219.3153747000001</v>
      </c>
      <c r="C27" s="39">
        <f>IF(ISERROR(B27*3.6/1000000/'E Balans VL '!Z9*100),0,B27*3.6/1000000/'E Balans VL '!Z9*100)</f>
        <v>9.7845820522693541E-2</v>
      </c>
      <c r="D27" s="233" t="s">
        <v>646</v>
      </c>
      <c r="F27" s="6"/>
    </row>
    <row r="28" spans="1:18">
      <c r="A28" s="168" t="s">
        <v>51</v>
      </c>
      <c r="B28" s="33">
        <f>IF(ISERROR(TER_handel_ele_kWh/1000),0,TER_handel_ele_kWh/1000)</f>
        <v>5498.1901721000004</v>
      </c>
      <c r="C28" s="39">
        <f>IF(ISERROR(B28*3.6/1000000/'E Balans VL '!Z13*100),0,B28*3.6/1000000/'E Balans VL '!Z13*100)</f>
        <v>0.16216507371600608</v>
      </c>
      <c r="D28" s="233" t="s">
        <v>646</v>
      </c>
      <c r="F28" s="6"/>
    </row>
    <row r="29" spans="1:18">
      <c r="A29" s="228" t="s">
        <v>50</v>
      </c>
      <c r="B29" s="33">
        <f>IF(ISERROR(TER_gezond_ele_kWh/1000),0,TER_gezond_ele_kWh/1000)</f>
        <v>603.61313314000006</v>
      </c>
      <c r="C29" s="39">
        <f>IF(ISERROR(B29*3.6/1000000/'E Balans VL '!Z10*100),0,B29*3.6/1000000/'E Balans VL '!Z10*100)</f>
        <v>6.4449699144377204E-2</v>
      </c>
      <c r="D29" s="233" t="s">
        <v>646</v>
      </c>
      <c r="F29" s="6"/>
    </row>
    <row r="30" spans="1:18">
      <c r="A30" s="228" t="s">
        <v>49</v>
      </c>
      <c r="B30" s="33">
        <f>IF(ISERROR(TER_ander_ele_kWh/1000),0,TER_ander_ele_kWh/1000)</f>
        <v>2561.0555522</v>
      </c>
      <c r="C30" s="39">
        <f>IF(ISERROR(B30*3.6/1000000/'E Balans VL '!Z14*100),0,B30*3.6/1000000/'E Balans VL '!Z14*100)</f>
        <v>0.19344658271715923</v>
      </c>
      <c r="D30" s="233" t="s">
        <v>646</v>
      </c>
      <c r="F30" s="6"/>
    </row>
    <row r="31" spans="1:18">
      <c r="A31" s="228" t="s">
        <v>54</v>
      </c>
      <c r="B31" s="33">
        <f>IF(ISERROR(TER_onderwijs_ele_kWh/1000),0,TER_onderwijs_ele_kWh/1000)</f>
        <v>131.70973986000001</v>
      </c>
      <c r="C31" s="39">
        <f>IF(ISERROR(B31*3.6/1000000/'E Balans VL '!Z11*100),0,B31*3.6/1000000/'E Balans VL '!Z11*100)</f>
        <v>2.659659328852268E-2</v>
      </c>
      <c r="D31" s="233" t="s">
        <v>646</v>
      </c>
    </row>
    <row r="32" spans="1:18">
      <c r="A32" s="228" t="s">
        <v>249</v>
      </c>
      <c r="B32" s="33">
        <f>IF(ISERROR(TER_rest_ele_kWh/1000),0,TER_rest_ele_kWh/1000)</f>
        <v>1427.0922819</v>
      </c>
      <c r="C32" s="39">
        <f>IF(ISERROR(B32*3.6/1000000/'E Balans VL '!Z8*100),0,B32*3.6/1000000/'E Balans VL '!Z8*100)</f>
        <v>1.1832582228617562E-2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0</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29700.605316692003</v>
      </c>
      <c r="C5" s="17">
        <f>IF(ISERROR('Eigen informatie GS &amp; warmtenet'!B59),0,'Eigen informatie GS &amp; warmtenet'!B59)</f>
        <v>0</v>
      </c>
      <c r="D5" s="30">
        <f>SUM(D6:D15)</f>
        <v>44996.750253041624</v>
      </c>
      <c r="E5" s="17">
        <f>SUM(E6:E15)</f>
        <v>1789.6045363657281</v>
      </c>
      <c r="F5" s="17">
        <f>SUM(F6:F15)</f>
        <v>10640.825288261214</v>
      </c>
      <c r="G5" s="18"/>
      <c r="H5" s="17"/>
      <c r="I5" s="17"/>
      <c r="J5" s="17">
        <f>SUM(J6:J15)</f>
        <v>99.07827804345628</v>
      </c>
      <c r="K5" s="17"/>
      <c r="L5" s="17"/>
      <c r="M5" s="17"/>
      <c r="N5" s="17">
        <f>SUM(N6:N15)</f>
        <v>5098.2572180971547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9332.9292280999998</v>
      </c>
      <c r="C8" s="33"/>
      <c r="D8" s="37">
        <f>IF( ISERROR(IND_metaal_Gas_kWH/1000),0,IND_metaal_Gas_kWH/1000)*0.902</f>
        <v>4876.0812168552002</v>
      </c>
      <c r="E8" s="33">
        <f>C30*'E Balans VL '!I18/100/3.6*1000000</f>
        <v>335.82702765188122</v>
      </c>
      <c r="F8" s="33">
        <f>C30*'E Balans VL '!L18/100/3.6*1000000+C30*'E Balans VL '!N18/100/3.6*1000000</f>
        <v>4075.3876528960436</v>
      </c>
      <c r="G8" s="34"/>
      <c r="H8" s="33"/>
      <c r="I8" s="33"/>
      <c r="J8" s="40">
        <f>C30*'E Balans VL '!D18/100/3.6*1000000+C30*'E Balans VL '!E18/100/3.6*1000000</f>
        <v>0</v>
      </c>
      <c r="K8" s="33"/>
      <c r="L8" s="33"/>
      <c r="M8" s="33"/>
      <c r="N8" s="33">
        <f>C30*'E Balans VL '!Y18/100/3.6*1000000</f>
        <v>467.76007051492354</v>
      </c>
      <c r="O8" s="33"/>
      <c r="P8" s="33"/>
      <c r="R8" s="32"/>
    </row>
    <row r="9" spans="1:18">
      <c r="A9" s="6" t="s">
        <v>32</v>
      </c>
      <c r="B9" s="37">
        <f t="shared" si="0"/>
        <v>3412.6182331</v>
      </c>
      <c r="C9" s="33"/>
      <c r="D9" s="37">
        <f>IF( ISERROR(IND_andere_gas_kWh/1000),0,IND_andere_gas_kWh/1000)*0.902</f>
        <v>2837.0053976902</v>
      </c>
      <c r="E9" s="33">
        <f>C31*'E Balans VL '!I19/100/3.6*1000000</f>
        <v>870.82296043695032</v>
      </c>
      <c r="F9" s="33">
        <f>C31*'E Balans VL '!L19/100/3.6*1000000+C31*'E Balans VL '!N19/100/3.6*1000000</f>
        <v>2938.0077963407457</v>
      </c>
      <c r="G9" s="34"/>
      <c r="H9" s="33"/>
      <c r="I9" s="33"/>
      <c r="J9" s="40">
        <f>C31*'E Balans VL '!D19/100/3.6*1000000+C31*'E Balans VL '!E19/100/3.6*1000000</f>
        <v>0</v>
      </c>
      <c r="K9" s="33"/>
      <c r="L9" s="33"/>
      <c r="M9" s="33"/>
      <c r="N9" s="33">
        <f>C31*'E Balans VL '!Y19/100/3.6*1000000</f>
        <v>269.21564510118554</v>
      </c>
      <c r="O9" s="33"/>
      <c r="P9" s="33"/>
      <c r="R9" s="32"/>
    </row>
    <row r="10" spans="1:18">
      <c r="A10" s="6" t="s">
        <v>40</v>
      </c>
      <c r="B10" s="37">
        <f t="shared" si="0"/>
        <v>10253.709306000001</v>
      </c>
      <c r="C10" s="33"/>
      <c r="D10" s="37">
        <f>IF( ISERROR(IND_voed_gas_kWh/1000),0,IND_voed_gas_kWh/1000)*0.902</f>
        <v>808.51315765022002</v>
      </c>
      <c r="E10" s="33">
        <f>C32*'E Balans VL '!I20/100/3.6*1000000</f>
        <v>260.66337005518818</v>
      </c>
      <c r="F10" s="33">
        <f>C32*'E Balans VL '!L20/100/3.6*1000000+C32*'E Balans VL '!N20/100/3.6*1000000</f>
        <v>2320.2604944969225</v>
      </c>
      <c r="G10" s="34"/>
      <c r="H10" s="33"/>
      <c r="I10" s="33"/>
      <c r="J10" s="40">
        <f>C32*'E Balans VL '!D20/100/3.6*1000000+C32*'E Balans VL '!E20/100/3.6*1000000</f>
        <v>0</v>
      </c>
      <c r="K10" s="33"/>
      <c r="L10" s="33"/>
      <c r="M10" s="33"/>
      <c r="N10" s="33">
        <f>C32*'E Balans VL '!Y20/100/3.6*1000000</f>
        <v>3845.418927473047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87.202029582000009</v>
      </c>
      <c r="C12" s="33"/>
      <c r="D12" s="37">
        <f>IF( ISERROR(IND_min_gas_kWh/1000),0,IND_min_gas_kWh/1000)*0.902</f>
        <v>0</v>
      </c>
      <c r="E12" s="33">
        <f>C34*'E Balans VL '!I22/100/3.6*1000000</f>
        <v>1.8528245809537709</v>
      </c>
      <c r="F12" s="33">
        <f>C34*'E Balans VL '!L22/100/3.6*1000000+C34*'E Balans VL '!N22/100/3.6*1000000</f>
        <v>14.227754270598876</v>
      </c>
      <c r="G12" s="34"/>
      <c r="H12" s="33"/>
      <c r="I12" s="33"/>
      <c r="J12" s="40">
        <f>C34*'E Balans VL '!D22/100/3.6*1000000+C34*'E Balans VL '!E22/100/3.6*1000000</f>
        <v>0.10159850220107372</v>
      </c>
      <c r="K12" s="33"/>
      <c r="L12" s="33"/>
      <c r="M12" s="33"/>
      <c r="N12" s="33">
        <f>C34*'E Balans VL '!Y22/100/3.6*1000000</f>
        <v>0</v>
      </c>
      <c r="O12" s="33"/>
      <c r="P12" s="33"/>
      <c r="R12" s="32"/>
    </row>
    <row r="13" spans="1:18">
      <c r="A13" s="6" t="s">
        <v>38</v>
      </c>
      <c r="B13" s="37">
        <f t="shared" si="0"/>
        <v>770.85373731000004</v>
      </c>
      <c r="C13" s="33"/>
      <c r="D13" s="37">
        <f>IF( ISERROR(IND_papier_gas_kWh/1000),0,IND_papier_gas_kWh/1000)*0.902</f>
        <v>0</v>
      </c>
      <c r="E13" s="33">
        <f>C35*'E Balans VL '!I23/100/3.6*1000000</f>
        <v>3.305967424261874</v>
      </c>
      <c r="F13" s="33">
        <f>C35*'E Balans VL '!L23/100/3.6*1000000+C35*'E Balans VL '!N23/100/3.6*1000000</f>
        <v>19.373946996289309</v>
      </c>
      <c r="G13" s="34"/>
      <c r="H13" s="33"/>
      <c r="I13" s="33"/>
      <c r="J13" s="40">
        <f>C35*'E Balans VL '!D23/100/3.6*1000000+C35*'E Balans VL '!E23/100/3.6*1000000</f>
        <v>51.604429754076492</v>
      </c>
      <c r="K13" s="33"/>
      <c r="L13" s="33"/>
      <c r="M13" s="33"/>
      <c r="N13" s="33">
        <f>C35*'E Balans VL '!Y23/100/3.6*1000000</f>
        <v>187.9832066528536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5843.2927825999996</v>
      </c>
      <c r="C15" s="33"/>
      <c r="D15" s="37">
        <f>IF( ISERROR(IND_rest_gas_kWh/1000),0,IND_rest_gas_kWh/1000)*0.902</f>
        <v>36475.150480846001</v>
      </c>
      <c r="E15" s="33">
        <f>C37*'E Balans VL '!I15/100/3.6*1000000</f>
        <v>317.13238621649299</v>
      </c>
      <c r="F15" s="33">
        <f>C37*'E Balans VL '!L15/100/3.6*1000000+C37*'E Balans VL '!N15/100/3.6*1000000</f>
        <v>1273.5676432606117</v>
      </c>
      <c r="G15" s="34"/>
      <c r="H15" s="33"/>
      <c r="I15" s="33"/>
      <c r="J15" s="40">
        <f>C37*'E Balans VL '!D15/100/3.6*1000000+C37*'E Balans VL '!E15/100/3.6*1000000</f>
        <v>47.372249787178717</v>
      </c>
      <c r="K15" s="33"/>
      <c r="L15" s="33"/>
      <c r="M15" s="33"/>
      <c r="N15" s="33">
        <f>C37*'E Balans VL '!Y15/100/3.6*1000000</f>
        <v>327.87936835514535</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29700.605316692003</v>
      </c>
      <c r="C18" s="21">
        <f>C5+C16</f>
        <v>0</v>
      </c>
      <c r="D18" s="21">
        <f>MAX((D5+D16),0)</f>
        <v>44996.750253041624</v>
      </c>
      <c r="E18" s="21">
        <f>MAX((E5+E16),0)</f>
        <v>1789.6045363657281</v>
      </c>
      <c r="F18" s="21">
        <f>MAX((F5+F16),0)</f>
        <v>10640.825288261214</v>
      </c>
      <c r="G18" s="21"/>
      <c r="H18" s="21"/>
      <c r="I18" s="21"/>
      <c r="J18" s="21">
        <f>MAX((J5+J16),0)</f>
        <v>99.07827804345628</v>
      </c>
      <c r="K18" s="21"/>
      <c r="L18" s="21">
        <f>MAX((L5+L16),0)</f>
        <v>0</v>
      </c>
      <c r="M18" s="21"/>
      <c r="N18" s="21">
        <f>MAX((N5+N16),0)</f>
        <v>5098.2572180971547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0.19919623754564147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5916.2488319131226</v>
      </c>
      <c r="C22" s="23">
        <f ca="1">C18*C20</f>
        <v>0</v>
      </c>
      <c r="D22" s="23">
        <f>D18*D20</f>
        <v>9089.3435511144089</v>
      </c>
      <c r="E22" s="23">
        <f>E18*E20</f>
        <v>406.24022975502027</v>
      </c>
      <c r="F22" s="23">
        <f>F18*F20</f>
        <v>2841.1003519657443</v>
      </c>
      <c r="G22" s="23"/>
      <c r="H22" s="23"/>
      <c r="I22" s="23"/>
      <c r="J22" s="23">
        <f>J18*J20</f>
        <v>35.073710427383524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9332.9292280999998</v>
      </c>
      <c r="C30" s="39">
        <f>IF(ISERROR(B30*3.6/1000000/'E Balans VL '!Z18*100),0,B30*3.6/1000000/'E Balans VL '!Z18*100)</f>
        <v>1.9774476107052918</v>
      </c>
      <c r="D30" s="233" t="s">
        <v>646</v>
      </c>
    </row>
    <row r="31" spans="1:18">
      <c r="A31" s="6" t="s">
        <v>32</v>
      </c>
      <c r="B31" s="37">
        <f>IF( ISERROR(IND_ander_ele_kWh/1000),0,IND_ander_ele_kWh/1000)</f>
        <v>3412.6182331</v>
      </c>
      <c r="C31" s="39">
        <f>IF(ISERROR(B31*3.6/1000000/'E Balans VL '!Z19*100),0,B31*3.6/1000000/'E Balans VL '!Z19*100)</f>
        <v>0.14364485034442409</v>
      </c>
      <c r="D31" s="233" t="s">
        <v>646</v>
      </c>
    </row>
    <row r="32" spans="1:18">
      <c r="A32" s="168" t="s">
        <v>40</v>
      </c>
      <c r="B32" s="37">
        <f>IF( ISERROR(IND_voed_ele_kWh/1000),0,IND_voed_ele_kWh/1000)</f>
        <v>10253.709306000001</v>
      </c>
      <c r="C32" s="39">
        <f>IF(ISERROR(B32*3.6/1000000/'E Balans VL '!Z20*100),0,B32*3.6/1000000/'E Balans VL '!Z20*100)</f>
        <v>1.7129981523091271</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87.202029582000009</v>
      </c>
      <c r="C34" s="39">
        <f>IF(ISERROR(B34*3.6/1000000/'E Balans VL '!Z22*100),0,B34*3.6/1000000/'E Balans VL '!Z22*100)</f>
        <v>1.1053327528675085E-2</v>
      </c>
      <c r="D34" s="233" t="s">
        <v>646</v>
      </c>
    </row>
    <row r="35" spans="1:5">
      <c r="A35" s="168" t="s">
        <v>38</v>
      </c>
      <c r="B35" s="37">
        <f>IF( ISERROR(IND_papier_ele_kWh/1000),0,IND_papier_ele_kWh/1000)</f>
        <v>770.85373731000004</v>
      </c>
      <c r="C35" s="39">
        <f>IF(ISERROR(B35*3.6/1000000/'E Balans VL '!Z22*100),0,B35*3.6/1000000/'E Balans VL '!Z22*100)</f>
        <v>9.7709868405969666E-2</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5843.2927825999996</v>
      </c>
      <c r="C37" s="39">
        <f>IF(ISERROR(B37*3.6/1000000/'E Balans VL '!Z15*100),0,B37*3.6/1000000/'E Balans VL '!Z15*100)</f>
        <v>4.7175165260599873E-2</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10302.675435429999</v>
      </c>
      <c r="C5" s="17">
        <f>'Eigen informatie GS &amp; warmtenet'!B60</f>
        <v>0</v>
      </c>
      <c r="D5" s="30">
        <f>IF(ISERROR(SUM(LB_lb_gas_kWh,LB_rest_gas_kWh)/1000),0,SUM(LB_lb_gas_kWh,LB_rest_gas_kWh)/1000)*0.902</f>
        <v>3681.6349918018</v>
      </c>
      <c r="E5" s="17">
        <f>B17*'E Balans VL '!I25/3.6*1000000/100</f>
        <v>265.66644177952151</v>
      </c>
      <c r="F5" s="17">
        <f>B17*('E Balans VL '!L25/3.6*1000000+'E Balans VL '!N25/3.6*1000000)/100</f>
        <v>37658.240765722585</v>
      </c>
      <c r="G5" s="18"/>
      <c r="H5" s="17"/>
      <c r="I5" s="17"/>
      <c r="J5" s="17">
        <f>('E Balans VL '!D25+'E Balans VL '!E25)/3.6*1000000*landbouw!B17/100</f>
        <v>1483.2062617137312</v>
      </c>
      <c r="K5" s="17"/>
      <c r="L5" s="17">
        <f>L6*(-1)</f>
        <v>0</v>
      </c>
      <c r="M5" s="17"/>
      <c r="N5" s="17">
        <f>N6*(-1)</f>
        <v>0</v>
      </c>
      <c r="O5" s="17"/>
      <c r="P5" s="17"/>
      <c r="R5" s="32"/>
    </row>
    <row r="6" spans="1:18">
      <c r="A6" s="16" t="s">
        <v>478</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10302.675435429999</v>
      </c>
      <c r="C8" s="21">
        <f>C5+C6</f>
        <v>0</v>
      </c>
      <c r="D8" s="21">
        <f>MAX((D5+D6),0)</f>
        <v>3681.6349918018</v>
      </c>
      <c r="E8" s="21">
        <f>MAX((E5+E6),0)</f>
        <v>265.66644177952151</v>
      </c>
      <c r="F8" s="21">
        <f>MAX((F5+F6),0)</f>
        <v>37658.240765722585</v>
      </c>
      <c r="G8" s="21"/>
      <c r="H8" s="21"/>
      <c r="I8" s="21"/>
      <c r="J8" s="21">
        <f>MAX((J5+J6),0)</f>
        <v>1483.2062617137312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0.19919623754564147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2052.2541833915593</v>
      </c>
      <c r="C12" s="23">
        <f ca="1">C8*C10</f>
        <v>0</v>
      </c>
      <c r="D12" s="23">
        <f>D8*D10</f>
        <v>743.69026834396368</v>
      </c>
      <c r="E12" s="23">
        <f>E8*E10</f>
        <v>60.306282283951383</v>
      </c>
      <c r="F12" s="23">
        <f>F8*F10</f>
        <v>10054.750284447931</v>
      </c>
      <c r="G12" s="23"/>
      <c r="H12" s="23"/>
      <c r="I12" s="23"/>
      <c r="J12" s="23">
        <f>J8*J10</f>
        <v>525.05501664666087</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1.4527454797875015</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1171.5246407097857</v>
      </c>
      <c r="C26" s="243">
        <f>B26*'GWP N2O_CH4'!B5</f>
        <v>24602.017454905501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961.85876173245845</v>
      </c>
      <c r="C27" s="243">
        <f>B27*'GWP N2O_CH4'!B5</f>
        <v>20199.033996381626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19.815045134730831</v>
      </c>
      <c r="C28" s="243">
        <f>B28*'GWP N2O_CH4'!B4</f>
        <v>6142.663991766557</v>
      </c>
      <c r="D28" s="50"/>
    </row>
    <row r="29" spans="1:4">
      <c r="A29" s="41" t="s">
        <v>266</v>
      </c>
      <c r="B29" s="243">
        <f>B34*'ha_N2O bodem landbouw'!B4</f>
        <v>31.097978315143664</v>
      </c>
      <c r="C29" s="243">
        <f>B29*'GWP N2O_CH4'!B4</f>
        <v>9640.3732776945362</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6.9987350342075247E-3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5.879936280082312E-5</v>
      </c>
      <c r="C5" s="429" t="s">
        <v>204</v>
      </c>
      <c r="D5" s="414">
        <f>SUM(D6:D11)</f>
        <v>1.0015955093778805E-4</v>
      </c>
      <c r="E5" s="414">
        <f>SUM(E6:E11)</f>
        <v>4.6744458374321703E-4</v>
      </c>
      <c r="F5" s="427" t="s">
        <v>204</v>
      </c>
      <c r="G5" s="414">
        <f>SUM(G6:G11)</f>
        <v>0.17994952598427869</v>
      </c>
      <c r="H5" s="414">
        <f>SUM(H6:H11)</f>
        <v>3.2461124864028593E-2</v>
      </c>
      <c r="I5" s="429" t="s">
        <v>204</v>
      </c>
      <c r="J5" s="429" t="s">
        <v>204</v>
      </c>
      <c r="K5" s="429" t="s">
        <v>204</v>
      </c>
      <c r="L5" s="429" t="s">
        <v>204</v>
      </c>
      <c r="M5" s="414">
        <f>SUM(M6:M11)</f>
        <v>6.6340558768713314E-3</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2.7970150649732142E-5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4.3934664885192899E-5</v>
      </c>
      <c r="E6" s="857">
        <f>vkm_GW_PW*SUMIFS(TableVerdeelsleutelVkm[LPG],TableVerdeelsleutelVkm[Voertuigtype],"Lichte voertuigen")*SUMIFS(TableECFTransport[EnergieConsumptieFactor (PJ per km)],TableECFTransport[Index],CONCATENATE($A6,"_LPG_LPG"))</f>
        <v>2.0258397837994891E-4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5.3738929491658809E-2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1.4315426949408348E-2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2.119665377135932E-3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1.0343548749270172E-6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3.5653186243569189E-2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6.2949809517982747E-7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1.1216508224951194E-3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1.8978037716680673E-5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4.2296989326601615E-5</v>
      </c>
      <c r="E8" s="417">
        <f>vkm_NGW_PW*SUMIFS(TableVerdeelsleutelVkm[LPG],TableVerdeelsleutelVkm[Voertuigtype],"Lichte voertuigen")*SUMIFS(TableECFTransport[EnergieConsumptieFactor (PJ per km)],TableECFTransport[Index],CONCATENATE($A8,"_LPG_LPG"))</f>
        <v>1.8662070167661677E-4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4.5959625365828857E-2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1.3405579156495435E-2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1.8476621090314095E-3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2.6773392255529819E-7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1.1865697174948018E-2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1.9667298157946462E-7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3.7329497552044381E-4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1.0132096668064752E-5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1.3927896725993543E-5</v>
      </c>
      <c r="E10" s="417">
        <f>vkm_SW_PW*SUMIFS(TableVerdeelsleutelVkm[LPG],TableVerdeelsleutelVkm[Voertuigtype],"Lichte voertuigen")*SUMIFS(TableECFTransport[EnergieConsumptieFactor (PJ per km)],TableECFTransport[Index],CONCATENATE($A10,"_LPG_LPG"))</f>
        <v>7.8239903686651342E-5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1.9036483518546483E-2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4.7390313830258509E-3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7.4091769545961742E-4</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4.1698896886323313E-7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1.3695604189727338E-2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2.6120402219522967E-7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4.3086489722880887E-4</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16.333156333561977</v>
      </c>
      <c r="C14" s="21"/>
      <c r="D14" s="21">
        <f t="shared" ref="D14:M14" si="0">((D5)*10^9/3600)+D12</f>
        <v>27.822097482718902</v>
      </c>
      <c r="E14" s="21">
        <f t="shared" si="0"/>
        <v>129.84571770644919</v>
      </c>
      <c r="F14" s="21"/>
      <c r="G14" s="21">
        <f t="shared" si="0"/>
        <v>49985.979440077412</v>
      </c>
      <c r="H14" s="21">
        <f t="shared" si="0"/>
        <v>9016.9791288968318</v>
      </c>
      <c r="I14" s="21"/>
      <c r="J14" s="21"/>
      <c r="K14" s="21"/>
      <c r="L14" s="21"/>
      <c r="M14" s="21">
        <f t="shared" si="0"/>
        <v>1842.7932991309253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0.19919623754564147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3.2535032888903102</v>
      </c>
      <c r="C18" s="23"/>
      <c r="D18" s="23">
        <f t="shared" ref="D18:M18" si="1">D14*D16</f>
        <v>5.6200636915092188</v>
      </c>
      <c r="E18" s="23">
        <f t="shared" si="1"/>
        <v>29.474977919363969</v>
      </c>
      <c r="F18" s="23"/>
      <c r="G18" s="23">
        <f t="shared" si="1"/>
        <v>13346.256510500669</v>
      </c>
      <c r="H18" s="23">
        <f t="shared" si="1"/>
        <v>2245.2278030953112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1.3107317541932786E-5</v>
      </c>
      <c r="C50" s="313">
        <f t="shared" ref="C50:P50" si="2">SUM(C51:C52)</f>
        <v>0</v>
      </c>
      <c r="D50" s="313">
        <f t="shared" si="2"/>
        <v>0</v>
      </c>
      <c r="E50" s="313">
        <f t="shared" si="2"/>
        <v>0</v>
      </c>
      <c r="F50" s="313">
        <f t="shared" si="2"/>
        <v>0</v>
      </c>
      <c r="G50" s="313">
        <f t="shared" si="2"/>
        <v>2.3370624262260865E-3</v>
      </c>
      <c r="H50" s="313">
        <f t="shared" si="2"/>
        <v>0</v>
      </c>
      <c r="I50" s="313">
        <f t="shared" si="2"/>
        <v>0</v>
      </c>
      <c r="J50" s="313">
        <f t="shared" si="2"/>
        <v>0</v>
      </c>
      <c r="K50" s="313">
        <f t="shared" si="2"/>
        <v>0</v>
      </c>
      <c r="L50" s="313">
        <f t="shared" si="2"/>
        <v>0</v>
      </c>
      <c r="M50" s="313">
        <f t="shared" si="2"/>
        <v>7.2954033664966126E-5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1.3107317541932786E-5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2.3370624262260865E-3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7.2954033664966126E-5</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3.6409215394257743</v>
      </c>
      <c r="C54" s="21">
        <f t="shared" ref="C54:P54" si="3">(C50)*10^9/3600</f>
        <v>0</v>
      </c>
      <c r="D54" s="21">
        <f t="shared" si="3"/>
        <v>0</v>
      </c>
      <c r="E54" s="21">
        <f t="shared" si="3"/>
        <v>0</v>
      </c>
      <c r="F54" s="21">
        <f t="shared" si="3"/>
        <v>0</v>
      </c>
      <c r="G54" s="21">
        <f t="shared" si="3"/>
        <v>649.18400728502399</v>
      </c>
      <c r="H54" s="21">
        <f t="shared" si="3"/>
        <v>0</v>
      </c>
      <c r="I54" s="21">
        <f t="shared" si="3"/>
        <v>0</v>
      </c>
      <c r="J54" s="21">
        <f t="shared" si="3"/>
        <v>0</v>
      </c>
      <c r="K54" s="21">
        <f t="shared" si="3"/>
        <v>0</v>
      </c>
      <c r="L54" s="21">
        <f t="shared" si="3"/>
        <v>0</v>
      </c>
      <c r="M54" s="21">
        <f t="shared" si="3"/>
        <v>20.265009351379476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0.19919623754564147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0.72525787185249924</v>
      </c>
      <c r="C58" s="23">
        <f t="shared" ref="C58:P58" ca="1" si="4">C54*C56</f>
        <v>0</v>
      </c>
      <c r="D58" s="23">
        <f t="shared" si="4"/>
        <v>0</v>
      </c>
      <c r="E58" s="23">
        <f t="shared" si="4"/>
        <v>0</v>
      </c>
      <c r="F58" s="23">
        <f t="shared" si="4"/>
        <v>0</v>
      </c>
      <c r="G58" s="23">
        <f t="shared" si="4"/>
        <v>173.33212994510143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8029.6196816805796</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0</v>
      </c>
      <c r="C8" s="536">
        <f>B48</f>
        <v>0</v>
      </c>
      <c r="D8" s="1001"/>
      <c r="E8" s="1001">
        <f>E48</f>
        <v>0</v>
      </c>
      <c r="F8" s="1002"/>
      <c r="G8" s="537"/>
      <c r="H8" s="1001">
        <f>I48</f>
        <v>0</v>
      </c>
      <c r="I8" s="1001">
        <f>G48+F48</f>
        <v>0</v>
      </c>
      <c r="J8" s="1001">
        <f>H48+D48+C48</f>
        <v>0</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8029.6196816805796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0</v>
      </c>
      <c r="C17" s="561">
        <f>B49</f>
        <v>0</v>
      </c>
      <c r="D17" s="562"/>
      <c r="E17" s="562">
        <f>E49</f>
        <v>0</v>
      </c>
      <c r="F17" s="1007"/>
      <c r="G17" s="563"/>
      <c r="H17" s="561">
        <f>I49</f>
        <v>0</v>
      </c>
      <c r="I17" s="562">
        <f>G49+F49</f>
        <v>0</v>
      </c>
      <c r="J17" s="562">
        <f>H49+D49+C49</f>
        <v>0</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269</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2021-11-11T13:01:25Z</dcterms:modified>
</cp:coreProperties>
</file>