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0965D14C-B554-4E89-A068-FD1CE805D54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D14" i="48" l="1"/>
  <c r="P32" i="48"/>
  <c r="O32" i="48"/>
  <c r="R25" i="14"/>
  <c r="O31" i="48"/>
  <c r="P31" i="48"/>
  <c r="F20" i="18"/>
  <c r="L6" i="17"/>
  <c r="O25" i="48"/>
  <c r="D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Q14" i="48"/>
  <c r="O24" i="48"/>
  <c r="O30" i="48"/>
  <c r="P24" i="48"/>
  <c r="P30" i="48"/>
  <c r="E78" i="14"/>
  <c r="E90" i="14"/>
  <c r="N78" i="14"/>
  <c r="Q77" i="14" l="1"/>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D10"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Q46" i="14"/>
  <c r="Q61" i="14" s="1"/>
  <c r="G14" i="22"/>
  <c r="G9" i="48" s="1"/>
  <c r="M14" i="22"/>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<sst xmlns="http://schemas.openxmlformats.org/spreadsheetml/2006/main" count="2477" uniqueCount="906">
  <si>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</si>
  <si>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</si>
  <si>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</si>
  <si>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</si>
  <si>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</si>
  <si>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</si>
  <si>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</si>
  <si>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</si>
  <si>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</si>
  <si>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</si>
  <si>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</si>
  <si>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</si>
  <si>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</si>
  <si>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</si>
  <si>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</si>
  <si>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</si>
  <si>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</si>
  <si>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</si>
  <si>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</si>
  <si>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</si>
  <si>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</si>
  <si>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</si>
  <si>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</si>
  <si>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</si>
  <si>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</si>
  <si>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</si>
  <si>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</si>
  <si>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</si>
  <si>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</si>
  <si>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</si>
  <si>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</si>
  <si>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</si>
  <si>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</si>
  <si>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</si>
  <si>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</si>
  <si>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</si>
  <si>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</si>
  <si>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</si>
  <si>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</si>
  <si>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</si>
  <si>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</si>
  <si>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</si>
  <si>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</si>
  <si>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</si>
  <si>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</si>
  <si>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</si>
  <si>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</si>
  <si>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</si>
  <si>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</si>
  <si>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</si>
  <si>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</si>
  <si>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</si>
  <si>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</si>
  <si>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</si>
  <si>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</si>
  <si>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</si>
  <si>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</si>
  <si>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</si>
  <si>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</si>
  <si>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</si>
  <si>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</si>
  <si>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</si>
  <si>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</si>
  <si>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</si>
  <si>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</si>
  <si>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</si>
  <si>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</si>
  <si>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</si>
  <si>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</si>
  <si>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</si>
  <si>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</si>
  <si>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</si>
  <si>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</si>
  <si>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</si>
  <si>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</si>
  <si>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</si>
  <si>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</si>
  <si>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</si>
  <si>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</si>
  <si>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</si>
  <si>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</si>
  <si>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</si>
  <si>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</si>
  <si>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</si>
  <si>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</si>
  <si>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</si>
  <si>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</si>
  <si>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</si>
  <si>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</si>
  <si>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</si>
  <si>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</si>
  <si>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</si>
  <si>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</si>
  <si>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</si>
  <si>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</si>
  <si>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</si>
  <si>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</si>
  <si>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</si>
  <si>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</si>
  <si>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</si>
  <si>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</si>
  <si>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</si>
  <si>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</si>
  <si>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</si>
  <si>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</si>
  <si>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</si>
  <si>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</si>
  <si>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</si>
  <si>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</si>
  <si>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</si>
  <si>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</si>
  <si>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</si>
  <si>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</si>
  <si>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</si>
  <si>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</si>
  <si>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</si>
  <si>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</si>
  <si>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</si>
  <si>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</si>
  <si>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</si>
  <si>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</si>
  <si>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</si>
  <si>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</si>
  <si>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</si>
  <si>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</si>
  <si>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</si>
  <si>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</si>
  <si>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</si>
  <si>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</si>
  <si>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</si>
  <si>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</si>
  <si>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</si>
  <si>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</si>
  <si>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</si>
  <si>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</si>
  <si>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</si>
  <si>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</si>
  <si>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</si>
  <si>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</si>
  <si>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</si>
  <si>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</si>
  <si>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</si>
  <si>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</si>
  <si>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</si>
  <si>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</si>
  <si>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</si>
  <si>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</si>
  <si>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</si>
  <si>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</si>
  <si>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</si>
  <si>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</si>
  <si>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</si>
  <si>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</si>
  <si>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</si>
  <si>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</si>
  <si>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</si>
  <si>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</si>
  <si>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</si>
  <si>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</si>
  <si>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</si>
  <si>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</si>
  <si>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</si>
  <si>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</si>
  <si>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</si>
  <si>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</si>
  <si>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</si>
  <si>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</si>
  <si>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</si>
  <si>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</si>
  <si>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</si>
  <si>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</si>
  <si>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</si>
  <si>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</si>
  <si>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</si>
  <si>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</si>
  <si>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</si>
  <si>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</si>
  <si>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</si>
  <si>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</si>
  <si>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</si>
  <si>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</si>
  <si>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</si>
  <si>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</si>
  <si>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</si>
  <si>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</si>
  <si>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</si>
  <si>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</si>
  <si>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</si>
  <si>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</si>
  <si>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</si>
  <si>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</si>
  <si>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</si>
  <si>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</si>
  <si>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</si>
  <si>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</si>
  <si>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</si>
  <si>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</si>
  <si>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</si>
  <si>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</si>
  <si>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</si>
  <si>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</si>
  <si>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</si>
  <si>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</si>
  <si>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</si>
  <si>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</si>
  <si>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</si>
  <si>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</si>
  <si>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</si>
  <si>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</si>
  <si>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</si>
  <si>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</si>
  <si>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</si>
  <si>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</si>
  <si>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</si>
  <si>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</si>
  <si>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</si>
  <si>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</si>
  <si>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</si>
  <si>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</si>
  <si>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</si>
  <si>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</si>
  <si>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</si>
  <si>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</si>
  <si>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</si>
  <si>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</si>
  <si>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</si>
  <si>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</si>
  <si>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</si>
  <si>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</si>
  <si>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</si>
  <si>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</si>
  <si>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</si>
  <si>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</si>
  <si>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</si>
  <si>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</si>
  <si>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</si>
  <si>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</si>
  <si>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</si>
  <si>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</si>
  <si>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</si>
  <si>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</si>
  <si>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</si>
  <si>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</si>
  <si>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</si>
  <si>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</si>
  <si>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</si>
  <si>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</si>
  <si>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</si>
  <si>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</si>
  <si>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</si>
  <si>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</si>
  <si>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</si>
  <si>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</si>
  <si>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</si>
  <si>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</si>
  <si>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</si>
  <si>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</si>
  <si>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</si>
  <si>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</si>
  <si>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</si>
  <si>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</si>
  <si>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</si>
  <si>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</si>
  <si>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</si>
  <si>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</si>
  <si>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</si>
  <si>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</si>
  <si>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</si>
  <si>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</si>
  <si>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</si>
  <si>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</si>
  <si>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</si>
  <si>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</si>
  <si>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</si>
  <si>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</si>
  <si>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</si>
  <si>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</si>
  <si>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</si>
  <si>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</si>
  <si>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</si>
  <si>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</si>
  <si>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</si>
  <si>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</si>
  <si>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</si>
  <si>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</si>
  <si>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</si>
  <si>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</si>
  <si>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</si>
  <si>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</si>
  <si>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</si>
  <si>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</si>
  <si>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</si>
  <si>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</si>
  <si>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</si>
  <si>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</si>
  <si>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</si>
  <si>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</si>
  <si>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</si>
  <si>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</si>
  <si>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</si>
  <si>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</si>
  <si>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</si>
  <si>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</si>
  <si>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</si>
  <si>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</si>
  <si>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</si>
  <si>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</si>
  <si>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</si>
  <si>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</si>
  <si>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</si>
  <si>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</si>
  <si>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</si>
  <si>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</si>
  <si>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</si>
  <si>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</si>
  <si>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</si>
  <si>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</si>
  <si>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</si>
  <si>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</si>
  <si>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</si>
  <si>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</si>
  <si>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</si>
  <si>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</si>
  <si>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</si>
  <si>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</si>
  <si>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</si>
  <si>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</si>
  <si>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</si>
  <si>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</si>
  <si>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</si>
  <si>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</si>
  <si>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</si>
  <si>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</si>
  <si>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</si>
  <si>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</si>
  <si>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</si>
  <si>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</si>
  <si>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</si>
  <si>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</si>
  <si>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</si>
  <si>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</si>
  <si>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</si>
  <si>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</si>
  <si>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</si>
  <si>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</si>
  <si>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</si>
  <si>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</si>
  <si>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</si>
  <si>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</si>
  <si>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</si>
  <si>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</si>
  <si>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</si>
  <si>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</si>
  <si>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</si>
  <si>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</si>
  <si>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</si>
  <si>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</si>
  <si>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</si>
  <si>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</si>
  <si>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</si>
  <si>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</si>
  <si>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</si>
  <si>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</si>
  <si>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</si>
  <si>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</si>
  <si>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</si>
  <si>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</si>
  <si>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</si>
  <si>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</si>
  <si>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</si>
  <si>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</si>
  <si>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</si>
  <si>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</si>
  <si>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</si>
  <si>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</si>
  <si>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</si>
  <si>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</si>
  <si>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</si>
  <si>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</si>
  <si>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</si>
  <si>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</si>
  <si>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</si>
  <si>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</si>
  <si>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</si>
  <si>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</si>
  <si>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</si>
  <si>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</si>
  <si>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</si>
  <si>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</si>
  <si>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</si>
  <si>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</si>
  <si>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</si>
  <si>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</si>
  <si>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</si>
  <si>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</si>
  <si>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</si>
  <si>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</si>
  <si>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</si>
  <si>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</si>
  <si>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</si>
  <si>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</si>
  <si>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</si>
  <si>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</si>
  <si>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</si>
  <si>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</si>
  <si>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</si>
  <si>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</si>
  <si>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</si>
  <si>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</si>
  <si>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</si>
  <si>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</si>
  <si>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</si>
  <si>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</si>
  <si>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</si>
  <si>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</si>
  <si>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</si>
  <si>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</si>
  <si>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</si>
  <si>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</si>
  <si>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</si>
  <si>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</si>
  <si>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</si>
  <si>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</si>
  <si>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</si>
  <si>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</si>
  <si>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</si>
  <si>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</si>
  <si>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</si>
  <si>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</si>
  <si>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</si>
  <si>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</si>
  <si>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</si>
  <si>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</si>
  <si>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</si>
  <si>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</si>
  <si>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</si>
  <si>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</si>
  <si>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</si>
  <si>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</si>
  <si>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</si>
  <si>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</si>
  <si>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</si>
  <si>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</si>
  <si>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</si>
  <si>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</si>
  <si>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</si>
  <si>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</si>
  <si>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</si>
  <si>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</si>
  <si>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</si>
  <si>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</si>
  <si>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</si>
  <si>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</si>
  <si>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</si>
  <si>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</si>
  <si>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</si>
  <si>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</si>
  <si>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</si>
  <si>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</si>
  <si>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</si>
  <si>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</si>
  <si>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</si>
  <si>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</si>
  <si>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</si>
  <si>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</si>
  <si>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</si>
  <si>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</si>
  <si>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</si>
  <si>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</si>
  <si>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</si>
  <si>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</si>
  <si>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</si>
  <si>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</si>
  <si>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</si>
  <si>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</si>
  <si>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</si>
  <si>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</si>
  <si>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</si>
  <si>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</si>
  <si>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</si>
  <si>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</si>
  <si>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</si>
  <si>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</si>
  <si>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</si>
  <si>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</si>
  <si>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</si>
  <si>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</si>
  <si>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</si>
  <si>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</si>
  <si>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</si>
  <si>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</si>
  <si>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</si>
  <si>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</si>
  <si>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</si>
  <si>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</si>
  <si>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</si>
  <si>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</si>
  <si>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</si>
  <si>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</si>
  <si>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</si>
  <si>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</si>
  <si>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</si>
  <si>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</si>
  <si>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</si>
  <si>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</si>
  <si>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</si>
  <si>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</si>
  <si>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</si>
  <si>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</si>
  <si>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</si>
  <si>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</si>
  <si>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</si>
  <si>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</si>
  <si>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</si>
  <si>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</si>
  <si>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</si>
  <si>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</si>
  <si>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</si>
  <si>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</si>
  <si>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</si>
  <si>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</si>
  <si>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</si>
  <si>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</si>
  <si>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</si>
  <si>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</si>
  <si>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</si>
  <si>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</si>
  <si>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</si>
  <si>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</si>
  <si>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</si>
  <si>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</si>
  <si>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</si>
  <si>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</si>
  <si>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</si>
  <si>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</si>
  <si>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</si>
  <si>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</si>
  <si>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</si>
  <si>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</si>
  <si>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</si>
  <si>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</si>
  <si>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</si>
  <si>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</si>
  <si>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</si>
  <si>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</si>
  <si>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</si>
  <si>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</si>
  <si>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</si>
  <si>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</si>
  <si>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</si>
  <si>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</si>
  <si>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</si>
  <si>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</si>
  <si>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</si>
  <si>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</si>
  <si>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</si>
  <si>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</si>
  <si>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</si>
  <si>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</si>
  <si>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</si>
  <si>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</si>
  <si>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</si>
  <si>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</si>
  <si>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</si>
  <si>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</si>
  <si>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</si>
  <si>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</si>
  <si>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</si>
  <si>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</si>
  <si>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</si>
  <si>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</si>
  <si>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</si>
  <si>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</si>
  <si>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</si>
  <si>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</si>
  <si>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</si>
  <si>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</si>
  <si>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</si>
  <si>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</si>
  <si>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</si>
  <si>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</si>
  <si>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</si>
  <si>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</si>
  <si>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</si>
  <si>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</si>
  <si>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</si>
  <si>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</si>
  <si>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</si>
  <si>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</si>
  <si>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</si>
  <si>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</si>
  <si>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</si>
  <si>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</si>
  <si>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</si>
  <si>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</si>
  <si>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</si>
  <si>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</si>
  <si>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</si>
  <si>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</si>
  <si>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</si>
  <si>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</si>
  <si>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</si>
  <si>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</si>
  <si>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</si>
  <si>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</si>
  <si>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</si>
  <si>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</si>
  <si>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</si>
  <si>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</si>
  <si>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</si>
  <si>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</si>
  <si>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</si>
  <si>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</si>
  <si>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</si>
  <si>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</si>
  <si>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</si>
  <si>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</si>
  <si>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</si>
  <si>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</si>
  <si>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</si>
  <si>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</si>
  <si>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</si>
  <si>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</si>
  <si>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</si>
  <si>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</si>
  <si>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</si>
  <si>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</si>
  <si>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</si>
  <si>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</si>
  <si>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</si>
  <si>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</si>
  <si>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</si>
  <si>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</si>
  <si>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</si>
  <si>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</si>
  <si>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</si>
  <si>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</si>
  <si>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</si>
  <si>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</si>
  <si>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</si>
  <si>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</si>
  <si>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</si>
  <si>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</si>
  <si>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</si>
  <si>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</si>
  <si>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</si>
  <si>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</si>
  <si>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</si>
  <si>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</si>
  <si>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</si>
  <si>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</si>
  <si>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</si>
  <si>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</si>
  <si>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</si>
  <si>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</si>
  <si>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</si>
  <si>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</si>
  <si>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</si>
  <si>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</si>
  <si>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</si>
  <si>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</si>
  <si>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</si>
  <si>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</si>
  <si>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</si>
  <si>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</si>
  <si>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</si>
  <si>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</si>
  <si>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</si>
  <si>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</si>
  <si>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</si>
  <si>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</si>
  <si>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</si>
  <si>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</si>
  <si>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</si>
  <si>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</si>
  <si>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</si>
  <si>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</si>
  <si>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</si>
  <si>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</si>
  <si>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</si>
  <si>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</si>
  <si>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</si>
  <si>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</si>
  <si>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</si>
  <si>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</si>
  <si>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</si>
  <si>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</si>
  <si>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</si>
  <si>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</si>
  <si>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</si>
  <si>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</si>
  <si>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</si>
  <si>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</si>
  <si>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</si>
  <si>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</si>
  <si>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</si>
  <si>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</si>
  <si>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</si>
  <si>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</si>
  <si>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</si>
  <si>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</si>
  <si>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</si>
  <si>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</si>
  <si>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</si>
  <si>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</si>
  <si>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</si>
  <si>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</si>
  <si>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</si>
  <si>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</si>
  <si>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</si>
  <si>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</si>
  <si>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</si>
  <si>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</si>
  <si>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</si>
  <si>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</si>
  <si>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</si>
  <si>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</si>
  <si>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</si>
  <si>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</si>
  <si>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</si>
  <si>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</si>
  <si>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</si>
  <si>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</si>
  <si>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</si>
  <si>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</si>
  <si>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</si>
  <si>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</si>
  <si>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</si>
  <si>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</si>
  <si>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</si>
  <si>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</si>
  <si>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</si>
  <si>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</si>
  <si>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</si>
  <si>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</si>
  <si>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</si>
  <si>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</si>
  <si>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</si>
  <si>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</si>
  <si>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</si>
  <si>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</si>
  <si>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</si>
  <si>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</si>
  <si>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</si>
  <si>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</si>
  <si>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</si>
  <si>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</si>
  <si>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</si>
  <si>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</si>
  <si>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</si>
  <si>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</si>
  <si>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</si>
  <si>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</si>
  <si>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</si>
  <si>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</si>
  <si>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</si>
  <si>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</si>
  <si>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</si>
  <si>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</si>
  <si>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</si>
  <si>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</si>
  <si>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</si>
  <si>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</si>
  <si>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</si>
  <si>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</si>
  <si>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</si>
  <si>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</si>
  <si>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</si>
  <si>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</si>
  <si>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</si>
  <si>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</si>
  <si>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</si>
  <si>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</si>
  <si>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</si>
  <si>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</si>
  <si>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</si>
  <si>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</si>
  <si>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</si>
  <si>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</si>
  <si>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</si>
  <si>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</si>
  <si>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</si>
  <si>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</si>
  <si>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</si>
  <si>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</si>
  <si>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</si>
  <si>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</si>
  <si>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</si>
  <si>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</si>
  <si>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</si>
  <si>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</si>
  <si>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</si>
  <si>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</si>
  <si>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</si>
  <si>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</si>
  <si>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</si>
  <si>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</si>
  <si>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</si>
  <si>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</si>
  <si>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</si>
  <si>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</si>
  <si>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</si>
  <si>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</si>
  <si>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</si>
  <si>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</si>
  <si>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</si>
  <si>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</si>
  <si>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</si>
  <si>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</si>
  <si>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</si>
  <si>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</si>
  <si>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</si>
  <si>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</si>
  <si>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</si>
  <si>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</si>
  <si>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</si>
  <si>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</si>
  <si>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</si>
  <si>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</si>
  <si>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</si>
  <si>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</si>
  <si>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</si>
  <si>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</si>
  <si>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</si>
  <si>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</si>
  <si>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</si>
  <si>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</si>
  <si>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</si>
  <si>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</si>
  <si>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</si>
  <si>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</si>
  <si>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</si>
  <si>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</si>
  <si>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</si>
  <si>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</si>
  <si>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</si>
  <si>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</si>
  <si>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</si>
  <si>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</si>
  <si>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</si>
  <si>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</si>
  <si>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</si>
  <si>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</si>
  <si>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</si>
  <si>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</si>
  <si>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</si>
  <si>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</si>
  <si>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</si>
  <si>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</si>
  <si>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</si>
  <si>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</si>
  <si>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</si>
  <si>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</si>
  <si>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</si>
  <si>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</si>
  <si>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</si>
  <si>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</si>
  <si>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</si>
  <si>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</si>
  <si>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</si>
  <si>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</si>
  <si>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</si>
  <si>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</si>
  <si>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</si>
  <si>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</si>
  <si>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</si>
  <si>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</si>
  <si>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</si>
  <si>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</si>
  <si>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</si>
  <si>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</si>
  <si>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</si>
  <si>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</si>
  <si>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</si>
  <si>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</si>
  <si>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</si>
  <si>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</si>
  <si>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</si>
  <si>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</si>
  <si>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</si>
  <si>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</si>
  <si>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</si>
  <si>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</si>
  <si>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</si>
  <si>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</si>
  <si>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</si>
  <si>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</si>
  <si>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</si>
  <si>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</si>
  <si>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</si>
  <si>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</si>
  <si>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</si>
  <si>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</si>
  <si>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</si>
  <si>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</si>
  <si>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</si>
  <si>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</si>
  <si>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</si>
  <si>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</si>
  <si>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</si>
  <si>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24014</t>
  </si>
  <si>
    <t>BOORTMEERBEEK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</si>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</sst>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E3B97E03-52F2-4AEB-94F3-50B51D84510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105984.88089199104</c:v>
                </c:pt>
                <c:pt idx="1">
                  <c:v>35396.452718167602</c:v>
                </c:pt>
                <c:pt idx="2">
                  <c:v>927.62199999999996</c:v>
                </c:pt>
                <c:pt idx="3">
                  <c:v>595.74397741159544</c:v>
                </c:pt>
                <c:pt idx="4">
                  <c:v>47898.359172229641</c:v>
                </c:pt>
                <c:pt idx="5">
                  <c:v>57592.519058363774</c:v>
                </c:pt>
                <c:pt idx="6">
                  <c:v>1847.6560051343595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105984.88089199104</c:v>
                </c:pt>
                <c:pt idx="1">
                  <c:v>35396.452718167602</c:v>
                </c:pt>
                <c:pt idx="2">
                  <c:v>927.62199999999996</c:v>
                </c:pt>
                <c:pt idx="3">
                  <c:v>595.74397741159544</c:v>
                </c:pt>
                <c:pt idx="4">
                  <c:v>47898.359172229641</c:v>
                </c:pt>
                <c:pt idx="5">
                  <c:v>57592.519058363774</c:v>
                </c:pt>
                <c:pt idx="6">
                  <c:v>1847.6560051343595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22770.134362459208</c:v>
                </c:pt>
                <c:pt idx="2">
                  <c:v>7376.3355627620267</c:v>
                </c:pt>
                <c:pt idx="3">
                  <c:v>193.83691029584674</c:v>
                </c:pt>
                <c:pt idx="4">
                  <c:v>151.5200092291164</c:v>
                </c:pt>
                <c:pt idx="5">
                  <c:v>9168.0800609629805</c:v>
                </c:pt>
                <c:pt idx="6">
                  <c:v>14750.611163203952</c:v>
                </c:pt>
                <c:pt idx="7">
                  <c:v>477.89136260390006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22770.134362459208</c:v>
                </c:pt>
                <c:pt idx="2">
                  <c:v>7376.3355627620267</c:v>
                </c:pt>
                <c:pt idx="3">
                  <c:v>193.83691029584674</c:v>
                </c:pt>
                <c:pt idx="4">
                  <c:v>151.5200092291164</c:v>
                </c:pt>
                <c:pt idx="5">
                  <c:v>9168.0800609629805</c:v>
                </c:pt>
                <c:pt idx="6">
                  <c:v>14750.611163203952</c:v>
                </c:pt>
                <c:pt idx="7">
                  <c:v>477.89136260390006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24014</v>
      </c>
      <c r="B6" s="382"/>
      <c r="C6" s="383"/>
    </row>
    <row r="7" spans="1:7" s="380" customFormat="1" ht="15.75" customHeight="1">
      <c r="A7" s="384" t="str">
        <f>txtMunicipality</f>
        <v>BOORTMEERBEEK</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18892.883762579</v>
      </c>
      <c r="D10" s="970">
        <f ca="1">tertiair!C16</f>
        <v>0</v>
      </c>
      <c r="E10" s="970">
        <f ca="1">tertiair!D16</f>
        <v>11561.178629773851</v>
      </c>
      <c r="F10" s="970">
        <f>tertiair!E16</f>
        <v>370.76598278213862</v>
      </c>
      <c r="G10" s="970">
        <f ca="1">tertiair!F16</f>
        <v>4504.7670557899492</v>
      </c>
      <c r="H10" s="970">
        <f>tertiair!G16</f>
        <v>0</v>
      </c>
      <c r="I10" s="970">
        <f>tertiair!H16</f>
        <v>0</v>
      </c>
      <c r="J10" s="970">
        <f>tertiair!I16</f>
        <v>0</v>
      </c>
      <c r="K10" s="970">
        <f>tertiair!J16</f>
        <v>0</v>
      </c>
      <c r="L10" s="970">
        <f>tertiair!K16</f>
        <v>0</v>
      </c>
      <c r="M10" s="970">
        <f ca="1">tertiair!L16</f>
        <v>0</v>
      </c>
      <c r="N10" s="970">
        <f>tertiair!M16</f>
        <v>0</v>
      </c>
      <c r="O10" s="970">
        <f ca="1">tertiair!N16</f>
        <v>954.78262057599898</v>
      </c>
      <c r="P10" s="970">
        <f>tertiair!O16</f>
        <v>1.5633333333333335</v>
      </c>
      <c r="Q10" s="971">
        <f>tertiair!P16</f>
        <v>38.133333333333333</v>
      </c>
      <c r="R10" s="666">
        <f ca="1">SUM(C10:Q10)</f>
        <v>36324.074718167598</v>
      </c>
      <c r="S10" s="67"/>
    </row>
    <row r="11" spans="1:19" s="439" customFormat="1">
      <c r="A11" s="775" t="s">
        <v>214</v>
      </c>
      <c r="B11" s="780"/>
      <c r="C11" s="970">
        <f>huishoudens!B8</f>
        <v>22580.584510784</v>
      </c>
      <c r="D11" s="970">
        <f>huishoudens!C8</f>
        <v>0</v>
      </c>
      <c r="E11" s="970">
        <f>huishoudens!D8</f>
        <v>33976.475113196</v>
      </c>
      <c r="F11" s="970">
        <f>huishoudens!E8</f>
        <v>1459.9252520671128</v>
      </c>
      <c r="G11" s="970">
        <f>huishoudens!F8</f>
        <v>39692.477869060283</v>
      </c>
      <c r="H11" s="970">
        <f>huishoudens!G8</f>
        <v>0</v>
      </c>
      <c r="I11" s="970">
        <f>huishoudens!H8</f>
        <v>0</v>
      </c>
      <c r="J11" s="970">
        <f>huishoudens!I8</f>
        <v>0</v>
      </c>
      <c r="K11" s="970">
        <f>huishoudens!J8</f>
        <v>732.00018762160369</v>
      </c>
      <c r="L11" s="970">
        <f>huishoudens!K8</f>
        <v>0</v>
      </c>
      <c r="M11" s="970">
        <f>huishoudens!L8</f>
        <v>0</v>
      </c>
      <c r="N11" s="970">
        <f>huishoudens!M8</f>
        <v>0</v>
      </c>
      <c r="O11" s="970">
        <f>huishoudens!N8</f>
        <v>6671.2879592620593</v>
      </c>
      <c r="P11" s="970">
        <f>huishoudens!O8</f>
        <v>204.79666666666668</v>
      </c>
      <c r="Q11" s="971">
        <f>huishoudens!P8</f>
        <v>667.33333333333337</v>
      </c>
      <c r="R11" s="666">
        <f>SUM(C11:Q11)</f>
        <v>105984.88089199104</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14135.18086362</v>
      </c>
      <c r="D13" s="970">
        <f>industrie!C18</f>
        <v>0</v>
      </c>
      <c r="E13" s="970">
        <f>industrie!D18</f>
        <v>25260.954187067717</v>
      </c>
      <c r="F13" s="970">
        <f>industrie!E18</f>
        <v>596.1827578775908</v>
      </c>
      <c r="G13" s="970">
        <f>industrie!F18</f>
        <v>3628.7531010315874</v>
      </c>
      <c r="H13" s="970">
        <f>industrie!G18</f>
        <v>0</v>
      </c>
      <c r="I13" s="970">
        <f>industrie!H18</f>
        <v>0</v>
      </c>
      <c r="J13" s="970">
        <f>industrie!I18</f>
        <v>0</v>
      </c>
      <c r="K13" s="970">
        <f>industrie!J18</f>
        <v>21.056096298930044</v>
      </c>
      <c r="L13" s="970">
        <f>industrie!K18</f>
        <v>0</v>
      </c>
      <c r="M13" s="970">
        <f>industrie!L18</f>
        <v>0</v>
      </c>
      <c r="N13" s="970">
        <f>industrie!M18</f>
        <v>0</v>
      </c>
      <c r="O13" s="970">
        <f>industrie!N18</f>
        <v>4256.2321663338053</v>
      </c>
      <c r="P13" s="970">
        <f>industrie!O18</f>
        <v>0</v>
      </c>
      <c r="Q13" s="971">
        <f>industrie!P18</f>
        <v>0</v>
      </c>
      <c r="R13" s="666">
        <f>SUM(C13:Q13)</f>
        <v>47898.359172229641</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55608.649136983004</v>
      </c>
      <c r="D16" s="698">
        <f t="shared" ref="D16:R16" ca="1" si="0">SUM(D9:D15)</f>
        <v>0</v>
      </c>
      <c r="E16" s="698">
        <f t="shared" ca="1" si="0"/>
        <v>70798.607930037571</v>
      </c>
      <c r="F16" s="698">
        <f t="shared" si="0"/>
        <v>2426.8739927268425</v>
      </c>
      <c r="G16" s="698">
        <f t="shared" ca="1" si="0"/>
        <v>47825.998025881818</v>
      </c>
      <c r="H16" s="698">
        <f t="shared" si="0"/>
        <v>0</v>
      </c>
      <c r="I16" s="698">
        <f t="shared" si="0"/>
        <v>0</v>
      </c>
      <c r="J16" s="698">
        <f t="shared" si="0"/>
        <v>0</v>
      </c>
      <c r="K16" s="698">
        <f t="shared" si="0"/>
        <v>753.0562839205337</v>
      </c>
      <c r="L16" s="698">
        <f t="shared" si="0"/>
        <v>0</v>
      </c>
      <c r="M16" s="698">
        <f t="shared" ca="1" si="0"/>
        <v>0</v>
      </c>
      <c r="N16" s="698">
        <f t="shared" si="0"/>
        <v>0</v>
      </c>
      <c r="O16" s="698">
        <f t="shared" ca="1" si="0"/>
        <v>11882.302746171863</v>
      </c>
      <c r="P16" s="698">
        <f t="shared" si="0"/>
        <v>206.36</v>
      </c>
      <c r="Q16" s="698">
        <f t="shared" si="0"/>
        <v>705.4666666666667</v>
      </c>
      <c r="R16" s="698">
        <f t="shared" ca="1" si="0"/>
        <v>190207.31478238828</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9.994460123374699</v>
      </c>
      <c r="D19" s="970">
        <f>transport!C54</f>
        <v>0</v>
      </c>
      <c r="E19" s="970">
        <f>transport!D54</f>
        <v>0</v>
      </c>
      <c r="F19" s="970">
        <f>transport!E54</f>
        <v>0</v>
      </c>
      <c r="G19" s="970">
        <f>transport!F54</f>
        <v>0</v>
      </c>
      <c r="H19" s="970">
        <f>transport!G54</f>
        <v>1782.0333680044239</v>
      </c>
      <c r="I19" s="970">
        <f>transport!H54</f>
        <v>0</v>
      </c>
      <c r="J19" s="970">
        <f>transport!I54</f>
        <v>0</v>
      </c>
      <c r="K19" s="970">
        <f>transport!J54</f>
        <v>0</v>
      </c>
      <c r="L19" s="970">
        <f>transport!K54</f>
        <v>0</v>
      </c>
      <c r="M19" s="970">
        <f>transport!L54</f>
        <v>0</v>
      </c>
      <c r="N19" s="970">
        <f>transport!M54</f>
        <v>55.62817700656101</v>
      </c>
      <c r="O19" s="970">
        <f>transport!N54</f>
        <v>0</v>
      </c>
      <c r="P19" s="970">
        <f>transport!O54</f>
        <v>0</v>
      </c>
      <c r="Q19" s="971">
        <f>transport!P54</f>
        <v>0</v>
      </c>
      <c r="R19" s="666">
        <f>SUM(C19:Q19)</f>
        <v>1847.6560051343595</v>
      </c>
      <c r="S19" s="67"/>
    </row>
    <row r="20" spans="1:19" s="439" customFormat="1">
      <c r="A20" s="775" t="s">
        <v>296</v>
      </c>
      <c r="B20" s="780"/>
      <c r="C20" s="970">
        <f>transport!B14</f>
        <v>15.010082530428548</v>
      </c>
      <c r="D20" s="970">
        <f>transport!C14</f>
        <v>0</v>
      </c>
      <c r="E20" s="970">
        <f>transport!D14</f>
        <v>26.746925801956152</v>
      </c>
      <c r="F20" s="970">
        <f>transport!E14</f>
        <v>120.72910507009273</v>
      </c>
      <c r="G20" s="970">
        <f>transport!F14</f>
        <v>0</v>
      </c>
      <c r="H20" s="970">
        <f>transport!G14</f>
        <v>47091.832520576638</v>
      </c>
      <c r="I20" s="970">
        <f>transport!H14</f>
        <v>8598.9838194471904</v>
      </c>
      <c r="J20" s="970">
        <f>transport!I14</f>
        <v>0</v>
      </c>
      <c r="K20" s="970">
        <f>transport!J14</f>
        <v>0</v>
      </c>
      <c r="L20" s="970">
        <f>transport!K14</f>
        <v>0</v>
      </c>
      <c r="M20" s="970">
        <f>transport!L14</f>
        <v>0</v>
      </c>
      <c r="N20" s="970">
        <f>transport!M14</f>
        <v>1739.2166049374739</v>
      </c>
      <c r="O20" s="970">
        <f>transport!N14</f>
        <v>0</v>
      </c>
      <c r="P20" s="970">
        <f>transport!O14</f>
        <v>0</v>
      </c>
      <c r="Q20" s="971">
        <f>transport!P14</f>
        <v>0</v>
      </c>
      <c r="R20" s="666">
        <f>SUM(C20:Q20)</f>
        <v>57592.519058363774</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25.004542653803249</v>
      </c>
      <c r="D22" s="778">
        <f t="shared" ref="D22:R22" si="1">SUM(D18:D21)</f>
        <v>0</v>
      </c>
      <c r="E22" s="778">
        <f t="shared" si="1"/>
        <v>26.746925801956152</v>
      </c>
      <c r="F22" s="778">
        <f t="shared" si="1"/>
        <v>120.72910507009273</v>
      </c>
      <c r="G22" s="778">
        <f t="shared" si="1"/>
        <v>0</v>
      </c>
      <c r="H22" s="778">
        <f t="shared" si="1"/>
        <v>48873.865888581058</v>
      </c>
      <c r="I22" s="778">
        <f t="shared" si="1"/>
        <v>8598.9838194471904</v>
      </c>
      <c r="J22" s="778">
        <f t="shared" si="1"/>
        <v>0</v>
      </c>
      <c r="K22" s="778">
        <f t="shared" si="1"/>
        <v>0</v>
      </c>
      <c r="L22" s="778">
        <f t="shared" si="1"/>
        <v>0</v>
      </c>
      <c r="M22" s="778">
        <f t="shared" si="1"/>
        <v>0</v>
      </c>
      <c r="N22" s="778">
        <f t="shared" si="1"/>
        <v>1794.8447819440348</v>
      </c>
      <c r="O22" s="778">
        <f t="shared" si="1"/>
        <v>0</v>
      </c>
      <c r="P22" s="778">
        <f t="shared" si="1"/>
        <v>0</v>
      </c>
      <c r="Q22" s="778">
        <f t="shared" si="1"/>
        <v>0</v>
      </c>
      <c r="R22" s="778">
        <f t="shared" si="1"/>
        <v>59440.175063498136</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116.74497061299999</v>
      </c>
      <c r="D24" s="970">
        <f>+landbouw!C8</f>
        <v>0</v>
      </c>
      <c r="E24" s="970">
        <f>+landbouw!D8</f>
        <v>32.456520554123607</v>
      </c>
      <c r="F24" s="970">
        <f>+landbouw!E8</f>
        <v>3.0104045432462994</v>
      </c>
      <c r="G24" s="970">
        <f>+landbouw!F8</f>
        <v>426.72510059015264</v>
      </c>
      <c r="H24" s="970">
        <f>+landbouw!G8</f>
        <v>0</v>
      </c>
      <c r="I24" s="970">
        <f>+landbouw!H8</f>
        <v>0</v>
      </c>
      <c r="J24" s="970">
        <f>+landbouw!I8</f>
        <v>0</v>
      </c>
      <c r="K24" s="970">
        <f>+landbouw!J8</f>
        <v>16.806981111072933</v>
      </c>
      <c r="L24" s="970">
        <f>+landbouw!K8</f>
        <v>0</v>
      </c>
      <c r="M24" s="970">
        <f>+landbouw!L8</f>
        <v>0</v>
      </c>
      <c r="N24" s="970">
        <f>+landbouw!M8</f>
        <v>0</v>
      </c>
      <c r="O24" s="970">
        <f>+landbouw!N8</f>
        <v>0</v>
      </c>
      <c r="P24" s="970">
        <f>+landbouw!O8</f>
        <v>0</v>
      </c>
      <c r="Q24" s="971">
        <f>+landbouw!P8</f>
        <v>0</v>
      </c>
      <c r="R24" s="666">
        <f>SUM(C24:Q24)</f>
        <v>595.74397741159544</v>
      </c>
      <c r="S24" s="67"/>
    </row>
    <row r="25" spans="1:19" s="439" customFormat="1" ht="15" thickBot="1">
      <c r="A25" s="797" t="s">
        <v>815</v>
      </c>
      <c r="B25" s="973"/>
      <c r="C25" s="974">
        <f>IF(Onbekend_ele_kWh="---",0,Onbekend_ele_kWh)/1000+IF(REST_rest_ele_kWh="---",0,REST_rest_ele_kWh)/1000</f>
        <v>751.99585730000001</v>
      </c>
      <c r="D25" s="974"/>
      <c r="E25" s="974">
        <f>IF(onbekend_gas_kWh="---",0,onbekend_gas_kWh)/1000+IF(REST_rest_gas_kWh="---",0,REST_rest_gas_kWh)/1000</f>
        <v>960.20331700999998</v>
      </c>
      <c r="F25" s="974"/>
      <c r="G25" s="974"/>
      <c r="H25" s="974"/>
      <c r="I25" s="974"/>
      <c r="J25" s="974"/>
      <c r="K25" s="974"/>
      <c r="L25" s="974"/>
      <c r="M25" s="974"/>
      <c r="N25" s="974"/>
      <c r="O25" s="974"/>
      <c r="P25" s="974"/>
      <c r="Q25" s="975"/>
      <c r="R25" s="666">
        <f>SUM(C25:Q25)</f>
        <v>1712.19917431</v>
      </c>
      <c r="S25" s="67"/>
    </row>
    <row r="26" spans="1:19" s="439" customFormat="1" ht="15.75" thickBot="1">
      <c r="A26" s="671" t="s">
        <v>816</v>
      </c>
      <c r="B26" s="783"/>
      <c r="C26" s="778">
        <f>SUM(C24:C25)</f>
        <v>868.74082791299998</v>
      </c>
      <c r="D26" s="778">
        <f t="shared" ref="D26:R26" si="2">SUM(D24:D25)</f>
        <v>0</v>
      </c>
      <c r="E26" s="778">
        <f t="shared" si="2"/>
        <v>992.65983756412356</v>
      </c>
      <c r="F26" s="778">
        <f t="shared" si="2"/>
        <v>3.0104045432462994</v>
      </c>
      <c r="G26" s="778">
        <f t="shared" si="2"/>
        <v>426.72510059015264</v>
      </c>
      <c r="H26" s="778">
        <f t="shared" si="2"/>
        <v>0</v>
      </c>
      <c r="I26" s="778">
        <f t="shared" si="2"/>
        <v>0</v>
      </c>
      <c r="J26" s="778">
        <f t="shared" si="2"/>
        <v>0</v>
      </c>
      <c r="K26" s="778">
        <f t="shared" si="2"/>
        <v>16.806981111072933</v>
      </c>
      <c r="L26" s="778">
        <f t="shared" si="2"/>
        <v>0</v>
      </c>
      <c r="M26" s="778">
        <f t="shared" si="2"/>
        <v>0</v>
      </c>
      <c r="N26" s="778">
        <f t="shared" si="2"/>
        <v>0</v>
      </c>
      <c r="O26" s="778">
        <f t="shared" si="2"/>
        <v>0</v>
      </c>
      <c r="P26" s="778">
        <f t="shared" si="2"/>
        <v>0</v>
      </c>
      <c r="Q26" s="778">
        <f t="shared" si="2"/>
        <v>0</v>
      </c>
      <c r="R26" s="778">
        <f t="shared" si="2"/>
        <v>2307.9431517215953</v>
      </c>
      <c r="S26" s="67"/>
    </row>
    <row r="27" spans="1:19" s="439" customFormat="1" ht="17.25" thickTop="1" thickBot="1">
      <c r="A27" s="672" t="s">
        <v>109</v>
      </c>
      <c r="B27" s="771"/>
      <c r="C27" s="673">
        <f ca="1">C22+C16+C26</f>
        <v>56502.394507549812</v>
      </c>
      <c r="D27" s="673">
        <f t="shared" ref="D27:R27" ca="1" si="3">D22+D16+D26</f>
        <v>0</v>
      </c>
      <c r="E27" s="673">
        <f t="shared" ca="1" si="3"/>
        <v>71818.014693403646</v>
      </c>
      <c r="F27" s="673">
        <f t="shared" si="3"/>
        <v>2550.6135023401816</v>
      </c>
      <c r="G27" s="673">
        <f t="shared" ca="1" si="3"/>
        <v>48252.723126471974</v>
      </c>
      <c r="H27" s="673">
        <f t="shared" si="3"/>
        <v>48873.865888581058</v>
      </c>
      <c r="I27" s="673">
        <f t="shared" si="3"/>
        <v>8598.9838194471904</v>
      </c>
      <c r="J27" s="673">
        <f t="shared" si="3"/>
        <v>0</v>
      </c>
      <c r="K27" s="673">
        <f t="shared" si="3"/>
        <v>769.8632650316066</v>
      </c>
      <c r="L27" s="673">
        <f t="shared" si="3"/>
        <v>0</v>
      </c>
      <c r="M27" s="673">
        <f t="shared" ca="1" si="3"/>
        <v>0</v>
      </c>
      <c r="N27" s="673">
        <f t="shared" si="3"/>
        <v>1794.8447819440348</v>
      </c>
      <c r="O27" s="673">
        <f t="shared" ca="1" si="3"/>
        <v>11882.302746171863</v>
      </c>
      <c r="P27" s="673">
        <f t="shared" si="3"/>
        <v>206.36</v>
      </c>
      <c r="Q27" s="673">
        <f t="shared" si="3"/>
        <v>705.4666666666667</v>
      </c>
      <c r="R27" s="673">
        <f t="shared" ca="1" si="3"/>
        <v>251955.432997608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3947.8777078560938</v>
      </c>
      <c r="D40" s="970">
        <f ca="1">tertiair!C20</f>
        <v>0</v>
      </c>
      <c r="E40" s="970">
        <f ca="1">tertiair!D20</f>
        <v>2335.358083214318</v>
      </c>
      <c r="F40" s="970">
        <f>tertiair!E20</f>
        <v>84.16387809154547</v>
      </c>
      <c r="G40" s="970">
        <f ca="1">tertiair!F20</f>
        <v>1202.7728038959165</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7570.1724730578744</v>
      </c>
    </row>
    <row r="41" spans="1:18">
      <c r="A41" s="788" t="s">
        <v>214</v>
      </c>
      <c r="B41" s="795"/>
      <c r="C41" s="970">
        <f ca="1">huishoudens!B12</f>
        <v>4718.4636999172344</v>
      </c>
      <c r="D41" s="970">
        <f ca="1">huishoudens!C12</f>
        <v>0</v>
      </c>
      <c r="E41" s="970">
        <f>huishoudens!D12</f>
        <v>6863.2479728655926</v>
      </c>
      <c r="F41" s="970">
        <f>huishoudens!E12</f>
        <v>331.4030322192346</v>
      </c>
      <c r="G41" s="970">
        <f>huishoudens!F12</f>
        <v>10597.891591039097</v>
      </c>
      <c r="H41" s="970">
        <f>huishoudens!G12</f>
        <v>0</v>
      </c>
      <c r="I41" s="970">
        <f>huishoudens!H12</f>
        <v>0</v>
      </c>
      <c r="J41" s="970">
        <f>huishoudens!I12</f>
        <v>0</v>
      </c>
      <c r="K41" s="970">
        <f>huishoudens!J12</f>
        <v>259.12806641804769</v>
      </c>
      <c r="L41" s="970">
        <f>huishoudens!K12</f>
        <v>0</v>
      </c>
      <c r="M41" s="970">
        <f>huishoudens!L12</f>
        <v>0</v>
      </c>
      <c r="N41" s="970">
        <f>huishoudens!M12</f>
        <v>0</v>
      </c>
      <c r="O41" s="970">
        <f>huishoudens!N12</f>
        <v>0</v>
      </c>
      <c r="P41" s="970">
        <f>huishoudens!O12</f>
        <v>0</v>
      </c>
      <c r="Q41" s="740">
        <f>huishoudens!P12</f>
        <v>0</v>
      </c>
      <c r="R41" s="816">
        <f t="shared" ca="1" si="4"/>
        <v>22770.134362459208</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2953.7028930718329</v>
      </c>
      <c r="D43" s="970">
        <f ca="1">industrie!C22</f>
        <v>0</v>
      </c>
      <c r="E43" s="970">
        <f>industrie!D22</f>
        <v>5102.7127457876795</v>
      </c>
      <c r="F43" s="970">
        <f>industrie!E22</f>
        <v>135.33348603821312</v>
      </c>
      <c r="G43" s="970">
        <f>industrie!F22</f>
        <v>968.87707797543385</v>
      </c>
      <c r="H43" s="970">
        <f>industrie!G22</f>
        <v>0</v>
      </c>
      <c r="I43" s="970">
        <f>industrie!H22</f>
        <v>0</v>
      </c>
      <c r="J43" s="970">
        <f>industrie!I22</f>
        <v>0</v>
      </c>
      <c r="K43" s="970">
        <f>industrie!J22</f>
        <v>7.4538580898212352</v>
      </c>
      <c r="L43" s="970">
        <f>industrie!K22</f>
        <v>0</v>
      </c>
      <c r="M43" s="970">
        <f>industrie!L22</f>
        <v>0</v>
      </c>
      <c r="N43" s="970">
        <f>industrie!M22</f>
        <v>0</v>
      </c>
      <c r="O43" s="970">
        <f>industrie!N22</f>
        <v>0</v>
      </c>
      <c r="P43" s="970">
        <f>industrie!O22</f>
        <v>0</v>
      </c>
      <c r="Q43" s="740">
        <f>industrie!P22</f>
        <v>0</v>
      </c>
      <c r="R43" s="815">
        <f t="shared" ca="1" si="4"/>
        <v>9168.0800609629805</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11620.044300845162</v>
      </c>
      <c r="D46" s="698">
        <f t="shared" ref="D46:Q46" ca="1" si="5">SUM(D39:D45)</f>
        <v>0</v>
      </c>
      <c r="E46" s="698">
        <f t="shared" ca="1" si="5"/>
        <v>14301.31880186759</v>
      </c>
      <c r="F46" s="698">
        <f t="shared" si="5"/>
        <v>550.90039634899324</v>
      </c>
      <c r="G46" s="698">
        <f t="shared" ca="1" si="5"/>
        <v>12769.541472910447</v>
      </c>
      <c r="H46" s="698">
        <f t="shared" si="5"/>
        <v>0</v>
      </c>
      <c r="I46" s="698">
        <f t="shared" si="5"/>
        <v>0</v>
      </c>
      <c r="J46" s="698">
        <f t="shared" si="5"/>
        <v>0</v>
      </c>
      <c r="K46" s="698">
        <f t="shared" si="5"/>
        <v>266.58192450786891</v>
      </c>
      <c r="L46" s="698">
        <f t="shared" si="5"/>
        <v>0</v>
      </c>
      <c r="M46" s="698">
        <f t="shared" ca="1" si="5"/>
        <v>0</v>
      </c>
      <c r="N46" s="698">
        <f t="shared" si="5"/>
        <v>0</v>
      </c>
      <c r="O46" s="698">
        <f t="shared" ca="1" si="5"/>
        <v>0</v>
      </c>
      <c r="P46" s="698">
        <f t="shared" si="5"/>
        <v>0</v>
      </c>
      <c r="Q46" s="698">
        <f t="shared" si="5"/>
        <v>0</v>
      </c>
      <c r="R46" s="698">
        <f ca="1">SUM(R39:R45)</f>
        <v>39508.386896480064</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2.0884533467188131</v>
      </c>
      <c r="D49" s="970">
        <f ca="1">transport!C58</f>
        <v>0</v>
      </c>
      <c r="E49" s="970">
        <f>transport!D58</f>
        <v>0</v>
      </c>
      <c r="F49" s="970">
        <f>transport!E58</f>
        <v>0</v>
      </c>
      <c r="G49" s="970">
        <f>transport!F58</f>
        <v>0</v>
      </c>
      <c r="H49" s="970">
        <f>transport!G58</f>
        <v>475.80290925718123</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477.89136260390006</v>
      </c>
    </row>
    <row r="50" spans="1:18">
      <c r="A50" s="791" t="s">
        <v>296</v>
      </c>
      <c r="B50" s="801"/>
      <c r="C50" s="669">
        <f ca="1">transport!B18</f>
        <v>3.13652330473397</v>
      </c>
      <c r="D50" s="669">
        <f>transport!C18</f>
        <v>0</v>
      </c>
      <c r="E50" s="669">
        <f>transport!D18</f>
        <v>5.4028790119951431</v>
      </c>
      <c r="F50" s="669">
        <f>transport!E18</f>
        <v>27.405506850911049</v>
      </c>
      <c r="G50" s="669">
        <f>transport!F18</f>
        <v>0</v>
      </c>
      <c r="H50" s="669">
        <f>transport!G18</f>
        <v>12573.519282993962</v>
      </c>
      <c r="I50" s="669">
        <f>transport!H18</f>
        <v>2141.1469710423503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14750.611163203952</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5.2249766514527831</v>
      </c>
      <c r="D52" s="698">
        <f t="shared" ref="D52:Q52" ca="1" si="6">SUM(D48:D51)</f>
        <v>0</v>
      </c>
      <c r="E52" s="698">
        <f t="shared" si="6"/>
        <v>5.4028790119951431</v>
      </c>
      <c r="F52" s="698">
        <f t="shared" si="6"/>
        <v>27.405506850911049</v>
      </c>
      <c r="G52" s="698">
        <f t="shared" si="6"/>
        <v>0</v>
      </c>
      <c r="H52" s="698">
        <f t="shared" si="6"/>
        <v>13049.322192251144</v>
      </c>
      <c r="I52" s="698">
        <f t="shared" si="6"/>
        <v>2141.1469710423503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15228.502525807851</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24.395157074975955</v>
      </c>
      <c r="D54" s="669">
        <f ca="1">+landbouw!C12</f>
        <v>0</v>
      </c>
      <c r="E54" s="669">
        <f>+landbouw!D12</f>
        <v>6.5562171519329686</v>
      </c>
      <c r="F54" s="669">
        <f>+landbouw!E12</f>
        <v>0.68336183131690997</v>
      </c>
      <c r="G54" s="669">
        <f>+landbouw!F12</f>
        <v>113.93560185757076</v>
      </c>
      <c r="H54" s="669">
        <f>+landbouw!G12</f>
        <v>0</v>
      </c>
      <c r="I54" s="669">
        <f>+landbouw!H12</f>
        <v>0</v>
      </c>
      <c r="J54" s="669">
        <f>+landbouw!I12</f>
        <v>0</v>
      </c>
      <c r="K54" s="669">
        <f>+landbouw!J12</f>
        <v>5.9496713133198176</v>
      </c>
      <c r="L54" s="669">
        <f>+landbouw!K12</f>
        <v>0</v>
      </c>
      <c r="M54" s="669">
        <f>+landbouw!L12</f>
        <v>0</v>
      </c>
      <c r="N54" s="669">
        <f>+landbouw!M12</f>
        <v>0</v>
      </c>
      <c r="O54" s="669">
        <f>+landbouw!N12</f>
        <v>0</v>
      </c>
      <c r="P54" s="669">
        <f>+landbouw!O12</f>
        <v>0</v>
      </c>
      <c r="Q54" s="670">
        <f>+landbouw!P12</f>
        <v>0</v>
      </c>
      <c r="R54" s="697">
        <f ca="1">SUM(C54:Q54)</f>
        <v>151.5200092291164</v>
      </c>
    </row>
    <row r="55" spans="1:18" ht="15" thickBot="1">
      <c r="A55" s="791" t="s">
        <v>815</v>
      </c>
      <c r="B55" s="801"/>
      <c r="C55" s="669">
        <f ca="1">C25*'EF ele_warmte'!B12</f>
        <v>157.13787893593349</v>
      </c>
      <c r="D55" s="669"/>
      <c r="E55" s="669">
        <f>E25*EF_CO2_aardgas</f>
        <v>193.96107003602</v>
      </c>
      <c r="F55" s="669"/>
      <c r="G55" s="669"/>
      <c r="H55" s="669"/>
      <c r="I55" s="669"/>
      <c r="J55" s="669"/>
      <c r="K55" s="669"/>
      <c r="L55" s="669"/>
      <c r="M55" s="669"/>
      <c r="N55" s="669"/>
      <c r="O55" s="669"/>
      <c r="P55" s="669"/>
      <c r="Q55" s="670"/>
      <c r="R55" s="697">
        <f ca="1">SUM(C55:Q55)</f>
        <v>351.09894897195352</v>
      </c>
    </row>
    <row r="56" spans="1:18" ht="15.75" thickBot="1">
      <c r="A56" s="789" t="s">
        <v>816</v>
      </c>
      <c r="B56" s="802"/>
      <c r="C56" s="698">
        <f ca="1">SUM(C54:C55)</f>
        <v>181.53303601090943</v>
      </c>
      <c r="D56" s="698">
        <f t="shared" ref="D56:Q56" ca="1" si="7">SUM(D54:D55)</f>
        <v>0</v>
      </c>
      <c r="E56" s="698">
        <f t="shared" si="7"/>
        <v>200.51728718795297</v>
      </c>
      <c r="F56" s="698">
        <f t="shared" si="7"/>
        <v>0.68336183131690997</v>
      </c>
      <c r="G56" s="698">
        <f t="shared" si="7"/>
        <v>113.93560185757076</v>
      </c>
      <c r="H56" s="698">
        <f t="shared" si="7"/>
        <v>0</v>
      </c>
      <c r="I56" s="698">
        <f t="shared" si="7"/>
        <v>0</v>
      </c>
      <c r="J56" s="698">
        <f t="shared" si="7"/>
        <v>0</v>
      </c>
      <c r="K56" s="698">
        <f t="shared" si="7"/>
        <v>5.9496713133198176</v>
      </c>
      <c r="L56" s="698">
        <f t="shared" si="7"/>
        <v>0</v>
      </c>
      <c r="M56" s="698">
        <f t="shared" si="7"/>
        <v>0</v>
      </c>
      <c r="N56" s="698">
        <f t="shared" si="7"/>
        <v>0</v>
      </c>
      <c r="O56" s="698">
        <f t="shared" si="7"/>
        <v>0</v>
      </c>
      <c r="P56" s="698">
        <f t="shared" si="7"/>
        <v>0</v>
      </c>
      <c r="Q56" s="699">
        <f t="shared" si="7"/>
        <v>0</v>
      </c>
      <c r="R56" s="700">
        <f ca="1">SUM(R54:R55)</f>
        <v>502.61895820106992</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11806.802313507524</v>
      </c>
      <c r="D61" s="706">
        <f t="shared" ref="D61:Q61" ca="1" si="8">D46+D52+D56</f>
        <v>0</v>
      </c>
      <c r="E61" s="706">
        <f t="shared" ca="1" si="8"/>
        <v>14507.238968067539</v>
      </c>
      <c r="F61" s="706">
        <f t="shared" si="8"/>
        <v>578.98926503122118</v>
      </c>
      <c r="G61" s="706">
        <f t="shared" ca="1" si="8"/>
        <v>12883.477074768018</v>
      </c>
      <c r="H61" s="706">
        <f t="shared" si="8"/>
        <v>13049.322192251144</v>
      </c>
      <c r="I61" s="706">
        <f t="shared" si="8"/>
        <v>2141.1469710423503</v>
      </c>
      <c r="J61" s="706">
        <f t="shared" si="8"/>
        <v>0</v>
      </c>
      <c r="K61" s="706">
        <f t="shared" si="8"/>
        <v>272.53159582118872</v>
      </c>
      <c r="L61" s="706">
        <f t="shared" si="8"/>
        <v>0</v>
      </c>
      <c r="M61" s="706">
        <f t="shared" ca="1" si="8"/>
        <v>0</v>
      </c>
      <c r="N61" s="706">
        <f t="shared" si="8"/>
        <v>0</v>
      </c>
      <c r="O61" s="706">
        <f t="shared" ca="1" si="8"/>
        <v>0</v>
      </c>
      <c r="P61" s="706">
        <f t="shared" si="8"/>
        <v>0</v>
      </c>
      <c r="Q61" s="706">
        <f t="shared" si="8"/>
        <v>0</v>
      </c>
      <c r="R61" s="706">
        <f ca="1">R46+R52+R56</f>
        <v>55239.508380488987</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0.20896109654131395</v>
      </c>
      <c r="D63" s="747">
        <f t="shared" ca="1" si="9"/>
        <v>0</v>
      </c>
      <c r="E63" s="981">
        <f t="shared" ca="1" si="9"/>
        <v>0.20200000000000004</v>
      </c>
      <c r="F63" s="747">
        <f t="shared" si="9"/>
        <v>0.22699999999999998</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0</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3077.9496500497003</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0</v>
      </c>
      <c r="C76" s="716">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340</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3077.9496500497003</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0</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22580.584510784</v>
      </c>
      <c r="C4" s="443">
        <f>huishoudens!C8</f>
        <v>0</v>
      </c>
      <c r="D4" s="443">
        <f>huishoudens!D8</f>
        <v>33976.475113196</v>
      </c>
      <c r="E4" s="443">
        <f>huishoudens!E8</f>
        <v>1459.9252520671128</v>
      </c>
      <c r="F4" s="443">
        <f>huishoudens!F8</f>
        <v>39692.477869060283</v>
      </c>
      <c r="G4" s="443">
        <f>huishoudens!G8</f>
        <v>0</v>
      </c>
      <c r="H4" s="443">
        <f>huishoudens!H8</f>
        <v>0</v>
      </c>
      <c r="I4" s="443">
        <f>huishoudens!I8</f>
        <v>0</v>
      </c>
      <c r="J4" s="443">
        <f>huishoudens!J8</f>
        <v>732.00018762160369</v>
      </c>
      <c r="K4" s="443">
        <f>huishoudens!K8</f>
        <v>0</v>
      </c>
      <c r="L4" s="443">
        <f>huishoudens!L8</f>
        <v>0</v>
      </c>
      <c r="M4" s="443">
        <f>huishoudens!M8</f>
        <v>0</v>
      </c>
      <c r="N4" s="443">
        <f>huishoudens!N8</f>
        <v>6671.2879592620593</v>
      </c>
      <c r="O4" s="443">
        <f>huishoudens!O8</f>
        <v>204.79666666666668</v>
      </c>
      <c r="P4" s="444">
        <f>huishoudens!P8</f>
        <v>667.33333333333337</v>
      </c>
      <c r="Q4" s="445">
        <f>SUM(B4:P4)</f>
        <v>105984.88089199104</v>
      </c>
    </row>
    <row r="5" spans="1:17">
      <c r="A5" s="442" t="s">
        <v>149</v>
      </c>
      <c r="B5" s="443">
        <f ca="1">tertiair!B16</f>
        <v>17965.261762579001</v>
      </c>
      <c r="C5" s="443">
        <f ca="1">tertiair!C16</f>
        <v>0</v>
      </c>
      <c r="D5" s="443">
        <f ca="1">tertiair!D16</f>
        <v>11561.178629773851</v>
      </c>
      <c r="E5" s="443">
        <f>tertiair!E16</f>
        <v>370.76598278213862</v>
      </c>
      <c r="F5" s="443">
        <f ca="1">tertiair!F16</f>
        <v>4504.7670557899492</v>
      </c>
      <c r="G5" s="443">
        <f>tertiair!G16</f>
        <v>0</v>
      </c>
      <c r="H5" s="443">
        <f>tertiair!H16</f>
        <v>0</v>
      </c>
      <c r="I5" s="443">
        <f>tertiair!I16</f>
        <v>0</v>
      </c>
      <c r="J5" s="443">
        <f>tertiair!J16</f>
        <v>0</v>
      </c>
      <c r="K5" s="443">
        <f>tertiair!K16</f>
        <v>0</v>
      </c>
      <c r="L5" s="443">
        <f ca="1">tertiair!L16</f>
        <v>0</v>
      </c>
      <c r="M5" s="443">
        <f>tertiair!M16</f>
        <v>0</v>
      </c>
      <c r="N5" s="443">
        <f ca="1">tertiair!N16</f>
        <v>954.78262057599898</v>
      </c>
      <c r="O5" s="443">
        <f>tertiair!O16</f>
        <v>1.5633333333333335</v>
      </c>
      <c r="P5" s="444">
        <f>tertiair!P16</f>
        <v>38.133333333333333</v>
      </c>
      <c r="Q5" s="442">
        <f t="shared" ref="Q5:Q14" ca="1" si="0">SUM(B5:P5)</f>
        <v>35396.452718167602</v>
      </c>
    </row>
    <row r="6" spans="1:17">
      <c r="A6" s="442" t="s">
        <v>187</v>
      </c>
      <c r="B6" s="443">
        <f>'openbare verlichting'!B8</f>
        <v>927.62199999999996</v>
      </c>
      <c r="C6" s="443"/>
      <c r="D6" s="443"/>
      <c r="E6" s="443"/>
      <c r="F6" s="443"/>
      <c r="G6" s="443"/>
      <c r="H6" s="443"/>
      <c r="I6" s="443"/>
      <c r="J6" s="443"/>
      <c r="K6" s="443"/>
      <c r="L6" s="443"/>
      <c r="M6" s="443"/>
      <c r="N6" s="443"/>
      <c r="O6" s="443"/>
      <c r="P6" s="444"/>
      <c r="Q6" s="442">
        <f t="shared" si="0"/>
        <v>927.62199999999996</v>
      </c>
    </row>
    <row r="7" spans="1:17">
      <c r="A7" s="442" t="s">
        <v>105</v>
      </c>
      <c r="B7" s="443">
        <f>landbouw!B8</f>
        <v>116.74497061299999</v>
      </c>
      <c r="C7" s="443">
        <f>landbouw!C8</f>
        <v>0</v>
      </c>
      <c r="D7" s="443">
        <f>landbouw!D8</f>
        <v>32.456520554123607</v>
      </c>
      <c r="E7" s="443">
        <f>landbouw!E8</f>
        <v>3.0104045432462994</v>
      </c>
      <c r="F7" s="443">
        <f>landbouw!F8</f>
        <v>426.72510059015264</v>
      </c>
      <c r="G7" s="443">
        <f>landbouw!G8</f>
        <v>0</v>
      </c>
      <c r="H7" s="443">
        <f>landbouw!H8</f>
        <v>0</v>
      </c>
      <c r="I7" s="443">
        <f>landbouw!I8</f>
        <v>0</v>
      </c>
      <c r="J7" s="443">
        <f>landbouw!J8</f>
        <v>16.806981111072933</v>
      </c>
      <c r="K7" s="443">
        <f>landbouw!K8</f>
        <v>0</v>
      </c>
      <c r="L7" s="443">
        <f>landbouw!L8</f>
        <v>0</v>
      </c>
      <c r="M7" s="443">
        <f>landbouw!M8</f>
        <v>0</v>
      </c>
      <c r="N7" s="443">
        <f>landbouw!N8</f>
        <v>0</v>
      </c>
      <c r="O7" s="443">
        <f>landbouw!O8</f>
        <v>0</v>
      </c>
      <c r="P7" s="444">
        <f>landbouw!P8</f>
        <v>0</v>
      </c>
      <c r="Q7" s="442">
        <f t="shared" si="0"/>
        <v>595.74397741159544</v>
      </c>
    </row>
    <row r="8" spans="1:17">
      <c r="A8" s="442" t="s">
        <v>625</v>
      </c>
      <c r="B8" s="443">
        <f>industrie!B18</f>
        <v>14135.18086362</v>
      </c>
      <c r="C8" s="443">
        <f>industrie!C18</f>
        <v>0</v>
      </c>
      <c r="D8" s="443">
        <f>industrie!D18</f>
        <v>25260.954187067717</v>
      </c>
      <c r="E8" s="443">
        <f>industrie!E18</f>
        <v>596.1827578775908</v>
      </c>
      <c r="F8" s="443">
        <f>industrie!F18</f>
        <v>3628.7531010315874</v>
      </c>
      <c r="G8" s="443">
        <f>industrie!G18</f>
        <v>0</v>
      </c>
      <c r="H8" s="443">
        <f>industrie!H18</f>
        <v>0</v>
      </c>
      <c r="I8" s="443">
        <f>industrie!I18</f>
        <v>0</v>
      </c>
      <c r="J8" s="443">
        <f>industrie!J18</f>
        <v>21.056096298930044</v>
      </c>
      <c r="K8" s="443">
        <f>industrie!K18</f>
        <v>0</v>
      </c>
      <c r="L8" s="443">
        <f>industrie!L18</f>
        <v>0</v>
      </c>
      <c r="M8" s="443">
        <f>industrie!M18</f>
        <v>0</v>
      </c>
      <c r="N8" s="443">
        <f>industrie!N18</f>
        <v>4256.2321663338053</v>
      </c>
      <c r="O8" s="443">
        <f>industrie!O18</f>
        <v>0</v>
      </c>
      <c r="P8" s="444">
        <f>industrie!P18</f>
        <v>0</v>
      </c>
      <c r="Q8" s="442">
        <f t="shared" si="0"/>
        <v>47898.359172229641</v>
      </c>
    </row>
    <row r="9" spans="1:17" s="448" customFormat="1">
      <c r="A9" s="446" t="s">
        <v>551</v>
      </c>
      <c r="B9" s="447">
        <f>transport!B14</f>
        <v>15.010082530428548</v>
      </c>
      <c r="C9" s="447">
        <f>transport!C14</f>
        <v>0</v>
      </c>
      <c r="D9" s="447">
        <f>transport!D14</f>
        <v>26.746925801956152</v>
      </c>
      <c r="E9" s="447">
        <f>transport!E14</f>
        <v>120.72910507009273</v>
      </c>
      <c r="F9" s="447">
        <f>transport!F14</f>
        <v>0</v>
      </c>
      <c r="G9" s="447">
        <f>transport!G14</f>
        <v>47091.832520576638</v>
      </c>
      <c r="H9" s="447">
        <f>transport!H14</f>
        <v>8598.9838194471904</v>
      </c>
      <c r="I9" s="447">
        <f>transport!I14</f>
        <v>0</v>
      </c>
      <c r="J9" s="447">
        <f>transport!J14</f>
        <v>0</v>
      </c>
      <c r="K9" s="447">
        <f>transport!K14</f>
        <v>0</v>
      </c>
      <c r="L9" s="447">
        <f>transport!L14</f>
        <v>0</v>
      </c>
      <c r="M9" s="447">
        <f>transport!M14</f>
        <v>1739.2166049374739</v>
      </c>
      <c r="N9" s="447">
        <f>transport!N14</f>
        <v>0</v>
      </c>
      <c r="O9" s="447">
        <f>transport!O14</f>
        <v>0</v>
      </c>
      <c r="P9" s="447">
        <f>transport!P14</f>
        <v>0</v>
      </c>
      <c r="Q9" s="446">
        <f>SUM(B9:P9)</f>
        <v>57592.519058363774</v>
      </c>
    </row>
    <row r="10" spans="1:17">
      <c r="A10" s="442" t="s">
        <v>541</v>
      </c>
      <c r="B10" s="443">
        <f>transport!B54</f>
        <v>9.994460123374699</v>
      </c>
      <c r="C10" s="443">
        <f>transport!C54</f>
        <v>0</v>
      </c>
      <c r="D10" s="443">
        <f>transport!D54</f>
        <v>0</v>
      </c>
      <c r="E10" s="443">
        <f>transport!E54</f>
        <v>0</v>
      </c>
      <c r="F10" s="443">
        <f>transport!F54</f>
        <v>0</v>
      </c>
      <c r="G10" s="443">
        <f>transport!G54</f>
        <v>1782.0333680044239</v>
      </c>
      <c r="H10" s="443">
        <f>transport!H54</f>
        <v>0</v>
      </c>
      <c r="I10" s="443">
        <f>transport!I54</f>
        <v>0</v>
      </c>
      <c r="J10" s="443">
        <f>transport!J54</f>
        <v>0</v>
      </c>
      <c r="K10" s="443">
        <f>transport!K54</f>
        <v>0</v>
      </c>
      <c r="L10" s="443">
        <f>transport!L54</f>
        <v>0</v>
      </c>
      <c r="M10" s="443">
        <f>transport!M54</f>
        <v>55.62817700656101</v>
      </c>
      <c r="N10" s="443">
        <f>transport!N54</f>
        <v>0</v>
      </c>
      <c r="O10" s="443">
        <f>transport!O54</f>
        <v>0</v>
      </c>
      <c r="P10" s="444">
        <f>transport!P54</f>
        <v>0</v>
      </c>
      <c r="Q10" s="442">
        <f t="shared" si="0"/>
        <v>1847.6560051343595</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751.99585730000001</v>
      </c>
      <c r="C14" s="450"/>
      <c r="D14" s="450">
        <f>'SEAP template'!E25</f>
        <v>960.20331700999998</v>
      </c>
      <c r="E14" s="450"/>
      <c r="F14" s="450"/>
      <c r="G14" s="450"/>
      <c r="H14" s="450"/>
      <c r="I14" s="450"/>
      <c r="J14" s="450"/>
      <c r="K14" s="450"/>
      <c r="L14" s="450"/>
      <c r="M14" s="450"/>
      <c r="N14" s="450"/>
      <c r="O14" s="450"/>
      <c r="P14" s="451"/>
      <c r="Q14" s="442">
        <f t="shared" si="0"/>
        <v>1712.19917431</v>
      </c>
    </row>
    <row r="15" spans="1:17" s="452" customFormat="1">
      <c r="A15" s="996" t="s">
        <v>545</v>
      </c>
      <c r="B15" s="936">
        <f ca="1">SUM(B4:B14)</f>
        <v>56502.394507549798</v>
      </c>
      <c r="C15" s="936">
        <f t="shared" ref="C15:Q15" ca="1" si="1">SUM(C4:C14)</f>
        <v>0</v>
      </c>
      <c r="D15" s="936">
        <f t="shared" ca="1" si="1"/>
        <v>71818.014693403646</v>
      </c>
      <c r="E15" s="936">
        <f t="shared" si="1"/>
        <v>2550.6135023401816</v>
      </c>
      <c r="F15" s="936">
        <f t="shared" ca="1" si="1"/>
        <v>48252.723126471974</v>
      </c>
      <c r="G15" s="936">
        <f t="shared" si="1"/>
        <v>48873.865888581058</v>
      </c>
      <c r="H15" s="936">
        <f t="shared" si="1"/>
        <v>8598.9838194471904</v>
      </c>
      <c r="I15" s="936">
        <f t="shared" si="1"/>
        <v>0</v>
      </c>
      <c r="J15" s="936">
        <f t="shared" si="1"/>
        <v>769.8632650316066</v>
      </c>
      <c r="K15" s="936">
        <f t="shared" si="1"/>
        <v>0</v>
      </c>
      <c r="L15" s="936">
        <f t="shared" ca="1" si="1"/>
        <v>0</v>
      </c>
      <c r="M15" s="936">
        <f t="shared" si="1"/>
        <v>1794.8447819440348</v>
      </c>
      <c r="N15" s="936">
        <f t="shared" ca="1" si="1"/>
        <v>11882.302746171863</v>
      </c>
      <c r="O15" s="936">
        <f t="shared" si="1"/>
        <v>206.36</v>
      </c>
      <c r="P15" s="936">
        <f t="shared" si="1"/>
        <v>705.4666666666667</v>
      </c>
      <c r="Q15" s="936">
        <f t="shared" ca="1" si="1"/>
        <v>251955.432997608</v>
      </c>
    </row>
    <row r="17" spans="1:17">
      <c r="A17" s="453" t="s">
        <v>546</v>
      </c>
      <c r="B17" s="752">
        <f ca="1">huishoudens!B10</f>
        <v>0.20896109654131398</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4718.4636999172344</v>
      </c>
      <c r="C22" s="443">
        <f t="shared" ref="C22:C32" ca="1" si="3">C4*$C$17</f>
        <v>0</v>
      </c>
      <c r="D22" s="443">
        <f t="shared" ref="D22:D32" si="4">D4*$D$17</f>
        <v>6863.2479728655926</v>
      </c>
      <c r="E22" s="443">
        <f t="shared" ref="E22:E32" si="5">E4*$E$17</f>
        <v>331.4030322192346</v>
      </c>
      <c r="F22" s="443">
        <f t="shared" ref="F22:F32" si="6">F4*$F$17</f>
        <v>10597.891591039097</v>
      </c>
      <c r="G22" s="443">
        <f t="shared" ref="G22:G32" si="7">G4*$G$17</f>
        <v>0</v>
      </c>
      <c r="H22" s="443">
        <f t="shared" ref="H22:H32" si="8">H4*$H$17</f>
        <v>0</v>
      </c>
      <c r="I22" s="443">
        <f t="shared" ref="I22:I32" si="9">I4*$I$17</f>
        <v>0</v>
      </c>
      <c r="J22" s="443">
        <f t="shared" ref="J22:J32" si="10">J4*$J$17</f>
        <v>259.12806641804769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22770.134362459208</v>
      </c>
    </row>
    <row r="23" spans="1:17">
      <c r="A23" s="442" t="s">
        <v>149</v>
      </c>
      <c r="B23" s="443">
        <f t="shared" ca="1" si="2"/>
        <v>3754.040797560247</v>
      </c>
      <c r="C23" s="443">
        <f t="shared" ca="1" si="3"/>
        <v>0</v>
      </c>
      <c r="D23" s="443">
        <f t="shared" ca="1" si="4"/>
        <v>2335.358083214318</v>
      </c>
      <c r="E23" s="443">
        <f t="shared" si="5"/>
        <v>84.16387809154547</v>
      </c>
      <c r="F23" s="443">
        <f t="shared" ca="1" si="6"/>
        <v>1202.7728038959165</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7376.3355627620267</v>
      </c>
    </row>
    <row r="24" spans="1:17">
      <c r="A24" s="442" t="s">
        <v>187</v>
      </c>
      <c r="B24" s="443">
        <f t="shared" ca="1" si="2"/>
        <v>193.83691029584674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193.83691029584674</v>
      </c>
    </row>
    <row r="25" spans="1:17">
      <c r="A25" s="442" t="s">
        <v>105</v>
      </c>
      <c r="B25" s="443">
        <f t="shared" ca="1" si="2"/>
        <v>24.395157074975955</v>
      </c>
      <c r="C25" s="443">
        <f t="shared" ca="1" si="3"/>
        <v>0</v>
      </c>
      <c r="D25" s="443">
        <f t="shared" si="4"/>
        <v>6.5562171519329686</v>
      </c>
      <c r="E25" s="443">
        <f t="shared" si="5"/>
        <v>0.68336183131690997</v>
      </c>
      <c r="F25" s="443">
        <f t="shared" si="6"/>
        <v>113.93560185757076</v>
      </c>
      <c r="G25" s="443">
        <f t="shared" si="7"/>
        <v>0</v>
      </c>
      <c r="H25" s="443">
        <f t="shared" si="8"/>
        <v>0</v>
      </c>
      <c r="I25" s="443">
        <f t="shared" si="9"/>
        <v>0</v>
      </c>
      <c r="J25" s="443">
        <f t="shared" si="10"/>
        <v>5.9496713133198176</v>
      </c>
      <c r="K25" s="443">
        <f t="shared" si="11"/>
        <v>0</v>
      </c>
      <c r="L25" s="443">
        <f t="shared" si="12"/>
        <v>0</v>
      </c>
      <c r="M25" s="443">
        <f t="shared" si="13"/>
        <v>0</v>
      </c>
      <c r="N25" s="443">
        <f t="shared" si="14"/>
        <v>0</v>
      </c>
      <c r="O25" s="443">
        <f t="shared" si="15"/>
        <v>0</v>
      </c>
      <c r="P25" s="444">
        <f t="shared" si="16"/>
        <v>0</v>
      </c>
      <c r="Q25" s="442">
        <f t="shared" ca="1" si="17"/>
        <v>151.5200092291164</v>
      </c>
    </row>
    <row r="26" spans="1:17">
      <c r="A26" s="442" t="s">
        <v>625</v>
      </c>
      <c r="B26" s="443">
        <f t="shared" ca="1" si="2"/>
        <v>2953.7028930718329</v>
      </c>
      <c r="C26" s="443">
        <f t="shared" ca="1" si="3"/>
        <v>0</v>
      </c>
      <c r="D26" s="443">
        <f t="shared" si="4"/>
        <v>5102.7127457876795</v>
      </c>
      <c r="E26" s="443">
        <f t="shared" si="5"/>
        <v>135.33348603821312</v>
      </c>
      <c r="F26" s="443">
        <f t="shared" si="6"/>
        <v>968.87707797543385</v>
      </c>
      <c r="G26" s="443">
        <f t="shared" si="7"/>
        <v>0</v>
      </c>
      <c r="H26" s="443">
        <f t="shared" si="8"/>
        <v>0</v>
      </c>
      <c r="I26" s="443">
        <f t="shared" si="9"/>
        <v>0</v>
      </c>
      <c r="J26" s="443">
        <f t="shared" si="10"/>
        <v>7.4538580898212352</v>
      </c>
      <c r="K26" s="443">
        <f t="shared" si="11"/>
        <v>0</v>
      </c>
      <c r="L26" s="443">
        <f t="shared" si="12"/>
        <v>0</v>
      </c>
      <c r="M26" s="443">
        <f t="shared" si="13"/>
        <v>0</v>
      </c>
      <c r="N26" s="443">
        <f t="shared" si="14"/>
        <v>0</v>
      </c>
      <c r="O26" s="443">
        <f t="shared" si="15"/>
        <v>0</v>
      </c>
      <c r="P26" s="444">
        <f t="shared" si="16"/>
        <v>0</v>
      </c>
      <c r="Q26" s="442">
        <f t="shared" ca="1" si="17"/>
        <v>9168.0800609629805</v>
      </c>
    </row>
    <row r="27" spans="1:17" s="448" customFormat="1">
      <c r="A27" s="446" t="s">
        <v>551</v>
      </c>
      <c r="B27" s="746">
        <f t="shared" ca="1" si="2"/>
        <v>3.13652330473397</v>
      </c>
      <c r="C27" s="447">
        <f t="shared" ca="1" si="3"/>
        <v>0</v>
      </c>
      <c r="D27" s="447">
        <f t="shared" si="4"/>
        <v>5.4028790119951431</v>
      </c>
      <c r="E27" s="447">
        <f t="shared" si="5"/>
        <v>27.405506850911049</v>
      </c>
      <c r="F27" s="447">
        <f t="shared" si="6"/>
        <v>0</v>
      </c>
      <c r="G27" s="447">
        <f t="shared" si="7"/>
        <v>12573.519282993962</v>
      </c>
      <c r="H27" s="447">
        <f t="shared" si="8"/>
        <v>2141.1469710423503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14750.611163203952</v>
      </c>
    </row>
    <row r="28" spans="1:17">
      <c r="A28" s="442" t="s">
        <v>541</v>
      </c>
      <c r="B28" s="443">
        <f t="shared" ca="1" si="2"/>
        <v>2.0884533467188131</v>
      </c>
      <c r="C28" s="443">
        <f t="shared" ca="1" si="3"/>
        <v>0</v>
      </c>
      <c r="D28" s="443">
        <f t="shared" si="4"/>
        <v>0</v>
      </c>
      <c r="E28" s="443">
        <f t="shared" si="5"/>
        <v>0</v>
      </c>
      <c r="F28" s="443">
        <f t="shared" si="6"/>
        <v>0</v>
      </c>
      <c r="G28" s="443">
        <f t="shared" si="7"/>
        <v>475.80290925718123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477.89136260390006</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157.13787893593349</v>
      </c>
      <c r="C32" s="443">
        <f t="shared" ca="1" si="3"/>
        <v>0</v>
      </c>
      <c r="D32" s="443">
        <f t="shared" si="4"/>
        <v>193.96107003602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351.09894897195352</v>
      </c>
    </row>
    <row r="33" spans="1:17" s="452" customFormat="1">
      <c r="A33" s="996" t="s">
        <v>545</v>
      </c>
      <c r="B33" s="936">
        <f ca="1">SUM(B22:B32)</f>
        <v>11806.802313507524</v>
      </c>
      <c r="C33" s="936">
        <f t="shared" ref="C33:Q33" ca="1" si="18">SUM(C22:C32)</f>
        <v>0</v>
      </c>
      <c r="D33" s="936">
        <f t="shared" ca="1" si="18"/>
        <v>14507.238968067539</v>
      </c>
      <c r="E33" s="936">
        <f t="shared" si="18"/>
        <v>578.98926503122118</v>
      </c>
      <c r="F33" s="936">
        <f t="shared" ca="1" si="18"/>
        <v>12883.477074768018</v>
      </c>
      <c r="G33" s="936">
        <f t="shared" si="18"/>
        <v>13049.322192251144</v>
      </c>
      <c r="H33" s="936">
        <f t="shared" si="18"/>
        <v>2141.1469710423503</v>
      </c>
      <c r="I33" s="936">
        <f t="shared" si="18"/>
        <v>0</v>
      </c>
      <c r="J33" s="936">
        <f t="shared" si="18"/>
        <v>272.53159582118872</v>
      </c>
      <c r="K33" s="936">
        <f t="shared" si="18"/>
        <v>0</v>
      </c>
      <c r="L33" s="936">
        <f t="shared" ca="1" si="18"/>
        <v>0</v>
      </c>
      <c r="M33" s="936">
        <f t="shared" si="18"/>
        <v>0</v>
      </c>
      <c r="N33" s="936">
        <f t="shared" ca="1" si="18"/>
        <v>0</v>
      </c>
      <c r="O33" s="936">
        <f t="shared" si="18"/>
        <v>0</v>
      </c>
      <c r="P33" s="936">
        <f t="shared" si="18"/>
        <v>0</v>
      </c>
      <c r="Q33" s="936">
        <f t="shared" ca="1" si="18"/>
        <v>55239.50838048898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3077.9496500497003</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830</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3077.9496500497003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0.20896109654131398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0</v>
      </c>
      <c r="C17" s="1019">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53" t="s">
        <v>838</v>
      </c>
      <c r="B22" s="752" t="s">
        <v>832</v>
      </c>
      <c r="C22" s="752">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0.20896109654131398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0</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0</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0</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0</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0.20896109654131398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0.20896109654131398</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4822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468.04</v>
      </c>
      <c r="C14" s="324"/>
      <c r="D14" s="324"/>
      <c r="E14" s="324"/>
      <c r="F14" s="324"/>
    </row>
    <row r="15" spans="1:6">
      <c r="A15" s="1288" t="s">
        <v>177</v>
      </c>
      <c r="B15" s="1289">
        <v>4</v>
      </c>
      <c r="C15" s="324"/>
      <c r="D15" s="324"/>
      <c r="E15" s="324"/>
      <c r="F15" s="324"/>
    </row>
    <row r="16" spans="1:6">
      <c r="A16" s="1288" t="s">
        <v>6</v>
      </c>
      <c r="B16" s="1289">
        <v>142</v>
      </c>
      <c r="C16" s="324"/>
      <c r="D16" s="324"/>
      <c r="E16" s="324"/>
      <c r="F16" s="324"/>
    </row>
    <row r="17" spans="1:6">
      <c r="A17" s="1288" t="s">
        <v>7</v>
      </c>
      <c r="B17" s="1289">
        <v>38</v>
      </c>
      <c r="C17" s="324"/>
      <c r="D17" s="324"/>
      <c r="E17" s="324"/>
      <c r="F17" s="324"/>
    </row>
    <row r="18" spans="1:6">
      <c r="A18" s="1288" t="s">
        <v>8</v>
      </c>
      <c r="B18" s="1289">
        <v>89</v>
      </c>
      <c r="C18" s="324"/>
      <c r="D18" s="324"/>
      <c r="E18" s="324"/>
      <c r="F18" s="324"/>
    </row>
    <row r="19" spans="1:6">
      <c r="A19" s="1288" t="s">
        <v>9</v>
      </c>
      <c r="B19" s="1289">
        <v>52</v>
      </c>
      <c r="C19" s="324"/>
      <c r="D19" s="324"/>
      <c r="E19" s="324"/>
      <c r="F19" s="324"/>
    </row>
    <row r="20" spans="1:6">
      <c r="A20" s="1288" t="s">
        <v>10</v>
      </c>
      <c r="B20" s="1289">
        <v>80</v>
      </c>
      <c r="C20" s="324"/>
      <c r="D20" s="324"/>
      <c r="E20" s="324"/>
      <c r="F20" s="324"/>
    </row>
    <row r="21" spans="1:6">
      <c r="A21" s="1288" t="s">
        <v>11</v>
      </c>
      <c r="B21" s="1289">
        <v>0</v>
      </c>
      <c r="C21" s="324"/>
      <c r="D21" s="324"/>
      <c r="E21" s="324"/>
      <c r="F21" s="324"/>
    </row>
    <row r="22" spans="1:6">
      <c r="A22" s="1288" t="s">
        <v>12</v>
      </c>
      <c r="B22" s="1289">
        <v>0</v>
      </c>
      <c r="C22" s="324"/>
      <c r="D22" s="324"/>
      <c r="E22" s="324"/>
      <c r="F22" s="324"/>
    </row>
    <row r="23" spans="1:6">
      <c r="A23" s="1288" t="s">
        <v>13</v>
      </c>
      <c r="B23" s="1289">
        <v>0</v>
      </c>
      <c r="C23" s="324"/>
      <c r="D23" s="324"/>
      <c r="E23" s="324"/>
      <c r="F23" s="324"/>
    </row>
    <row r="24" spans="1:6">
      <c r="A24" s="1288" t="s">
        <v>14</v>
      </c>
      <c r="B24" s="1289">
        <v>0</v>
      </c>
      <c r="C24" s="324"/>
      <c r="D24" s="324"/>
      <c r="E24" s="324"/>
      <c r="F24" s="324"/>
    </row>
    <row r="25" spans="1:6">
      <c r="A25" s="1288" t="s">
        <v>15</v>
      </c>
      <c r="B25" s="1289">
        <v>0</v>
      </c>
      <c r="C25" s="324"/>
      <c r="D25" s="324"/>
      <c r="E25" s="324"/>
      <c r="F25" s="324"/>
    </row>
    <row r="26" spans="1:6">
      <c r="A26" s="1288" t="s">
        <v>16</v>
      </c>
      <c r="B26" s="1289">
        <v>78</v>
      </c>
      <c r="C26" s="324"/>
      <c r="D26" s="324"/>
      <c r="E26" s="324"/>
      <c r="F26" s="324"/>
    </row>
    <row r="27" spans="1:6">
      <c r="A27" s="1288" t="s">
        <v>17</v>
      </c>
      <c r="B27" s="1289">
        <v>0</v>
      </c>
      <c r="C27" s="324"/>
      <c r="D27" s="324"/>
      <c r="E27" s="324"/>
      <c r="F27" s="324"/>
    </row>
    <row r="28" spans="1:6">
      <c r="A28" s="1288" t="s">
        <v>18</v>
      </c>
      <c r="B28" s="1290">
        <v>0</v>
      </c>
      <c r="C28" s="324"/>
      <c r="D28" s="324"/>
      <c r="E28" s="324"/>
      <c r="F28" s="324"/>
    </row>
    <row r="29" spans="1:6">
      <c r="A29" s="1288" t="s">
        <v>902</v>
      </c>
      <c r="B29" s="1290">
        <v>15</v>
      </c>
      <c r="C29" s="324"/>
      <c r="D29" s="324"/>
      <c r="E29" s="324"/>
      <c r="F29" s="324"/>
    </row>
    <row r="30" spans="1:6">
      <c r="A30" s="1283" t="s">
        <v>903</v>
      </c>
      <c r="B30" s="1291">
        <v>23</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0</v>
      </c>
      <c r="F35" s="1289">
        <v>0</v>
      </c>
    </row>
    <row r="36" spans="1:6">
      <c r="A36" s="1288" t="s">
        <v>24</v>
      </c>
      <c r="B36" s="1288" t="s">
        <v>26</v>
      </c>
      <c r="C36" s="1289">
        <v>0</v>
      </c>
      <c r="D36" s="1289">
        <v>0</v>
      </c>
      <c r="E36" s="1289">
        <v>5</v>
      </c>
      <c r="F36" s="1289">
        <v>8826.6666602000005</v>
      </c>
    </row>
    <row r="37" spans="1:6">
      <c r="A37" s="1288" t="s">
        <v>24</v>
      </c>
      <c r="B37" s="1288" t="s">
        <v>27</v>
      </c>
      <c r="C37" s="1289">
        <v>0</v>
      </c>
      <c r="D37" s="1289">
        <v>0</v>
      </c>
      <c r="E37" s="1289">
        <v>0</v>
      </c>
      <c r="F37" s="1289">
        <v>0</v>
      </c>
    </row>
    <row r="38" spans="1:6">
      <c r="A38" s="1288" t="s">
        <v>24</v>
      </c>
      <c r="B38" s="1288" t="s">
        <v>28</v>
      </c>
      <c r="C38" s="1289">
        <v>0</v>
      </c>
      <c r="D38" s="1289">
        <v>0</v>
      </c>
      <c r="E38" s="1289">
        <v>1</v>
      </c>
      <c r="F38" s="1289">
        <v>535</v>
      </c>
    </row>
    <row r="39" spans="1:6">
      <c r="A39" s="1288" t="s">
        <v>29</v>
      </c>
      <c r="B39" s="1288" t="s">
        <v>30</v>
      </c>
      <c r="C39" s="1289">
        <v>2121</v>
      </c>
      <c r="D39" s="1289">
        <v>37667932.498000003</v>
      </c>
      <c r="E39" s="1289">
        <v>4503</v>
      </c>
      <c r="F39" s="1289">
        <v>20003197.831999999</v>
      </c>
    </row>
    <row r="40" spans="1:6">
      <c r="A40" s="1288" t="s">
        <v>29</v>
      </c>
      <c r="B40" s="1288" t="s">
        <v>28</v>
      </c>
      <c r="C40" s="1289">
        <v>0</v>
      </c>
      <c r="D40" s="1289">
        <v>0</v>
      </c>
      <c r="E40" s="1289">
        <v>0</v>
      </c>
      <c r="F40" s="1289">
        <v>0</v>
      </c>
    </row>
    <row r="41" spans="1:6">
      <c r="A41" s="1288" t="s">
        <v>31</v>
      </c>
      <c r="B41" s="1288" t="s">
        <v>32</v>
      </c>
      <c r="C41" s="1289">
        <v>14</v>
      </c>
      <c r="D41" s="1289">
        <v>118067.37436</v>
      </c>
      <c r="E41" s="1289">
        <v>64</v>
      </c>
      <c r="F41" s="1289">
        <v>703556.93666000001</v>
      </c>
    </row>
    <row r="42" spans="1:6">
      <c r="A42" s="1288" t="s">
        <v>31</v>
      </c>
      <c r="B42" s="1288" t="s">
        <v>33</v>
      </c>
      <c r="C42" s="1289">
        <v>0</v>
      </c>
      <c r="D42" s="1289">
        <v>0</v>
      </c>
      <c r="E42" s="1289">
        <v>0</v>
      </c>
      <c r="F42" s="1289">
        <v>0</v>
      </c>
    </row>
    <row r="43" spans="1:6">
      <c r="A43" s="1288" t="s">
        <v>31</v>
      </c>
      <c r="B43" s="1288" t="s">
        <v>34</v>
      </c>
      <c r="C43" s="1289">
        <v>0</v>
      </c>
      <c r="D43" s="1289">
        <v>0</v>
      </c>
      <c r="E43" s="1289">
        <v>0</v>
      </c>
      <c r="F43" s="1289">
        <v>0</v>
      </c>
    </row>
    <row r="44" spans="1:6">
      <c r="A44" s="1288" t="s">
        <v>31</v>
      </c>
      <c r="B44" s="1288" t="s">
        <v>35</v>
      </c>
      <c r="C44" s="1289">
        <v>0</v>
      </c>
      <c r="D44" s="1289">
        <v>0</v>
      </c>
      <c r="E44" s="1289">
        <v>3</v>
      </c>
      <c r="F44" s="1289">
        <v>25224.319759999998</v>
      </c>
    </row>
    <row r="45" spans="1:6">
      <c r="A45" s="1288" t="s">
        <v>31</v>
      </c>
      <c r="B45" s="1288" t="s">
        <v>36</v>
      </c>
      <c r="C45" s="1289">
        <v>0</v>
      </c>
      <c r="D45" s="1289">
        <v>0</v>
      </c>
      <c r="E45" s="1289">
        <v>0</v>
      </c>
      <c r="F45" s="1289">
        <v>0</v>
      </c>
    </row>
    <row r="46" spans="1:6">
      <c r="A46" s="1288" t="s">
        <v>31</v>
      </c>
      <c r="B46" s="1288" t="s">
        <v>37</v>
      </c>
      <c r="C46" s="1289">
        <v>0</v>
      </c>
      <c r="D46" s="1289">
        <v>0</v>
      </c>
      <c r="E46" s="1289">
        <v>0</v>
      </c>
      <c r="F46" s="1289">
        <v>0</v>
      </c>
    </row>
    <row r="47" spans="1:6">
      <c r="A47" s="1288" t="s">
        <v>31</v>
      </c>
      <c r="B47" s="1288" t="s">
        <v>38</v>
      </c>
      <c r="C47" s="1289">
        <v>0</v>
      </c>
      <c r="D47" s="1289">
        <v>0</v>
      </c>
      <c r="E47" s="1289">
        <v>0</v>
      </c>
      <c r="F47" s="1289">
        <v>0</v>
      </c>
    </row>
    <row r="48" spans="1:6">
      <c r="A48" s="1288" t="s">
        <v>31</v>
      </c>
      <c r="B48" s="1288" t="s">
        <v>28</v>
      </c>
      <c r="C48" s="1289">
        <v>34</v>
      </c>
      <c r="D48" s="1289">
        <v>2217878.4114999999</v>
      </c>
      <c r="E48" s="1289">
        <v>58</v>
      </c>
      <c r="F48" s="1289">
        <v>2597236.4852</v>
      </c>
    </row>
    <row r="49" spans="1:6">
      <c r="A49" s="1288" t="s">
        <v>31</v>
      </c>
      <c r="B49" s="1288" t="s">
        <v>39</v>
      </c>
      <c r="C49" s="1289">
        <v>0</v>
      </c>
      <c r="D49" s="1289">
        <v>0</v>
      </c>
      <c r="E49" s="1289">
        <v>0</v>
      </c>
      <c r="F49" s="1289">
        <v>0</v>
      </c>
    </row>
    <row r="50" spans="1:6">
      <c r="A50" s="1288" t="s">
        <v>31</v>
      </c>
      <c r="B50" s="1288" t="s">
        <v>40</v>
      </c>
      <c r="C50" s="1289">
        <v>4</v>
      </c>
      <c r="D50" s="1289">
        <v>25669546.660999998</v>
      </c>
      <c r="E50" s="1289">
        <v>10</v>
      </c>
      <c r="F50" s="1289">
        <v>10809163.122</v>
      </c>
    </row>
    <row r="51" spans="1:6">
      <c r="A51" s="1288" t="s">
        <v>41</v>
      </c>
      <c r="B51" s="1288" t="s">
        <v>42</v>
      </c>
      <c r="C51" s="1289">
        <v>3</v>
      </c>
      <c r="D51" s="1289">
        <v>27956.908418999999</v>
      </c>
      <c r="E51" s="1289">
        <v>9</v>
      </c>
      <c r="F51" s="1289">
        <v>41693.727228000003</v>
      </c>
    </row>
    <row r="52" spans="1:6">
      <c r="A52" s="1288" t="s">
        <v>41</v>
      </c>
      <c r="B52" s="1288" t="s">
        <v>28</v>
      </c>
      <c r="C52" s="1289">
        <v>1</v>
      </c>
      <c r="D52" s="1289">
        <v>8025.9303327999996</v>
      </c>
      <c r="E52" s="1289">
        <v>10</v>
      </c>
      <c r="F52" s="1289">
        <v>75051.243384999994</v>
      </c>
    </row>
    <row r="53" spans="1:6">
      <c r="A53" s="1288" t="s">
        <v>43</v>
      </c>
      <c r="B53" s="1288" t="s">
        <v>44</v>
      </c>
      <c r="C53" s="1289">
        <v>54</v>
      </c>
      <c r="D53" s="1289">
        <v>960203.31701</v>
      </c>
      <c r="E53" s="1289">
        <v>136</v>
      </c>
      <c r="F53" s="1289">
        <v>751995.85730000003</v>
      </c>
    </row>
    <row r="54" spans="1:6">
      <c r="A54" s="1288" t="s">
        <v>45</v>
      </c>
      <c r="B54" s="1288" t="s">
        <v>46</v>
      </c>
      <c r="C54" s="1289">
        <v>0</v>
      </c>
      <c r="D54" s="1289">
        <v>0</v>
      </c>
      <c r="E54" s="1289">
        <v>1</v>
      </c>
      <c r="F54" s="1289">
        <v>927622</v>
      </c>
    </row>
    <row r="55" spans="1:6">
      <c r="A55" s="1288" t="s">
        <v>45</v>
      </c>
      <c r="B55" s="1288" t="s">
        <v>28</v>
      </c>
      <c r="C55" s="1289">
        <v>0</v>
      </c>
      <c r="D55" s="1289">
        <v>0</v>
      </c>
      <c r="E55" s="1289">
        <v>0</v>
      </c>
      <c r="F55" s="1289">
        <v>0</v>
      </c>
    </row>
    <row r="56" spans="1:6">
      <c r="A56" s="1288" t="s">
        <v>47</v>
      </c>
      <c r="B56" s="1288" t="s">
        <v>28</v>
      </c>
      <c r="C56" s="1289">
        <v>0</v>
      </c>
      <c r="D56" s="1289">
        <v>0</v>
      </c>
      <c r="E56" s="1289">
        <v>0</v>
      </c>
      <c r="F56" s="1289">
        <v>0</v>
      </c>
    </row>
    <row r="57" spans="1:6">
      <c r="A57" s="1288" t="s">
        <v>48</v>
      </c>
      <c r="B57" s="1288" t="s">
        <v>49</v>
      </c>
      <c r="C57" s="1289">
        <v>12</v>
      </c>
      <c r="D57" s="1289">
        <v>323592.75060000003</v>
      </c>
      <c r="E57" s="1289">
        <v>30</v>
      </c>
      <c r="F57" s="1289">
        <v>345359.17509999999</v>
      </c>
    </row>
    <row r="58" spans="1:6">
      <c r="A58" s="1288" t="s">
        <v>48</v>
      </c>
      <c r="B58" s="1288" t="s">
        <v>50</v>
      </c>
      <c r="C58" s="1289">
        <v>3</v>
      </c>
      <c r="D58" s="1289">
        <v>66310.560725000003</v>
      </c>
      <c r="E58" s="1289">
        <v>12</v>
      </c>
      <c r="F58" s="1289">
        <v>94547.533905000004</v>
      </c>
    </row>
    <row r="59" spans="1:6">
      <c r="A59" s="1288" t="s">
        <v>48</v>
      </c>
      <c r="B59" s="1288" t="s">
        <v>51</v>
      </c>
      <c r="C59" s="1289">
        <v>22</v>
      </c>
      <c r="D59" s="1289">
        <v>1691796.7859</v>
      </c>
      <c r="E59" s="1289">
        <v>103</v>
      </c>
      <c r="F59" s="1289">
        <v>4637917.3004999999</v>
      </c>
    </row>
    <row r="60" spans="1:6">
      <c r="A60" s="1288" t="s">
        <v>48</v>
      </c>
      <c r="B60" s="1288" t="s">
        <v>52</v>
      </c>
      <c r="C60" s="1289">
        <v>14</v>
      </c>
      <c r="D60" s="1289">
        <v>681581.20184999995</v>
      </c>
      <c r="E60" s="1289">
        <v>38</v>
      </c>
      <c r="F60" s="1289">
        <v>1059658.3589999999</v>
      </c>
    </row>
    <row r="61" spans="1:6">
      <c r="A61" s="1288" t="s">
        <v>48</v>
      </c>
      <c r="B61" s="1288" t="s">
        <v>53</v>
      </c>
      <c r="C61" s="1289">
        <v>50</v>
      </c>
      <c r="D61" s="1289">
        <v>2721885.2985999999</v>
      </c>
      <c r="E61" s="1289">
        <v>160</v>
      </c>
      <c r="F61" s="1289">
        <v>4181767.9194</v>
      </c>
    </row>
    <row r="62" spans="1:6">
      <c r="A62" s="1288" t="s">
        <v>48</v>
      </c>
      <c r="B62" s="1288" t="s">
        <v>54</v>
      </c>
      <c r="C62" s="1289">
        <v>0</v>
      </c>
      <c r="D62" s="1289">
        <v>0</v>
      </c>
      <c r="E62" s="1289">
        <v>5</v>
      </c>
      <c r="F62" s="1289">
        <v>36448.786674000003</v>
      </c>
    </row>
    <row r="63" spans="1:6">
      <c r="A63" s="1288" t="s">
        <v>48</v>
      </c>
      <c r="B63" s="1288" t="s">
        <v>28</v>
      </c>
      <c r="C63" s="1289">
        <v>118</v>
      </c>
      <c r="D63" s="1289">
        <v>7332104.6105000004</v>
      </c>
      <c r="E63" s="1289">
        <v>173</v>
      </c>
      <c r="F63" s="1289">
        <v>7609562.6880000001</v>
      </c>
    </row>
    <row r="64" spans="1:6">
      <c r="A64" s="1288" t="s">
        <v>55</v>
      </c>
      <c r="B64" s="1288" t="s">
        <v>56</v>
      </c>
      <c r="C64" s="1289">
        <v>0</v>
      </c>
      <c r="D64" s="1289">
        <v>0</v>
      </c>
      <c r="E64" s="1289">
        <v>0</v>
      </c>
      <c r="F64" s="1289">
        <v>0</v>
      </c>
    </row>
    <row r="65" spans="1:6">
      <c r="A65" s="1288" t="s">
        <v>55</v>
      </c>
      <c r="B65" s="1288" t="s">
        <v>28</v>
      </c>
      <c r="C65" s="1289">
        <v>2</v>
      </c>
      <c r="D65" s="1289">
        <v>69941.509550999996</v>
      </c>
      <c r="E65" s="1289">
        <v>6</v>
      </c>
      <c r="F65" s="1289">
        <v>91973.619239000007</v>
      </c>
    </row>
    <row r="66" spans="1:6">
      <c r="A66" s="1288" t="s">
        <v>55</v>
      </c>
      <c r="B66" s="1288" t="s">
        <v>57</v>
      </c>
      <c r="C66" s="1289">
        <v>0</v>
      </c>
      <c r="D66" s="1289">
        <v>0</v>
      </c>
      <c r="E66" s="1289">
        <v>0</v>
      </c>
      <c r="F66" s="1289">
        <v>0</v>
      </c>
    </row>
    <row r="67" spans="1:6">
      <c r="A67" s="1288" t="s">
        <v>55</v>
      </c>
      <c r="B67" s="1288" t="s">
        <v>58</v>
      </c>
      <c r="C67" s="1289">
        <v>0</v>
      </c>
      <c r="D67" s="1289">
        <v>0</v>
      </c>
      <c r="E67" s="1289">
        <v>0</v>
      </c>
      <c r="F67" s="1289">
        <v>0</v>
      </c>
    </row>
    <row r="68" spans="1:6">
      <c r="A68" s="1283" t="s">
        <v>55</v>
      </c>
      <c r="B68" s="1283" t="s">
        <v>59</v>
      </c>
      <c r="C68" s="1291">
        <v>3</v>
      </c>
      <c r="D68" s="1291">
        <v>72966.886822999993</v>
      </c>
      <c r="E68" s="1291">
        <v>10</v>
      </c>
      <c r="F68" s="1291">
        <v>103657.36063</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37107344</v>
      </c>
      <c r="E73" s="441"/>
      <c r="F73" s="324"/>
    </row>
    <row r="74" spans="1:6">
      <c r="A74" s="1288" t="s">
        <v>63</v>
      </c>
      <c r="B74" s="1288" t="s">
        <v>651</v>
      </c>
      <c r="C74" s="1301" t="s">
        <v>653</v>
      </c>
      <c r="D74" s="1289">
        <v>4422761.6154070403</v>
      </c>
      <c r="E74" s="441"/>
      <c r="F74" s="324"/>
    </row>
    <row r="75" spans="1:6">
      <c r="A75" s="1288" t="s">
        <v>64</v>
      </c>
      <c r="B75" s="1288" t="s">
        <v>650</v>
      </c>
      <c r="C75" s="1301" t="s">
        <v>654</v>
      </c>
      <c r="D75" s="1289">
        <v>20830371</v>
      </c>
      <c r="E75" s="441"/>
      <c r="F75" s="324"/>
    </row>
    <row r="76" spans="1:6">
      <c r="A76" s="1288" t="s">
        <v>64</v>
      </c>
      <c r="B76" s="1288" t="s">
        <v>651</v>
      </c>
      <c r="C76" s="1301" t="s">
        <v>655</v>
      </c>
      <c r="D76" s="1289">
        <v>1265087.6154070406</v>
      </c>
      <c r="E76" s="441"/>
      <c r="F76" s="324"/>
    </row>
    <row r="77" spans="1:6">
      <c r="A77" s="1288" t="s">
        <v>65</v>
      </c>
      <c r="B77" s="1288" t="s">
        <v>650</v>
      </c>
      <c r="C77" s="1301" t="s">
        <v>656</v>
      </c>
      <c r="D77" s="1289">
        <v>0</v>
      </c>
      <c r="E77" s="441"/>
      <c r="F77" s="324"/>
    </row>
    <row r="78" spans="1:6">
      <c r="A78" s="1283" t="s">
        <v>65</v>
      </c>
      <c r="B78" s="1283" t="s">
        <v>651</v>
      </c>
      <c r="C78" s="1283" t="s">
        <v>657</v>
      </c>
      <c r="D78" s="1291">
        <v>0</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499726.76918591885</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0</v>
      </c>
      <c r="C90" s="324"/>
      <c r="D90" s="324"/>
      <c r="E90" s="324"/>
      <c r="F90" s="324"/>
    </row>
    <row r="91" spans="1:6">
      <c r="A91" s="1288" t="s">
        <v>67</v>
      </c>
      <c r="B91" s="1289">
        <v>2577.3866787840011</v>
      </c>
      <c r="C91" s="324"/>
      <c r="D91" s="324"/>
      <c r="E91" s="324"/>
      <c r="F91" s="324"/>
    </row>
    <row r="92" spans="1:6">
      <c r="A92" s="1283" t="s">
        <v>68</v>
      </c>
      <c r="B92" s="1284">
        <v>500.56297126569928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711</v>
      </c>
      <c r="C97" s="324"/>
      <c r="D97" s="324"/>
      <c r="E97" s="324"/>
      <c r="F97" s="324"/>
    </row>
    <row r="98" spans="1:6">
      <c r="A98" s="1288" t="s">
        <v>71</v>
      </c>
      <c r="B98" s="1289">
        <v>4</v>
      </c>
      <c r="C98" s="324"/>
      <c r="D98" s="324"/>
      <c r="E98" s="324"/>
      <c r="F98" s="324"/>
    </row>
    <row r="99" spans="1:6">
      <c r="A99" s="1288" t="s">
        <v>72</v>
      </c>
      <c r="B99" s="1289">
        <v>119</v>
      </c>
      <c r="C99" s="324"/>
      <c r="D99" s="324"/>
      <c r="E99" s="324"/>
      <c r="F99" s="324"/>
    </row>
    <row r="100" spans="1:6">
      <c r="A100" s="1288" t="s">
        <v>73</v>
      </c>
      <c r="B100" s="1289">
        <v>440</v>
      </c>
      <c r="C100" s="324"/>
      <c r="D100" s="324"/>
      <c r="E100" s="324"/>
      <c r="F100" s="324"/>
    </row>
    <row r="101" spans="1:6">
      <c r="A101" s="1288" t="s">
        <v>74</v>
      </c>
      <c r="B101" s="1289">
        <v>26</v>
      </c>
      <c r="C101" s="324"/>
      <c r="D101" s="324"/>
      <c r="E101" s="324"/>
      <c r="F101" s="324"/>
    </row>
    <row r="102" spans="1:6">
      <c r="A102" s="1288" t="s">
        <v>75</v>
      </c>
      <c r="B102" s="1289">
        <v>57</v>
      </c>
      <c r="C102" s="324"/>
      <c r="D102" s="324"/>
      <c r="E102" s="324"/>
      <c r="F102" s="324"/>
    </row>
    <row r="103" spans="1:6">
      <c r="A103" s="1288" t="s">
        <v>76</v>
      </c>
      <c r="B103" s="1289">
        <v>100</v>
      </c>
      <c r="C103" s="324"/>
      <c r="D103" s="324"/>
      <c r="E103" s="324"/>
      <c r="F103" s="324"/>
    </row>
    <row r="104" spans="1:6">
      <c r="A104" s="1288" t="s">
        <v>77</v>
      </c>
      <c r="B104" s="1289">
        <v>2747</v>
      </c>
      <c r="C104" s="324"/>
      <c r="D104" s="324"/>
      <c r="E104" s="324"/>
      <c r="F104" s="324"/>
    </row>
    <row r="105" spans="1:6">
      <c r="A105" s="1283" t="s">
        <v>78</v>
      </c>
      <c r="B105" s="1291">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0</v>
      </c>
      <c r="C110" s="324"/>
      <c r="D110" s="324"/>
      <c r="E110" s="324"/>
      <c r="F110" s="324"/>
    </row>
    <row r="111" spans="1:6">
      <c r="A111" s="1306" t="s">
        <v>637</v>
      </c>
      <c r="B111" s="1307">
        <v>0</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0</v>
      </c>
      <c r="C121" s="1289">
        <v>0</v>
      </c>
      <c r="D121" s="324"/>
      <c r="E121" s="324"/>
      <c r="F121" s="324"/>
    </row>
    <row r="122" spans="1:6">
      <c r="A122" s="1288" t="s">
        <v>86</v>
      </c>
      <c r="B122" s="1289">
        <v>0</v>
      </c>
      <c r="C122" s="1289">
        <v>0</v>
      </c>
      <c r="D122" s="324"/>
      <c r="E122" s="324"/>
      <c r="F122" s="324"/>
    </row>
    <row r="123" spans="1:6">
      <c r="A123" s="1288" t="s">
        <v>87</v>
      </c>
      <c r="B123" s="1289">
        <v>17</v>
      </c>
      <c r="C123" s="1289">
        <v>21</v>
      </c>
      <c r="D123" s="324"/>
      <c r="E123" s="324"/>
      <c r="F123" s="324"/>
    </row>
    <row r="124" spans="1:6">
      <c r="A124" s="1288" t="s">
        <v>88</v>
      </c>
      <c r="B124" s="1289">
        <v>0</v>
      </c>
      <c r="C124" s="1289">
        <v>0</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110</v>
      </c>
      <c r="C129" s="324"/>
      <c r="D129" s="324"/>
      <c r="E129" s="324"/>
      <c r="F129" s="324"/>
    </row>
    <row r="130" spans="1:6">
      <c r="A130" s="1288" t="s">
        <v>284</v>
      </c>
      <c r="B130" s="1289">
        <v>1</v>
      </c>
      <c r="C130" s="324"/>
      <c r="D130" s="324"/>
      <c r="E130" s="324"/>
      <c r="F130" s="324"/>
    </row>
    <row r="131" spans="1:6">
      <c r="A131" s="1288" t="s">
        <v>285</v>
      </c>
      <c r="B131" s="1289">
        <v>2</v>
      </c>
      <c r="C131" s="324"/>
      <c r="D131" s="324"/>
      <c r="E131" s="324"/>
      <c r="F131" s="324"/>
    </row>
    <row r="132" spans="1:6">
      <c r="A132" s="1283" t="s">
        <v>286</v>
      </c>
      <c r="B132" s="1284">
        <v>18</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56502.394507549812</v>
      </c>
      <c r="C3" s="43" t="s">
        <v>163</v>
      </c>
      <c r="D3" s="43"/>
      <c r="E3" s="154"/>
      <c r="F3" s="43"/>
      <c r="G3" s="43"/>
      <c r="H3" s="43"/>
      <c r="I3" s="43"/>
      <c r="J3" s="43"/>
      <c r="K3" s="96"/>
    </row>
    <row r="4" spans="1:11">
      <c r="A4" s="350" t="s">
        <v>164</v>
      </c>
      <c r="B4" s="49">
        <f>IF(ISERROR('SEAP template'!B78+'SEAP template'!C78),0,'SEAP template'!B78+'SEAP template'!C78)</f>
        <v>3077.9496500497003</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0</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0.20896109654131398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927.62199999999996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927.62199999999996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0.20896109654131398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193.83691029584674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20003.197831999998</v>
      </c>
      <c r="C5" s="17">
        <f>IF(ISERROR('Eigen informatie GS &amp; warmtenet'!B57),0,'Eigen informatie GS &amp; warmtenet'!B57)</f>
        <v>0</v>
      </c>
      <c r="D5" s="30">
        <f>(SUM(HH_hh_gas_kWh,HH_rest_gas_kWh)/1000)*0.902</f>
        <v>33976.475113196</v>
      </c>
      <c r="E5" s="17">
        <f>B32*B41</f>
        <v>1459.9252520671128</v>
      </c>
      <c r="F5" s="17">
        <f>B36*B45</f>
        <v>39692.477869060283</v>
      </c>
      <c r="G5" s="18"/>
      <c r="H5" s="17"/>
      <c r="I5" s="17"/>
      <c r="J5" s="17">
        <f>B35*B44+C35*C44</f>
        <v>732.00018762160369</v>
      </c>
      <c r="K5" s="17"/>
      <c r="L5" s="17"/>
      <c r="M5" s="17"/>
      <c r="N5" s="17">
        <f>B34*B43+C34*C43</f>
        <v>6671.2879592620593</v>
      </c>
      <c r="O5" s="17">
        <f>B52*B53*B54</f>
        <v>204.79666666666668</v>
      </c>
      <c r="P5" s="17">
        <f>B60*B61*B62/1000-B60*B61*B62/1000/B63</f>
        <v>667.33333333333337</v>
      </c>
    </row>
    <row r="6" spans="1:16">
      <c r="A6" s="16" t="s">
        <v>611</v>
      </c>
      <c r="B6" s="754">
        <f>kWh_PV_kleiner_dan_10kW</f>
        <v>2577.3866787840011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22580.584510784</v>
      </c>
      <c r="C8" s="21">
        <f>C5</f>
        <v>0</v>
      </c>
      <c r="D8" s="21">
        <f>D5</f>
        <v>33976.475113196</v>
      </c>
      <c r="E8" s="21">
        <f>E5</f>
        <v>1459.9252520671128</v>
      </c>
      <c r="F8" s="21">
        <f>F5</f>
        <v>39692.477869060283</v>
      </c>
      <c r="G8" s="21"/>
      <c r="H8" s="21"/>
      <c r="I8" s="21"/>
      <c r="J8" s="21">
        <f>J5</f>
        <v>732.00018762160369</v>
      </c>
      <c r="K8" s="21"/>
      <c r="L8" s="21">
        <f>L5</f>
        <v>0</v>
      </c>
      <c r="M8" s="21">
        <f>M5</f>
        <v>0</v>
      </c>
      <c r="N8" s="21">
        <f>N5</f>
        <v>6671.2879592620593</v>
      </c>
      <c r="O8" s="21">
        <f>O5</f>
        <v>204.79666666666668</v>
      </c>
      <c r="P8" s="21">
        <f>P5</f>
        <v>667.33333333333337</v>
      </c>
    </row>
    <row r="9" spans="1:16">
      <c r="B9" s="19"/>
      <c r="C9" s="19"/>
      <c r="D9" s="254"/>
      <c r="E9" s="19"/>
      <c r="F9" s="19"/>
      <c r="G9" s="19"/>
      <c r="H9" s="19"/>
      <c r="I9" s="19"/>
      <c r="J9" s="19"/>
      <c r="K9" s="19"/>
      <c r="L9" s="19"/>
      <c r="M9" s="19"/>
      <c r="N9" s="19"/>
      <c r="O9" s="19"/>
      <c r="P9" s="19"/>
    </row>
    <row r="10" spans="1:16">
      <c r="A10" s="24" t="s">
        <v>207</v>
      </c>
      <c r="B10" s="25">
        <f ca="1">'EF ele_warmte'!B12</f>
        <v>0.20896109654131398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4718.4636999172344</v>
      </c>
      <c r="C12" s="23">
        <f ca="1">C10*C8</f>
        <v>0</v>
      </c>
      <c r="D12" s="23">
        <f>D8*D10</f>
        <v>6863.2479728655926</v>
      </c>
      <c r="E12" s="23">
        <f>E10*E8</f>
        <v>331.4030322192346</v>
      </c>
      <c r="F12" s="23">
        <f>F10*F8</f>
        <v>10597.891591039097</v>
      </c>
      <c r="G12" s="23"/>
      <c r="H12" s="23"/>
      <c r="I12" s="23"/>
      <c r="J12" s="23">
        <f>J10*J8</f>
        <v>259.12806641804769</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4822</v>
      </c>
      <c r="C26" s="36"/>
      <c r="D26" s="225"/>
    </row>
    <row r="27" spans="1:5" s="15" customFormat="1">
      <c r="A27" s="227" t="s">
        <v>680</v>
      </c>
      <c r="B27" s="37">
        <f>SUM(HH_hh_gas_aantal,HH_rest_gas_aantal)</f>
        <v>2121</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2014.95</v>
      </c>
      <c r="C31" s="34" t="s">
        <v>104</v>
      </c>
      <c r="D31" s="171"/>
    </row>
    <row r="32" spans="1:5">
      <c r="A32" s="168" t="s">
        <v>72</v>
      </c>
      <c r="B32" s="33">
        <f>IF((B21*($B$26-($B$27-0.05*$B$27)-$B$60))&lt;0,0,B21*($B$26-($B$27-0.05*$B$27)-$B$60))</f>
        <v>17.88922184741616</v>
      </c>
      <c r="C32" s="34" t="s">
        <v>104</v>
      </c>
      <c r="D32" s="171"/>
    </row>
    <row r="33" spans="1:6">
      <c r="A33" s="168" t="s">
        <v>73</v>
      </c>
      <c r="B33" s="33">
        <f>IF((B22*($B$26-($B$27-0.05*$B$27)-$B$60))&lt;0,0,B22*($B$26-($B$27-0.05*$B$27)-$B$60))</f>
        <v>622.96769116264295</v>
      </c>
      <c r="C33" s="34" t="s">
        <v>104</v>
      </c>
      <c r="D33" s="171"/>
    </row>
    <row r="34" spans="1:6">
      <c r="A34" s="168" t="s">
        <v>74</v>
      </c>
      <c r="B34" s="33">
        <f>IF((B24*($B$26-($B$27-0.05*$B$27)-$B$60))&lt;0,0,B24*($B$26-($B$27-0.05*$B$27)-$B$60))</f>
        <v>123.70861784198492</v>
      </c>
      <c r="C34" s="33">
        <f>B26*C24</f>
        <v>986.88180540236453</v>
      </c>
      <c r="D34" s="230"/>
    </row>
    <row r="35" spans="1:6">
      <c r="A35" s="168" t="s">
        <v>76</v>
      </c>
      <c r="B35" s="33">
        <f>IF((B19*($B$26-($B$27-0.05*$B$27)-$B$60))&lt;0,0,B19*($B$26-($B$27-0.05*$B$27)-$B$60))</f>
        <v>60.413149846479911</v>
      </c>
      <c r="C35" s="33">
        <f>B35/2</f>
        <v>30.206574923239955</v>
      </c>
      <c r="D35" s="230"/>
    </row>
    <row r="36" spans="1:6">
      <c r="A36" s="168" t="s">
        <v>77</v>
      </c>
      <c r="B36" s="33">
        <f>IF((B18*($B$26-($B$27-0.05*$B$27)-$B$60))&lt;0,0,B18*($B$26-($B$27-0.05*$B$27)-$B$60))</f>
        <v>1947.0713193014769</v>
      </c>
      <c r="C36" s="34" t="s">
        <v>104</v>
      </c>
      <c r="D36" s="171"/>
    </row>
    <row r="37" spans="1:6">
      <c r="A37" s="168" t="s">
        <v>78</v>
      </c>
      <c r="B37" s="33">
        <f>B60</f>
        <v>35</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131</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35</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17965.261762579001</v>
      </c>
      <c r="C5" s="17">
        <f>IF(ISERROR('Eigen informatie GS &amp; warmtenet'!B58),0,'Eigen informatie GS &amp; warmtenet'!B58)</f>
        <v>0</v>
      </c>
      <c r="D5" s="30">
        <f>SUM(D6:D12)</f>
        <v>11561.178629773851</v>
      </c>
      <c r="E5" s="17">
        <f>SUM(E6:E12)</f>
        <v>370.76598278213862</v>
      </c>
      <c r="F5" s="17">
        <f>SUM(F6:F12)</f>
        <v>4504.7670557899492</v>
      </c>
      <c r="G5" s="18"/>
      <c r="H5" s="17"/>
      <c r="I5" s="17"/>
      <c r="J5" s="17">
        <f>SUM(J6:J12)</f>
        <v>0</v>
      </c>
      <c r="K5" s="17"/>
      <c r="L5" s="17"/>
      <c r="M5" s="17"/>
      <c r="N5" s="17">
        <f>SUM(N6:N12)</f>
        <v>954.78262057599898</v>
      </c>
      <c r="O5" s="17">
        <f>B38*B39*B40</f>
        <v>1.5633333333333335</v>
      </c>
      <c r="P5" s="17">
        <f>B46*B47*B48/1000-B46*B47*B48/1000/B49</f>
        <v>38.133333333333333</v>
      </c>
      <c r="R5" s="32"/>
    </row>
    <row r="6" spans="1:18">
      <c r="A6" s="32" t="s">
        <v>53</v>
      </c>
      <c r="B6" s="37">
        <f>B26</f>
        <v>4181.7679194000002</v>
      </c>
      <c r="C6" s="33"/>
      <c r="D6" s="37">
        <f>IF(ISERROR(TER_kantoor_gas_kWh/1000),0,TER_kantoor_gas_kWh/1000)*0.902</f>
        <v>2455.1405393371997</v>
      </c>
      <c r="E6" s="33">
        <f>$C$26*'E Balans VL '!I12/100/3.6*1000000</f>
        <v>54.744493256079259</v>
      </c>
      <c r="F6" s="33">
        <f>$C$26*('E Balans VL '!L12+'E Balans VL '!N12)/100/3.6*1000000</f>
        <v>1066.3076066715298</v>
      </c>
      <c r="G6" s="34"/>
      <c r="H6" s="33"/>
      <c r="I6" s="33"/>
      <c r="J6" s="33">
        <f>$C$26*('E Balans VL '!D12+'E Balans VL '!E12)/100/3.6*1000000</f>
        <v>0</v>
      </c>
      <c r="K6" s="33"/>
      <c r="L6" s="33"/>
      <c r="M6" s="33"/>
      <c r="N6" s="33">
        <f>$C$26*'E Balans VL '!Y12/100/3.6*1000000</f>
        <v>4.1958497988813424</v>
      </c>
      <c r="O6" s="33"/>
      <c r="P6" s="33"/>
      <c r="R6" s="32"/>
    </row>
    <row r="7" spans="1:18">
      <c r="A7" s="32" t="s">
        <v>52</v>
      </c>
      <c r="B7" s="37">
        <f t="shared" ref="B7:B12" si="0">B27</f>
        <v>1059.658359</v>
      </c>
      <c r="C7" s="33"/>
      <c r="D7" s="37">
        <f>IF(ISERROR(TER_horeca_gas_kWh/1000),0,TER_horeca_gas_kWh/1000)*0.902</f>
        <v>614.78624406869994</v>
      </c>
      <c r="E7" s="33">
        <f>$C$27*'E Balans VL '!I9/100/3.6*1000000</f>
        <v>35.068245997328788</v>
      </c>
      <c r="F7" s="33">
        <f>$C$27*('E Balans VL '!L9+'E Balans VL '!N9)/100/3.6*1000000</f>
        <v>455.64903326725397</v>
      </c>
      <c r="G7" s="34"/>
      <c r="H7" s="33"/>
      <c r="I7" s="33"/>
      <c r="J7" s="33">
        <f>$C$27*('E Balans VL '!D9+'E Balans VL '!E9)/100/3.6*1000000</f>
        <v>0</v>
      </c>
      <c r="K7" s="33"/>
      <c r="L7" s="33"/>
      <c r="M7" s="33"/>
      <c r="N7" s="33">
        <f>$C$27*'E Balans VL '!Y9/100/3.6*1000000</f>
        <v>0.25507515493935745</v>
      </c>
      <c r="O7" s="33"/>
      <c r="P7" s="33"/>
      <c r="R7" s="32"/>
    </row>
    <row r="8" spans="1:18">
      <c r="A8" s="6" t="s">
        <v>51</v>
      </c>
      <c r="B8" s="37">
        <f t="shared" si="0"/>
        <v>4637.9173005000002</v>
      </c>
      <c r="C8" s="33"/>
      <c r="D8" s="37">
        <f>IF(ISERROR(TER_handel_gas_kWh/1000),0,TER_handel_gas_kWh/1000)*0.902</f>
        <v>1526.0007008818</v>
      </c>
      <c r="E8" s="33">
        <f>$C$28*'E Balans VL '!I13/100/3.6*1000000</f>
        <v>146.3797565304734</v>
      </c>
      <c r="F8" s="33">
        <f>$C$28*('E Balans VL '!L13+'E Balans VL '!N13)/100/3.6*1000000</f>
        <v>909.57725128127197</v>
      </c>
      <c r="G8" s="34"/>
      <c r="H8" s="33"/>
      <c r="I8" s="33"/>
      <c r="J8" s="33">
        <f>$C$28*('E Balans VL '!D13+'E Balans VL '!E13)/100/3.6*1000000</f>
        <v>0</v>
      </c>
      <c r="K8" s="33"/>
      <c r="L8" s="33"/>
      <c r="M8" s="33"/>
      <c r="N8" s="33">
        <f>$C$28*'E Balans VL '!Y13/100/3.6*1000000</f>
        <v>5.5043073951038348</v>
      </c>
      <c r="O8" s="33"/>
      <c r="P8" s="33"/>
      <c r="R8" s="32"/>
    </row>
    <row r="9" spans="1:18">
      <c r="A9" s="32" t="s">
        <v>50</v>
      </c>
      <c r="B9" s="37">
        <f t="shared" si="0"/>
        <v>94.547533905000009</v>
      </c>
      <c r="C9" s="33"/>
      <c r="D9" s="37">
        <f>IF(ISERROR(TER_gezond_gas_kWh/1000),0,TER_gezond_gas_kWh/1000)*0.902</f>
        <v>59.812125773950001</v>
      </c>
      <c r="E9" s="33">
        <f>$C$29*'E Balans VL '!I10/100/3.6*1000000</f>
        <v>1.2104850266573659E-2</v>
      </c>
      <c r="F9" s="33">
        <f>$C$29*('E Balans VL '!L10+'E Balans VL '!N10)/100/3.6*1000000</f>
        <v>19.698214162726462</v>
      </c>
      <c r="G9" s="34"/>
      <c r="H9" s="33"/>
      <c r="I9" s="33"/>
      <c r="J9" s="33">
        <f>$C$29*('E Balans VL '!D10+'E Balans VL '!E10)/100/3.6*1000000</f>
        <v>0</v>
      </c>
      <c r="K9" s="33"/>
      <c r="L9" s="33"/>
      <c r="M9" s="33"/>
      <c r="N9" s="33">
        <f>$C$29*'E Balans VL '!Y10/100/3.6*1000000</f>
        <v>1.1105054747538299</v>
      </c>
      <c r="O9" s="33"/>
      <c r="P9" s="33"/>
      <c r="R9" s="32"/>
    </row>
    <row r="10" spans="1:18">
      <c r="A10" s="32" t="s">
        <v>49</v>
      </c>
      <c r="B10" s="37">
        <f t="shared" si="0"/>
        <v>345.35917510000002</v>
      </c>
      <c r="C10" s="33"/>
      <c r="D10" s="37">
        <f>IF(ISERROR(TER_ander_gas_kWh/1000),0,TER_ander_gas_kWh/1000)*0.902</f>
        <v>291.88066104120003</v>
      </c>
      <c r="E10" s="33">
        <f>$C$30*'E Balans VL '!I14/100/3.6*1000000</f>
        <v>0.51933898275694379</v>
      </c>
      <c r="F10" s="33">
        <f>$C$30*('E Balans VL '!L14+'E Balans VL '!N14)/100/3.6*1000000</f>
        <v>76.244173348254691</v>
      </c>
      <c r="G10" s="34"/>
      <c r="H10" s="33"/>
      <c r="I10" s="33"/>
      <c r="J10" s="33">
        <f>$C$30*('E Balans VL '!D14+'E Balans VL '!E14)/100/3.6*1000000</f>
        <v>0</v>
      </c>
      <c r="K10" s="33"/>
      <c r="L10" s="33"/>
      <c r="M10" s="33"/>
      <c r="N10" s="33">
        <f>$C$30*'E Balans VL '!Y14/100/3.6*1000000</f>
        <v>272.16627177498128</v>
      </c>
      <c r="O10" s="33"/>
      <c r="P10" s="33"/>
      <c r="R10" s="32"/>
    </row>
    <row r="11" spans="1:18">
      <c r="A11" s="32" t="s">
        <v>54</v>
      </c>
      <c r="B11" s="37">
        <f t="shared" si="0"/>
        <v>36.448786674000004</v>
      </c>
      <c r="C11" s="33"/>
      <c r="D11" s="37">
        <f>IF(ISERROR(TER_onderwijs_gas_kWh/1000),0,TER_onderwijs_gas_kWh/1000)*0.902</f>
        <v>0</v>
      </c>
      <c r="E11" s="33">
        <f>$C$31*'E Balans VL '!I11/100/3.6*1000000</f>
        <v>6.4189367730679334E-2</v>
      </c>
      <c r="F11" s="33">
        <f>$C$31*('E Balans VL '!L11+'E Balans VL '!N11)/100/3.6*1000000</f>
        <v>16.829064347089837</v>
      </c>
      <c r="G11" s="34"/>
      <c r="H11" s="33"/>
      <c r="I11" s="33"/>
      <c r="J11" s="33">
        <f>$C$31*('E Balans VL '!D11+'E Balans VL '!E11)/100/3.6*1000000</f>
        <v>0</v>
      </c>
      <c r="K11" s="33"/>
      <c r="L11" s="33"/>
      <c r="M11" s="33"/>
      <c r="N11" s="33">
        <f>$C$31*'E Balans VL '!Y11/100/3.6*1000000</f>
        <v>6.790459361586719E-2</v>
      </c>
      <c r="O11" s="33"/>
      <c r="P11" s="33"/>
      <c r="R11" s="32"/>
    </row>
    <row r="12" spans="1:18">
      <c r="A12" s="32" t="s">
        <v>249</v>
      </c>
      <c r="B12" s="37">
        <f t="shared" si="0"/>
        <v>7609.562688</v>
      </c>
      <c r="C12" s="33"/>
      <c r="D12" s="37">
        <f>IF(ISERROR(TER_rest_gas_kWh/1000),0,TER_rest_gas_kWh/1000)*0.902</f>
        <v>6613.5583586710009</v>
      </c>
      <c r="E12" s="33">
        <f>$C$32*'E Balans VL '!I8/100/3.6*1000000</f>
        <v>133.977853797503</v>
      </c>
      <c r="F12" s="33">
        <f>$C$32*('E Balans VL '!L8+'E Balans VL '!N8)/100/3.6*1000000</f>
        <v>1960.461712711822</v>
      </c>
      <c r="G12" s="34"/>
      <c r="H12" s="33"/>
      <c r="I12" s="33"/>
      <c r="J12" s="33">
        <f>$C$32*('E Balans VL '!D8+'E Balans VL '!E8)/100/3.6*1000000</f>
        <v>0</v>
      </c>
      <c r="K12" s="33"/>
      <c r="L12" s="33"/>
      <c r="M12" s="33"/>
      <c r="N12" s="33">
        <f>$C$32*'E Balans VL '!Y8/100/3.6*1000000</f>
        <v>671.48270638372344</v>
      </c>
      <c r="O12" s="33"/>
      <c r="P12" s="33"/>
      <c r="R12" s="32"/>
    </row>
    <row r="13" spans="1:18">
      <c r="A13" s="16" t="s">
        <v>478</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17965.261762579001</v>
      </c>
      <c r="C16" s="21">
        <f t="shared" ca="1" si="1"/>
        <v>0</v>
      </c>
      <c r="D16" s="21">
        <f t="shared" ca="1" si="1"/>
        <v>11561.178629773851</v>
      </c>
      <c r="E16" s="21">
        <f t="shared" si="1"/>
        <v>370.76598278213862</v>
      </c>
      <c r="F16" s="21">
        <f t="shared" ca="1" si="1"/>
        <v>4504.7670557899492</v>
      </c>
      <c r="G16" s="21">
        <f t="shared" si="1"/>
        <v>0</v>
      </c>
      <c r="H16" s="21">
        <f t="shared" si="1"/>
        <v>0</v>
      </c>
      <c r="I16" s="21">
        <f t="shared" si="1"/>
        <v>0</v>
      </c>
      <c r="J16" s="21">
        <f t="shared" si="1"/>
        <v>0</v>
      </c>
      <c r="K16" s="21">
        <f t="shared" si="1"/>
        <v>0</v>
      </c>
      <c r="L16" s="21">
        <f t="shared" ca="1" si="1"/>
        <v>0</v>
      </c>
      <c r="M16" s="21">
        <f t="shared" si="1"/>
        <v>0</v>
      </c>
      <c r="N16" s="21">
        <f t="shared" ca="1" si="1"/>
        <v>954.78262057599898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0.20896109654131398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3754.040797560247</v>
      </c>
      <c r="C20" s="23">
        <f t="shared" ref="C20:P20" ca="1" si="2">C16*C18</f>
        <v>0</v>
      </c>
      <c r="D20" s="23">
        <f t="shared" ca="1" si="2"/>
        <v>2335.358083214318</v>
      </c>
      <c r="E20" s="23">
        <f t="shared" si="2"/>
        <v>84.16387809154547</v>
      </c>
      <c r="F20" s="23">
        <f t="shared" ca="1" si="2"/>
        <v>1202.7728038959165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4181.7679194000002</v>
      </c>
      <c r="C26" s="39">
        <f>IF(ISERROR(B26*3.6/1000000/'E Balans VL '!Z12*100),0,B26*3.6/1000000/'E Balans VL '!Z12*100)</f>
        <v>8.9576717522542162E-2</v>
      </c>
      <c r="D26" s="233" t="s">
        <v>646</v>
      </c>
      <c r="F26" s="6"/>
    </row>
    <row r="27" spans="1:18">
      <c r="A27" s="228" t="s">
        <v>52</v>
      </c>
      <c r="B27" s="33">
        <f>IF(ISERROR(TER_horeca_ele_kWh/1000),0,TER_horeca_ele_kWh/1000)</f>
        <v>1059.658359</v>
      </c>
      <c r="C27" s="39">
        <f>IF(ISERROR(B27*3.6/1000000/'E Balans VL '!Z9*100),0,B27*3.6/1000000/'E Balans VL '!Z9*100)</f>
        <v>8.5033899974890512E-2</v>
      </c>
      <c r="D27" s="233" t="s">
        <v>646</v>
      </c>
      <c r="F27" s="6"/>
    </row>
    <row r="28" spans="1:18">
      <c r="A28" s="168" t="s">
        <v>51</v>
      </c>
      <c r="B28" s="33">
        <f>IF(ISERROR(TER_handel_ele_kWh/1000),0,TER_handel_ele_kWh/1000)</f>
        <v>4637.9173005000002</v>
      </c>
      <c r="C28" s="39">
        <f>IF(ISERROR(B28*3.6/1000000/'E Balans VL '!Z13*100),0,B28*3.6/1000000/'E Balans VL '!Z13*100)</f>
        <v>0.13679195833218319</v>
      </c>
      <c r="D28" s="233" t="s">
        <v>646</v>
      </c>
      <c r="F28" s="6"/>
    </row>
    <row r="29" spans="1:18">
      <c r="A29" s="228" t="s">
        <v>50</v>
      </c>
      <c r="B29" s="33">
        <f>IF(ISERROR(TER_gezond_ele_kWh/1000),0,TER_gezond_ele_kWh/1000)</f>
        <v>94.547533905000009</v>
      </c>
      <c r="C29" s="39">
        <f>IF(ISERROR(B29*3.6/1000000/'E Balans VL '!Z10*100),0,B29*3.6/1000000/'E Balans VL '!Z10*100)</f>
        <v>1.0095141706611497E-2</v>
      </c>
      <c r="D29" s="233" t="s">
        <v>646</v>
      </c>
      <c r="F29" s="6"/>
    </row>
    <row r="30" spans="1:18">
      <c r="A30" s="228" t="s">
        <v>49</v>
      </c>
      <c r="B30" s="33">
        <f>IF(ISERROR(TER_ander_ele_kWh/1000),0,TER_ander_ele_kWh/1000)</f>
        <v>345.35917510000002</v>
      </c>
      <c r="C30" s="39">
        <f>IF(ISERROR(B30*3.6/1000000/'E Balans VL '!Z14*100),0,B30*3.6/1000000/'E Balans VL '!Z14*100)</f>
        <v>2.6086334666080197E-2</v>
      </c>
      <c r="D30" s="233" t="s">
        <v>646</v>
      </c>
      <c r="F30" s="6"/>
    </row>
    <row r="31" spans="1:18">
      <c r="A31" s="228" t="s">
        <v>54</v>
      </c>
      <c r="B31" s="33">
        <f>IF(ISERROR(TER_onderwijs_ele_kWh/1000),0,TER_onderwijs_ele_kWh/1000)</f>
        <v>36.448786674000004</v>
      </c>
      <c r="C31" s="39">
        <f>IF(ISERROR(B31*3.6/1000000/'E Balans VL '!Z11*100),0,B31*3.6/1000000/'E Balans VL '!Z11*100)</f>
        <v>7.3602267839791881E-3</v>
      </c>
      <c r="D31" s="233" t="s">
        <v>646</v>
      </c>
    </row>
    <row r="32" spans="1:18">
      <c r="A32" s="228" t="s">
        <v>249</v>
      </c>
      <c r="B32" s="33">
        <f>IF(ISERROR(TER_rest_ele_kWh/1000),0,TER_rest_ele_kWh/1000)</f>
        <v>7609.562688</v>
      </c>
      <c r="C32" s="39">
        <f>IF(ISERROR(B32*3.6/1000000/'E Balans VL '!Z8*100),0,B32*3.6/1000000/'E Balans VL '!Z8*100)</f>
        <v>6.3093870923120493E-2</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2</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14135.18086362</v>
      </c>
      <c r="C5" s="17">
        <f>IF(ISERROR('Eigen informatie GS &amp; warmtenet'!B59),0,'Eigen informatie GS &amp; warmtenet'!B59)</f>
        <v>0</v>
      </c>
      <c r="D5" s="30">
        <f>SUM(D6:D15)</f>
        <v>25260.954187067717</v>
      </c>
      <c r="E5" s="17">
        <f>SUM(E6:E15)</f>
        <v>596.1827578775908</v>
      </c>
      <c r="F5" s="17">
        <f>SUM(F6:F15)</f>
        <v>3628.7531010315874</v>
      </c>
      <c r="G5" s="18"/>
      <c r="H5" s="17"/>
      <c r="I5" s="17"/>
      <c r="J5" s="17">
        <f>SUM(J6:J15)</f>
        <v>21.056096298930044</v>
      </c>
      <c r="K5" s="17"/>
      <c r="L5" s="17"/>
      <c r="M5" s="17"/>
      <c r="N5" s="17">
        <f>SUM(N6:N15)</f>
        <v>4256.2321663338053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25.22431976</v>
      </c>
      <c r="C8" s="33"/>
      <c r="D8" s="37">
        <f>IF( ISERROR(IND_metaal_Gas_kWH/1000),0,IND_metaal_Gas_kWH/1000)*0.902</f>
        <v>0</v>
      </c>
      <c r="E8" s="33">
        <f>C30*'E Balans VL '!I18/100/3.6*1000000</f>
        <v>0.90764733370489115</v>
      </c>
      <c r="F8" s="33">
        <f>C30*'E Balans VL '!L18/100/3.6*1000000+C30*'E Balans VL '!N18/100/3.6*1000000</f>
        <v>11.014642754719947</v>
      </c>
      <c r="G8" s="34"/>
      <c r="H8" s="33"/>
      <c r="I8" s="33"/>
      <c r="J8" s="40">
        <f>C30*'E Balans VL '!D18/100/3.6*1000000+C30*'E Balans VL '!E18/100/3.6*1000000</f>
        <v>0</v>
      </c>
      <c r="K8" s="33"/>
      <c r="L8" s="33"/>
      <c r="M8" s="33"/>
      <c r="N8" s="33">
        <f>C30*'E Balans VL '!Y18/100/3.6*1000000</f>
        <v>1.2642257646295909</v>
      </c>
      <c r="O8" s="33"/>
      <c r="P8" s="33"/>
      <c r="R8" s="32"/>
    </row>
    <row r="9" spans="1:18">
      <c r="A9" s="6" t="s">
        <v>32</v>
      </c>
      <c r="B9" s="37">
        <f t="shared" si="0"/>
        <v>703.55693666000002</v>
      </c>
      <c r="C9" s="33"/>
      <c r="D9" s="37">
        <f>IF( ISERROR(IND_andere_gas_kWh/1000),0,IND_andere_gas_kWh/1000)*0.902</f>
        <v>106.49677167272</v>
      </c>
      <c r="E9" s="33">
        <f>C31*'E Balans VL '!I19/100/3.6*1000000</f>
        <v>179.53181181408166</v>
      </c>
      <c r="F9" s="33">
        <f>C31*'E Balans VL '!L19/100/3.6*1000000+C31*'E Balans VL '!N19/100/3.6*1000000</f>
        <v>605.70964106904864</v>
      </c>
      <c r="G9" s="34"/>
      <c r="H9" s="33"/>
      <c r="I9" s="33"/>
      <c r="J9" s="40">
        <f>C31*'E Balans VL '!D19/100/3.6*1000000+C31*'E Balans VL '!E19/100/3.6*1000000</f>
        <v>0</v>
      </c>
      <c r="K9" s="33"/>
      <c r="L9" s="33"/>
      <c r="M9" s="33"/>
      <c r="N9" s="33">
        <f>C31*'E Balans VL '!Y19/100/3.6*1000000</f>
        <v>55.502409478800189</v>
      </c>
      <c r="O9" s="33"/>
      <c r="P9" s="33"/>
      <c r="R9" s="32"/>
    </row>
    <row r="10" spans="1:18">
      <c r="A10" s="6" t="s">
        <v>40</v>
      </c>
      <c r="B10" s="37">
        <f t="shared" si="0"/>
        <v>10809.163122</v>
      </c>
      <c r="C10" s="33"/>
      <c r="D10" s="37">
        <f>IF( ISERROR(IND_voed_gas_kWh/1000),0,IND_voed_gas_kWh/1000)*0.902</f>
        <v>23153.931088221998</v>
      </c>
      <c r="E10" s="33">
        <f>C32*'E Balans VL '!I20/100/3.6*1000000</f>
        <v>274.78376875849955</v>
      </c>
      <c r="F10" s="33">
        <f>C32*'E Balans VL '!L20/100/3.6*1000000+C32*'E Balans VL '!N20/100/3.6*1000000</f>
        <v>2445.9513549768681</v>
      </c>
      <c r="G10" s="34"/>
      <c r="H10" s="33"/>
      <c r="I10" s="33"/>
      <c r="J10" s="40">
        <f>C32*'E Balans VL '!D20/100/3.6*1000000+C32*'E Balans VL '!E20/100/3.6*1000000</f>
        <v>0</v>
      </c>
      <c r="K10" s="33"/>
      <c r="L10" s="33"/>
      <c r="M10" s="33"/>
      <c r="N10" s="33">
        <f>C32*'E Balans VL '!Y20/100/3.6*1000000</f>
        <v>4053.729164640944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2597.2364852000001</v>
      </c>
      <c r="C15" s="33"/>
      <c r="D15" s="37">
        <f>IF( ISERROR(IND_rest_gas_kWh/1000),0,IND_rest_gas_kWh/1000)*0.902</f>
        <v>2000.526327173</v>
      </c>
      <c r="E15" s="33">
        <f>C37*'E Balans VL '!I15/100/3.6*1000000</f>
        <v>140.95952997130473</v>
      </c>
      <c r="F15" s="33">
        <f>C37*'E Balans VL '!L15/100/3.6*1000000+C37*'E Balans VL '!N15/100/3.6*1000000</f>
        <v>566.0774622309508</v>
      </c>
      <c r="G15" s="34"/>
      <c r="H15" s="33"/>
      <c r="I15" s="33"/>
      <c r="J15" s="40">
        <f>C37*'E Balans VL '!D15/100/3.6*1000000+C37*'E Balans VL '!E15/100/3.6*1000000</f>
        <v>21.056096298930044</v>
      </c>
      <c r="K15" s="33"/>
      <c r="L15" s="33"/>
      <c r="M15" s="33"/>
      <c r="N15" s="33">
        <f>C37*'E Balans VL '!Y15/100/3.6*1000000</f>
        <v>145.73636644943184</v>
      </c>
      <c r="O15" s="33"/>
      <c r="P15" s="33"/>
      <c r="R15" s="32"/>
    </row>
    <row r="16" spans="1:18">
      <c r="A16" s="16" t="s">
        <v>478</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14135.18086362</v>
      </c>
      <c r="C18" s="21">
        <f>C5+C16</f>
        <v>0</v>
      </c>
      <c r="D18" s="21">
        <f>MAX((D5+D16),0)</f>
        <v>25260.954187067717</v>
      </c>
      <c r="E18" s="21">
        <f>MAX((E5+E16),0)</f>
        <v>596.1827578775908</v>
      </c>
      <c r="F18" s="21">
        <f>MAX((F5+F16),0)</f>
        <v>3628.7531010315874</v>
      </c>
      <c r="G18" s="21"/>
      <c r="H18" s="21"/>
      <c r="I18" s="21"/>
      <c r="J18" s="21">
        <f>MAX((J5+J16),0)</f>
        <v>21.056096298930044</v>
      </c>
      <c r="K18" s="21"/>
      <c r="L18" s="21">
        <f>MAX((L5+L16),0)</f>
        <v>0</v>
      </c>
      <c r="M18" s="21"/>
      <c r="N18" s="21">
        <f>MAX((N5+N16),0)</f>
        <v>4256.2321663338053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0.20896109654131398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2953.7028930718329</v>
      </c>
      <c r="C22" s="23">
        <f ca="1">C18*C20</f>
        <v>0</v>
      </c>
      <c r="D22" s="23">
        <f>D18*D20</f>
        <v>5102.7127457876795</v>
      </c>
      <c r="E22" s="23">
        <f>E18*E20</f>
        <v>135.33348603821312</v>
      </c>
      <c r="F22" s="23">
        <f>F18*F20</f>
        <v>968.87707797543385</v>
      </c>
      <c r="G22" s="23"/>
      <c r="H22" s="23"/>
      <c r="I22" s="23"/>
      <c r="J22" s="23">
        <f>J18*J20</f>
        <v>7.4538580898212352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25.22431976</v>
      </c>
      <c r="C30" s="39">
        <f>IF(ISERROR(B30*3.6/1000000/'E Balans VL '!Z18*100),0,B30*3.6/1000000/'E Balans VL '!Z18*100)</f>
        <v>5.344492561981295E-3</v>
      </c>
      <c r="D30" s="233" t="s">
        <v>646</v>
      </c>
    </row>
    <row r="31" spans="1:18">
      <c r="A31" s="6" t="s">
        <v>32</v>
      </c>
      <c r="B31" s="37">
        <f>IF( ISERROR(IND_ander_ele_kWh/1000),0,IND_ander_ele_kWh/1000)</f>
        <v>703.55693666000002</v>
      </c>
      <c r="C31" s="39">
        <f>IF(ISERROR(B31*3.6/1000000/'E Balans VL '!Z19*100),0,B31*3.6/1000000/'E Balans VL '!Z19*100)</f>
        <v>2.9614309006226809E-2</v>
      </c>
      <c r="D31" s="233" t="s">
        <v>646</v>
      </c>
    </row>
    <row r="32" spans="1:18">
      <c r="A32" s="168" t="s">
        <v>40</v>
      </c>
      <c r="B32" s="37">
        <f>IF( ISERROR(IND_voed_ele_kWh/1000),0,IND_voed_ele_kWh/1000)</f>
        <v>10809.163122</v>
      </c>
      <c r="C32" s="39">
        <f>IF(ISERROR(B32*3.6/1000000/'E Balans VL '!Z20*100),0,B32*3.6/1000000/'E Balans VL '!Z20*100)</f>
        <v>1.8057929967996262</v>
      </c>
      <c r="D32" s="233" t="s">
        <v>646</v>
      </c>
    </row>
    <row r="33" spans="1:5">
      <c r="A33" s="168" t="s">
        <v>39</v>
      </c>
      <c r="B33" s="37">
        <f>IF( ISERROR(IND_textiel_ele_kWh/1000),0,IND_textiel_ele_kWh/1000)</f>
        <v>0</v>
      </c>
      <c r="C33" s="39">
        <f>IF(ISERROR(B33*3.6/1000000/'E Balans VL '!Z21*100),0,B33*3.6/1000000/'E Balans VL '!Z21*100)</f>
        <v>0</v>
      </c>
      <c r="D33" s="233" t="s">
        <v>646</v>
      </c>
    </row>
    <row r="34" spans="1:5">
      <c r="A34" s="168" t="s">
        <v>36</v>
      </c>
      <c r="B34" s="37">
        <f>IF( ISERROR(IND_min_ele_kWh/1000),0,IND_min_ele_kWh/1000)</f>
        <v>0</v>
      </c>
      <c r="C34" s="39">
        <f>IF(ISERROR(B34*3.6/1000000/'E Balans VL '!Z22*100),0,B34*3.6/1000000/'E Balans VL '!Z22*100)</f>
        <v>0</v>
      </c>
      <c r="D34" s="233" t="s">
        <v>646</v>
      </c>
    </row>
    <row r="35" spans="1:5">
      <c r="A35" s="168" t="s">
        <v>38</v>
      </c>
      <c r="B35" s="37">
        <f>IF( ISERROR(IND_papier_ele_kWh/1000),0,IND_papier_ele_kWh/1000)</f>
        <v>0</v>
      </c>
      <c r="C35" s="39">
        <f>IF(ISERROR(B35*3.6/1000000/'E Balans VL '!Z22*100),0,B35*3.6/1000000/'E Balans VL '!Z22*100)</f>
        <v>0</v>
      </c>
      <c r="D35" s="233" t="s">
        <v>646</v>
      </c>
    </row>
    <row r="36" spans="1:5">
      <c r="A36" s="168" t="s">
        <v>33</v>
      </c>
      <c r="B36" s="37">
        <f>IF( ISERROR(IND_chemie_ele_kWh/1000),0,IND_chemie_ele_kWh/1000)</f>
        <v>0</v>
      </c>
      <c r="C36" s="39">
        <f>IF(ISERROR(B36*3.6/1000000/'E Balans VL '!Z24*100),0,B36*3.6/1000000/'E Balans VL '!Z24*100)</f>
        <v>0</v>
      </c>
      <c r="D36" s="233" t="s">
        <v>646</v>
      </c>
    </row>
    <row r="37" spans="1:5">
      <c r="A37" s="168" t="s">
        <v>259</v>
      </c>
      <c r="B37" s="37">
        <f>IF( ISERROR(IND_rest_ele_kWh/1000),0,IND_rest_ele_kWh/1000)</f>
        <v>2597.2364852000001</v>
      </c>
      <c r="C37" s="39">
        <f>IF(ISERROR(B37*3.6/1000000/'E Balans VL '!Z15*100),0,B37*3.6/1000000/'E Balans VL '!Z15*100)</f>
        <v>2.0968495841081486E-2</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116.74497061299999</v>
      </c>
      <c r="C5" s="17">
        <f>'Eigen informatie GS &amp; warmtenet'!B60</f>
        <v>0</v>
      </c>
      <c r="D5" s="30">
        <f>IF(ISERROR(SUM(LB_lb_gas_kWh,LB_rest_gas_kWh)/1000),0,SUM(LB_lb_gas_kWh,LB_rest_gas_kWh)/1000)*0.902</f>
        <v>32.456520554123607</v>
      </c>
      <c r="E5" s="17">
        <f>B17*'E Balans VL '!I25/3.6*1000000/100</f>
        <v>3.0104045432462994</v>
      </c>
      <c r="F5" s="17">
        <f>B17*('E Balans VL '!L25/3.6*1000000+'E Balans VL '!N25/3.6*1000000)/100</f>
        <v>426.72510059015264</v>
      </c>
      <c r="G5" s="18"/>
      <c r="H5" s="17"/>
      <c r="I5" s="17"/>
      <c r="J5" s="17">
        <f>('E Balans VL '!D25+'E Balans VL '!E25)/3.6*1000000*landbouw!B17/100</f>
        <v>16.806981111072933</v>
      </c>
      <c r="K5" s="17"/>
      <c r="L5" s="17">
        <f>L6*(-1)</f>
        <v>0</v>
      </c>
      <c r="M5" s="17"/>
      <c r="N5" s="17">
        <f>N6*(-1)</f>
        <v>0</v>
      </c>
      <c r="O5" s="17"/>
      <c r="P5" s="17"/>
      <c r="R5" s="32"/>
    </row>
    <row r="6" spans="1:18">
      <c r="A6" s="16" t="s">
        <v>478</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116.74497061299999</v>
      </c>
      <c r="C8" s="21">
        <f>C5+C6</f>
        <v>0</v>
      </c>
      <c r="D8" s="21">
        <f>MAX((D5+D6),0)</f>
        <v>32.456520554123607</v>
      </c>
      <c r="E8" s="21">
        <f>MAX((E5+E6),0)</f>
        <v>3.0104045432462994</v>
      </c>
      <c r="F8" s="21">
        <f>MAX((F5+F6),0)</f>
        <v>426.72510059015264</v>
      </c>
      <c r="G8" s="21"/>
      <c r="H8" s="21"/>
      <c r="I8" s="21"/>
      <c r="J8" s="21">
        <f>MAX((J5+J6),0)</f>
        <v>16.806981111072933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0.20896109654131398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24.395157074975955</v>
      </c>
      <c r="C12" s="23">
        <f ca="1">C8*C10</f>
        <v>0</v>
      </c>
      <c r="D12" s="23">
        <f>D8*D10</f>
        <v>6.5562171519329686</v>
      </c>
      <c r="E12" s="23">
        <f>E8*E10</f>
        <v>0.68336183131690997</v>
      </c>
      <c r="F12" s="23">
        <f>F8*F10</f>
        <v>113.93560185757076</v>
      </c>
      <c r="G12" s="23"/>
      <c r="H12" s="23"/>
      <c r="I12" s="23"/>
      <c r="J12" s="23">
        <f>J8*J10</f>
        <v>5.9496713133198176</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1.6461814157778702E-2</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30.062241193173449</v>
      </c>
      <c r="C26" s="243">
        <f>B26*'GWP N2O_CH4'!B5</f>
        <v>631.30706505664239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5.1734397397967413</v>
      </c>
      <c r="C27" s="243">
        <f>B27*'GWP N2O_CH4'!B5</f>
        <v>108.64223453573157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0.37057376035738676</v>
      </c>
      <c r="C28" s="243">
        <f>B28*'GWP N2O_CH4'!B4</f>
        <v>114.87786571078989</v>
      </c>
      <c r="D28" s="50"/>
    </row>
    <row r="29" spans="1:4">
      <c r="A29" s="41" t="s">
        <v>266</v>
      </c>
      <c r="B29" s="243">
        <f>B34*'ha_N2O bodem landbouw'!B4</f>
        <v>3.0876976114512069</v>
      </c>
      <c r="C29" s="243">
        <f>B29*'GWP N2O_CH4'!B4</f>
        <v>957.18625954987419</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6.9489975294564812E-4</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5.4036297109542775E-5</v>
      </c>
      <c r="C5" s="429" t="s">
        <v>204</v>
      </c>
      <c r="D5" s="414">
        <f>SUM(D6:D11)</f>
        <v>9.6288932887042149E-5</v>
      </c>
      <c r="E5" s="414">
        <f>SUM(E6:E11)</f>
        <v>4.3462477825233383E-4</v>
      </c>
      <c r="F5" s="427" t="s">
        <v>204</v>
      </c>
      <c r="G5" s="414">
        <f>SUM(G6:G11)</f>
        <v>0.16953059707407592</v>
      </c>
      <c r="H5" s="414">
        <f>SUM(H6:H11)</f>
        <v>3.0956341750009882E-2</v>
      </c>
      <c r="I5" s="429" t="s">
        <v>204</v>
      </c>
      <c r="J5" s="429" t="s">
        <v>204</v>
      </c>
      <c r="K5" s="429" t="s">
        <v>204</v>
      </c>
      <c r="L5" s="429" t="s">
        <v>204</v>
      </c>
      <c r="M5" s="414">
        <f>SUM(M6:M11)</f>
        <v>6.2611797777749056E-3</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3.1318098343889321E-5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4.9193519649257559E-5</v>
      </c>
      <c r="E6" s="857">
        <f>vkm_GW_PW*SUMIFS(TableVerdeelsleutelVkm[LPG],TableVerdeelsleutelVkm[Voertuigtype],"Lichte voertuigen")*SUMIFS(TableECFTransport[EnergieConsumptieFactor (PJ per km)],TableECFTransport[Index],CONCATENATE($A6,"_LPG_LPG"))</f>
        <v>2.2683270595327828E-4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6.017132691887099E-2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1.6028942948887105E-2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2.3733833102509974E-3</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1.2341595038425015E-6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4.2540253554537916E-2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7.5109720623857734E-7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1.3383182659363257E-3</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2.113102003095097E-5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4.7095413237784583E-5</v>
      </c>
      <c r="E8" s="417">
        <f>vkm_NGW_PW*SUMIFS(TableVerdeelsleutelVkm[LPG],TableVerdeelsleutelVkm[Voertuigtype],"Lichte voertuigen")*SUMIFS(TableECFTransport[EnergieConsumptieFactor (PJ per km)],TableECFTransport[Index],CONCATENATE($A8,"_LPG_LPG"))</f>
        <v>2.0779207229905554E-4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5.1173560655679504E-2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1.4926388381735675E-2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2.0572719698019751E-3</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3.5301923085998237E-7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1.5645455944987507E-2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2.5932218086328617E-7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4.9220623178560766E-4</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15.010082530428548</v>
      </c>
      <c r="C14" s="21"/>
      <c r="D14" s="21">
        <f t="shared" ref="D14:M14" si="0">((D5)*10^9/3600)+D12</f>
        <v>26.746925801956152</v>
      </c>
      <c r="E14" s="21">
        <f t="shared" si="0"/>
        <v>120.72910507009273</v>
      </c>
      <c r="F14" s="21"/>
      <c r="G14" s="21">
        <f t="shared" si="0"/>
        <v>47091.832520576638</v>
      </c>
      <c r="H14" s="21">
        <f t="shared" si="0"/>
        <v>8598.9838194471904</v>
      </c>
      <c r="I14" s="21"/>
      <c r="J14" s="21"/>
      <c r="K14" s="21"/>
      <c r="L14" s="21"/>
      <c r="M14" s="21">
        <f t="shared" si="0"/>
        <v>1739.2166049374739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0.20896109654131398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3.13652330473397</v>
      </c>
      <c r="C18" s="23"/>
      <c r="D18" s="23">
        <f t="shared" ref="D18:M18" si="1">D14*D16</f>
        <v>5.4028790119951431</v>
      </c>
      <c r="E18" s="23">
        <f t="shared" si="1"/>
        <v>27.405506850911049</v>
      </c>
      <c r="F18" s="23"/>
      <c r="G18" s="23">
        <f t="shared" si="1"/>
        <v>12573.519282993962</v>
      </c>
      <c r="H18" s="23">
        <f t="shared" si="1"/>
        <v>2141.1469710423503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3.598005644414892E-5</v>
      </c>
      <c r="C50" s="313">
        <f t="shared" ref="C50:P50" si="2">SUM(C51:C52)</f>
        <v>0</v>
      </c>
      <c r="D50" s="313">
        <f t="shared" si="2"/>
        <v>0</v>
      </c>
      <c r="E50" s="313">
        <f t="shared" si="2"/>
        <v>0</v>
      </c>
      <c r="F50" s="313">
        <f t="shared" si="2"/>
        <v>0</v>
      </c>
      <c r="G50" s="313">
        <f t="shared" si="2"/>
        <v>6.4153201248159262E-3</v>
      </c>
      <c r="H50" s="313">
        <f t="shared" si="2"/>
        <v>0</v>
      </c>
      <c r="I50" s="313">
        <f t="shared" si="2"/>
        <v>0</v>
      </c>
      <c r="J50" s="313">
        <f t="shared" si="2"/>
        <v>0</v>
      </c>
      <c r="K50" s="313">
        <f t="shared" si="2"/>
        <v>0</v>
      </c>
      <c r="L50" s="313">
        <f t="shared" si="2"/>
        <v>0</v>
      </c>
      <c r="M50" s="313">
        <f t="shared" si="2"/>
        <v>2.0026143722361964E-4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3.598005644414892E-5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6.4153201248159262E-3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2.0026143722361964E-4</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9.994460123374699</v>
      </c>
      <c r="C54" s="21">
        <f t="shared" ref="C54:P54" si="3">(C50)*10^9/3600</f>
        <v>0</v>
      </c>
      <c r="D54" s="21">
        <f t="shared" si="3"/>
        <v>0</v>
      </c>
      <c r="E54" s="21">
        <f t="shared" si="3"/>
        <v>0</v>
      </c>
      <c r="F54" s="21">
        <f t="shared" si="3"/>
        <v>0</v>
      </c>
      <c r="G54" s="21">
        <f t="shared" si="3"/>
        <v>1782.0333680044239</v>
      </c>
      <c r="H54" s="21">
        <f t="shared" si="3"/>
        <v>0</v>
      </c>
      <c r="I54" s="21">
        <f t="shared" si="3"/>
        <v>0</v>
      </c>
      <c r="J54" s="21">
        <f t="shared" si="3"/>
        <v>0</v>
      </c>
      <c r="K54" s="21">
        <f t="shared" si="3"/>
        <v>0</v>
      </c>
      <c r="L54" s="21">
        <f t="shared" si="3"/>
        <v>0</v>
      </c>
      <c r="M54" s="21">
        <f t="shared" si="3"/>
        <v>55.62817700656101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0.20896109654131398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2.0884533467188131</v>
      </c>
      <c r="C58" s="23">
        <f t="shared" ref="C58:P58" ca="1" si="4">C54*C56</f>
        <v>0</v>
      </c>
      <c r="D58" s="23">
        <f t="shared" si="4"/>
        <v>0</v>
      </c>
      <c r="E58" s="23">
        <f t="shared" si="4"/>
        <v>0</v>
      </c>
      <c r="F58" s="23">
        <f t="shared" si="4"/>
        <v>0</v>
      </c>
      <c r="G58" s="23">
        <f t="shared" si="4"/>
        <v>475.80290925718123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0</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3077.9496500497003</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N29</f>
        <v>0</v>
      </c>
      <c r="C8" s="536">
        <f>B48</f>
        <v>0</v>
      </c>
      <c r="D8" s="1001"/>
      <c r="E8" s="1001">
        <f>E48</f>
        <v>0</v>
      </c>
      <c r="F8" s="1002"/>
      <c r="G8" s="537"/>
      <c r="H8" s="1001">
        <f>I48</f>
        <v>0</v>
      </c>
      <c r="I8" s="1001">
        <f>G48+F48</f>
        <v>0</v>
      </c>
      <c r="J8" s="1001">
        <f>H48+D48+C48</f>
        <v>0</v>
      </c>
      <c r="K8" s="1001"/>
      <c r="L8" s="1001"/>
      <c r="M8" s="1001"/>
      <c r="N8" s="538"/>
      <c r="O8" s="539">
        <f>C8*$C$12+D8*$D$12+E8*$E$12+F8*$F$12+G8*$G$12+H8*$H$12+I8*$I$12+J8*$J$12</f>
        <v>0</v>
      </c>
      <c r="P8" s="1245"/>
      <c r="Q8" s="1246"/>
      <c r="S8" s="965"/>
      <c r="T8" s="1220"/>
      <c r="U8" s="1220"/>
    </row>
    <row r="9" spans="1:21" s="525" customFormat="1" ht="17.45" customHeight="1" thickBot="1">
      <c r="A9" s="540" t="s">
        <v>237</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3077.9496500497003</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4"/>
      <c r="N10" s="1004"/>
      <c r="O10" s="550">
        <f>SUM(O4:O9)</f>
        <v>0</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O29</f>
        <v>0</v>
      </c>
      <c r="C17" s="561">
        <f>B49</f>
        <v>0</v>
      </c>
      <c r="D17" s="562"/>
      <c r="E17" s="562">
        <f>E49</f>
        <v>0</v>
      </c>
      <c r="F17" s="1007"/>
      <c r="G17" s="563"/>
      <c r="H17" s="561">
        <f>I49</f>
        <v>0</v>
      </c>
      <c r="I17" s="562">
        <f>G49+F49</f>
        <v>0</v>
      </c>
      <c r="J17" s="562">
        <f>H49+D49+C49</f>
        <v>0</v>
      </c>
      <c r="K17" s="562"/>
      <c r="L17" s="562"/>
      <c r="M17" s="562"/>
      <c r="N17" s="1008"/>
      <c r="O17" s="564">
        <f>C17*$C$22+E17*$E$22+H17*$H$22+I17*$I$22+J17*$J$22+D17*$D$22+F17*$F$22+G17*$G$22+K17*$K$22+L17*$L$22</f>
        <v>0</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269</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276</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277</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278</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270</v>
      </c>
      <c r="B34" s="615" t="s">
        <v>89</v>
      </c>
      <c r="C34" s="615" t="s">
        <v>90</v>
      </c>
      <c r="D34" s="615"/>
      <c r="E34" s="615"/>
      <c r="F34" s="615"/>
      <c r="G34" s="615" t="s">
        <v>91</v>
      </c>
      <c r="H34" s="615" t="s">
        <v>92</v>
      </c>
      <c r="I34" s="615"/>
      <c r="J34" s="615"/>
      <c r="K34" s="615"/>
      <c r="L34" s="615" t="s">
        <v>93</v>
      </c>
      <c r="M34" s="616" t="s">
        <v>287</v>
      </c>
      <c r="N34" s="616" t="s">
        <v>94</v>
      </c>
      <c r="O34" s="616" t="s">
        <v>95</v>
      </c>
      <c r="P34" s="616" t="s">
        <v>524</v>
      </c>
      <c r="Q34" s="616" t="s">
        <v>96</v>
      </c>
      <c r="R34" s="616" t="s">
        <v>97</v>
      </c>
      <c r="S34" s="616" t="s">
        <v>98</v>
      </c>
      <c r="T34" s="616" t="s">
        <v>99</v>
      </c>
      <c r="U34" s="616" t="s">
        <v>100</v>
      </c>
      <c r="V34" s="616" t="s">
        <v>101</v>
      </c>
      <c r="W34" s="615" t="s">
        <v>102</v>
      </c>
      <c r="X34" s="615" t="s">
        <v>288</v>
      </c>
      <c r="Y34" s="615" t="s">
        <v>103</v>
      </c>
      <c r="Z34" s="617" t="s">
        <v>289</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269</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276</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277</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278</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271</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272</v>
      </c>
      <c r="C44" s="598" t="s">
        <v>273</v>
      </c>
      <c r="D44" s="598"/>
      <c r="E44" s="598"/>
      <c r="F44" s="598"/>
      <c r="G44" s="598"/>
      <c r="H44" s="598"/>
      <c r="I44" s="599"/>
      <c r="J44" s="598"/>
      <c r="K44" s="598"/>
      <c r="L44" s="598"/>
      <c r="M44" s="598"/>
      <c r="N44" s="598"/>
      <c r="O44" s="598"/>
      <c r="P44" s="593"/>
    </row>
    <row r="45" spans="1:27">
      <c r="A45" s="595" t="s">
        <v>269</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524</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274</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275</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2021-11-11T12:58:12Z</dcterms:modified>
</cp:coreProperties>
</file>