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5428DA1-12C1-42A3-9F78-1B3AF50E049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<sst xmlns="http://schemas.openxmlformats.org/spreadsheetml/2006/main" count="2511" uniqueCount="925">
  <si>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</si>
  <si>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</si>
  <si>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</si>
  <si>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</si>
  <si>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</si>
  <si>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</si>
  <si>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</si>
  <si>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</si>
  <si>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</si>
  <si>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</si>
  <si>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</si>
  <si>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</si>
  <si>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</si>
  <si>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</si>
  <si>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</si>
  <si>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</si>
  <si>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</si>
  <si>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</si>
  <si>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</si>
  <si>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</si>
  <si>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</si>
  <si>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</si>
  <si>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</si>
  <si>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</si>
  <si>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</si>
  <si>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</si>
  <si>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</si>
  <si>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</si>
  <si>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</si>
  <si>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</si>
  <si>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</si>
  <si>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</si>
  <si>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</si>
  <si>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</si>
  <si>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</si>
  <si>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</si>
  <si>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</si>
  <si>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</si>
  <si>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</si>
  <si>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</si>
  <si>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</si>
  <si>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</si>
  <si>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</si>
  <si>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</si>
  <si>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</si>
  <si>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</si>
  <si>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</si>
  <si>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</si>
  <si>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</si>
  <si>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</si>
  <si>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</si>
  <si>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</si>
  <si>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</si>
  <si>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</si>
  <si>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</si>
  <si>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</si>
  <si>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</si>
  <si>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</si>
  <si>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</si>
  <si>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</si>
  <si>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</si>
  <si>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</si>
  <si>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</si>
  <si>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</si>
  <si>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</si>
  <si>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</si>
  <si>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</si>
  <si>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</si>
  <si>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</si>
  <si>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</si>
  <si>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</si>
  <si>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</si>
  <si>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</si>
  <si>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</si>
  <si>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</si>
  <si>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</si>
  <si>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</si>
  <si>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</si>
  <si>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</si>
  <si>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</si>
  <si>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</si>
  <si>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</si>
  <si>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</si>
  <si>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</si>
  <si>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</si>
  <si>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</si>
  <si>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</si>
  <si>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</si>
  <si>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</si>
  <si>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</si>
  <si>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</si>
  <si>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</si>
  <si>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</si>
  <si>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</si>
  <si>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</si>
  <si>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</si>
  <si>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</si>
  <si>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</si>
  <si>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</si>
  <si>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</si>
  <si>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</si>
  <si>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</si>
  <si>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</si>
  <si>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</si>
  <si>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</si>
  <si>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</si>
  <si>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</si>
  <si>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</si>
  <si>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</si>
  <si>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</si>
  <si>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</si>
  <si>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</si>
  <si>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</si>
  <si>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</si>
  <si>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</si>
  <si>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</si>
  <si>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</si>
  <si>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</si>
  <si>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</si>
  <si>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</si>
  <si>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</si>
  <si>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</si>
  <si>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</si>
  <si>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</si>
  <si>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</si>
  <si>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</si>
  <si>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</si>
  <si>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</si>
  <si>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</si>
  <si>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</si>
  <si>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</si>
  <si>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</si>
  <si>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</si>
  <si>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</si>
  <si>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</si>
  <si>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</si>
  <si>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</si>
  <si>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</si>
  <si>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</si>
  <si>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</si>
  <si>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</si>
  <si>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</si>
  <si>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</si>
  <si>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</si>
  <si>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</si>
  <si>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</si>
  <si>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</si>
  <si>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</si>
  <si>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</si>
  <si>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</si>
  <si>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</si>
  <si>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</si>
  <si>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</si>
  <si>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</si>
  <si>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</si>
  <si>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</si>
  <si>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</si>
  <si>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</si>
  <si>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</si>
  <si>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</si>
  <si>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</si>
  <si>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</si>
  <si>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</si>
  <si>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</si>
  <si>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</si>
  <si>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</si>
  <si>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</si>
  <si>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</si>
  <si>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</si>
  <si>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</si>
  <si>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</si>
  <si>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</si>
  <si>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</si>
  <si>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</si>
  <si>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</si>
  <si>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</si>
  <si>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</si>
  <si>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</si>
  <si>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</si>
  <si>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</si>
  <si>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</si>
  <si>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</si>
  <si>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</si>
  <si>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</si>
  <si>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</si>
  <si>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</si>
  <si>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</si>
  <si>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</si>
  <si>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</si>
  <si>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</si>
  <si>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</si>
  <si>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</si>
  <si>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</si>
  <si>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</si>
  <si>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</si>
  <si>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</si>
  <si>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</si>
  <si>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</si>
  <si>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</si>
  <si>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</si>
  <si>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</si>
  <si>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</si>
  <si>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</si>
  <si>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</si>
  <si>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</si>
  <si>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</si>
  <si>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</si>
  <si>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</si>
  <si>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</si>
  <si>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</si>
  <si>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</si>
  <si>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</si>
  <si>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</si>
  <si>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</si>
  <si>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</si>
  <si>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</si>
  <si>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</si>
  <si>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</si>
  <si>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</si>
  <si>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</si>
  <si>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</si>
  <si>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</si>
  <si>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</si>
  <si>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</si>
  <si>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</si>
  <si>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</si>
  <si>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</si>
  <si>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</si>
  <si>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</si>
  <si>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</si>
  <si>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</si>
  <si>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</si>
  <si>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</si>
  <si>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</si>
  <si>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</si>
  <si>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</si>
  <si>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</si>
  <si>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</si>
  <si>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</si>
  <si>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</si>
  <si>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</si>
  <si>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</si>
  <si>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</si>
  <si>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</si>
  <si>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</si>
  <si>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</si>
  <si>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</si>
  <si>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</si>
  <si>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</si>
  <si>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</si>
  <si>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</si>
  <si>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</si>
  <si>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</si>
  <si>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</si>
  <si>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</si>
  <si>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</si>
  <si>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</si>
  <si>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</si>
  <si>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</si>
  <si>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</si>
  <si>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</si>
  <si>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</si>
  <si>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</si>
  <si>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</si>
  <si>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</si>
  <si>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</si>
  <si>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</si>
  <si>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</si>
  <si>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</si>
  <si>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</si>
  <si>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</si>
  <si>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</si>
  <si>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</si>
  <si>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</si>
  <si>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</si>
  <si>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</si>
  <si>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</si>
  <si>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</si>
  <si>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</si>
  <si>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</si>
  <si>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</si>
  <si>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</si>
  <si>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</si>
  <si>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</si>
  <si>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</si>
  <si>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</si>
  <si>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</si>
  <si>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</si>
  <si>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</si>
  <si>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</si>
  <si>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</si>
  <si>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</si>
  <si>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</si>
  <si>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</si>
  <si>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</si>
  <si>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</si>
  <si>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</si>
  <si>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</si>
  <si>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</si>
  <si>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</si>
  <si>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</si>
  <si>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</si>
  <si>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</si>
  <si>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</si>
  <si>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</si>
  <si>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</si>
  <si>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</si>
  <si>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</si>
  <si>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</si>
  <si>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</si>
  <si>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</si>
  <si>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</si>
  <si>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</si>
  <si>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</si>
  <si>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</si>
  <si>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</si>
  <si>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</si>
  <si>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</si>
  <si>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</si>
  <si>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</si>
  <si>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</si>
  <si>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</si>
  <si>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</si>
  <si>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</si>
  <si>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</si>
  <si>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</si>
  <si>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</si>
  <si>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</si>
  <si>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</si>
  <si>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</si>
  <si>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</si>
  <si>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</si>
  <si>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</si>
  <si>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</si>
  <si>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</si>
  <si>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</si>
  <si>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</si>
  <si>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</si>
  <si>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</si>
  <si>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</si>
  <si>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</si>
  <si>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</si>
  <si>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</si>
  <si>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</si>
  <si>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</si>
  <si>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</si>
  <si>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</si>
  <si>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</si>
  <si>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</si>
  <si>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</si>
  <si>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</si>
  <si>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</si>
  <si>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</si>
  <si>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</si>
  <si>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</si>
  <si>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</si>
  <si>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</si>
  <si>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</si>
  <si>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</si>
  <si>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</si>
  <si>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</si>
  <si>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</si>
  <si>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</si>
  <si>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</si>
  <si>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</si>
  <si>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</si>
  <si>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</si>
  <si>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</si>
  <si>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</si>
  <si>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</si>
  <si>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</si>
  <si>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</si>
  <si>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</si>
  <si>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</si>
  <si>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</si>
  <si>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</si>
  <si>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</si>
  <si>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</si>
  <si>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</si>
  <si>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</si>
  <si>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</si>
  <si>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</si>
  <si>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</si>
  <si>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</si>
  <si>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</si>
  <si>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</si>
  <si>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</si>
  <si>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</si>
  <si>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</si>
  <si>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</si>
  <si>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</si>
  <si>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</si>
  <si>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</si>
  <si>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</si>
  <si>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</si>
  <si>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</si>
  <si>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</si>
  <si>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</si>
  <si>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</si>
  <si>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</si>
  <si>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</si>
  <si>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</si>
  <si>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</si>
  <si>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</si>
  <si>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</si>
  <si>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</si>
  <si>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</si>
  <si>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</si>
  <si>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</si>
  <si>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</si>
  <si>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</si>
  <si>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</si>
  <si>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</si>
  <si>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</si>
  <si>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</si>
  <si>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</si>
  <si>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</si>
  <si>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</si>
  <si>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</si>
  <si>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</si>
  <si>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</si>
  <si>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</si>
  <si>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</si>
  <si>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</si>
  <si>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</si>
  <si>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</si>
  <si>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</si>
  <si>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</si>
  <si>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</si>
  <si>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</si>
  <si>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</si>
  <si>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</si>
  <si>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</si>
  <si>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</si>
  <si>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</si>
  <si>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</si>
  <si>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</si>
  <si>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</si>
  <si>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</si>
  <si>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</si>
  <si>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</si>
  <si>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</si>
  <si>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</si>
  <si>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</si>
  <si>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</si>
  <si>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</si>
  <si>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</si>
  <si>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</si>
  <si>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</si>
  <si>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</si>
  <si>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</si>
  <si>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</si>
  <si>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</si>
  <si>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</si>
  <si>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</si>
  <si>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</si>
  <si>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</si>
  <si>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</si>
  <si>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</si>
  <si>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</si>
  <si>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</si>
  <si>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</si>
  <si>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</si>
  <si>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</si>
  <si>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</si>
  <si>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</si>
  <si>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</si>
  <si>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</si>
  <si>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</si>
  <si>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</si>
  <si>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</si>
  <si>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</si>
  <si>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</si>
  <si>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</si>
  <si>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</si>
  <si>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</si>
  <si>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</si>
  <si>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</si>
  <si>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</si>
  <si>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</si>
  <si>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</si>
  <si>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</si>
  <si>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</si>
  <si>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</si>
  <si>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</si>
  <si>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</si>
  <si>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</si>
  <si>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</si>
  <si>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</si>
  <si>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</si>
  <si>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</si>
  <si>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</si>
  <si>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</si>
  <si>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</si>
  <si>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</si>
  <si>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</si>
  <si>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</si>
  <si>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</si>
  <si>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</si>
  <si>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</si>
  <si>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</si>
  <si>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</si>
  <si>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</si>
  <si>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</si>
  <si>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</si>
  <si>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</si>
  <si>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</si>
  <si>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</si>
  <si>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</si>
  <si>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</si>
  <si>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</si>
  <si>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</si>
  <si>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</si>
  <si>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</si>
  <si>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</si>
  <si>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</si>
  <si>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</si>
  <si>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</si>
  <si>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</si>
  <si>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</si>
  <si>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</si>
  <si>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</si>
  <si>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</si>
  <si>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</si>
  <si>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</si>
  <si>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</si>
  <si>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</si>
  <si>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</si>
  <si>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</si>
  <si>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</si>
  <si>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</si>
  <si>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</si>
  <si>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</si>
  <si>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</si>
  <si>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</si>
  <si>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</si>
  <si>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</si>
  <si>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</si>
  <si>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</si>
  <si>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</si>
  <si>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</si>
  <si>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</si>
  <si>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</si>
  <si>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</si>
  <si>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</si>
  <si>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</si>
  <si>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</si>
  <si>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</si>
  <si>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</si>
  <si>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</si>
  <si>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</si>
  <si>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</si>
  <si>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</si>
  <si>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</si>
  <si>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</si>
  <si>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</si>
  <si>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</si>
  <si>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</si>
  <si>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</si>
  <si>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</si>
  <si>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</si>
  <si>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</si>
  <si>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</si>
  <si>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</si>
  <si>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</si>
  <si>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</si>
  <si>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</si>
  <si>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</si>
  <si>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</si>
  <si>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</si>
  <si>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</si>
  <si>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</si>
  <si>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</si>
  <si>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</si>
  <si>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</si>
  <si>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</si>
  <si>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</si>
  <si>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</si>
  <si>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</si>
  <si>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</si>
  <si>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</si>
  <si>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</si>
  <si>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</si>
  <si>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</si>
  <si>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</si>
  <si>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</si>
  <si>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</si>
  <si>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</si>
  <si>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</si>
  <si>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</si>
  <si>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</si>
  <si>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</si>
  <si>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</si>
  <si>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</si>
  <si>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</si>
  <si>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</si>
  <si>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</si>
  <si>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</si>
  <si>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</si>
  <si>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</si>
  <si>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</si>
  <si>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</si>
  <si>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</si>
  <si>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</si>
  <si>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</si>
  <si>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</si>
  <si>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</si>
  <si>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</si>
  <si>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</si>
  <si>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</si>
  <si>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</si>
  <si>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</si>
  <si>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</si>
  <si>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</si>
  <si>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</si>
  <si>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</si>
  <si>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</si>
  <si>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</si>
  <si>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</si>
  <si>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</si>
  <si>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</si>
  <si>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</si>
  <si>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</si>
  <si>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</si>
  <si>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</si>
  <si>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</si>
  <si>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</si>
  <si>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</si>
  <si>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</si>
  <si>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</si>
  <si>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</si>
  <si>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</si>
  <si>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</si>
  <si>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</si>
  <si>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</si>
  <si>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</si>
  <si>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</si>
  <si>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</si>
  <si>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</si>
  <si>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</si>
  <si>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</si>
  <si>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</si>
  <si>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</si>
  <si>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</si>
  <si>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</si>
  <si>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</si>
  <si>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</si>
  <si>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</si>
  <si>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</si>
  <si>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</si>
  <si>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</si>
  <si>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</si>
  <si>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</si>
  <si>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</si>
  <si>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</si>
  <si>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</si>
  <si>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</si>
  <si>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</si>
  <si>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</si>
  <si>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</si>
  <si>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</si>
  <si>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</si>
  <si>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</si>
  <si>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</si>
  <si>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</si>
  <si>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</si>
  <si>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</si>
  <si>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</si>
  <si>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</si>
  <si>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</si>
  <si>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</si>
  <si>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</si>
  <si>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</si>
  <si>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</si>
  <si>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</si>
  <si>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</si>
  <si>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</si>
  <si>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</si>
  <si>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</si>
  <si>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</si>
  <si>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</si>
  <si>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</si>
  <si>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</si>
  <si>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</si>
  <si>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</si>
  <si>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</si>
  <si>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</si>
  <si>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</si>
  <si>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</si>
  <si>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</si>
  <si>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</si>
  <si>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</si>
  <si>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</si>
  <si>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</si>
  <si>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</si>
  <si>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</si>
  <si>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</si>
  <si>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</si>
  <si>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</si>
  <si>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</si>
  <si>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</si>
  <si>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</si>
  <si>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</si>
  <si>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</si>
  <si>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</si>
  <si>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</si>
  <si>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</si>
  <si>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</si>
  <si>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</si>
  <si>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</si>
  <si>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</si>
  <si>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</si>
  <si>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</si>
  <si>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</si>
  <si>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</si>
  <si>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</si>
  <si>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</si>
  <si>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</si>
  <si>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</si>
  <si>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</si>
  <si>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</si>
  <si>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</si>
  <si>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</si>
  <si>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</si>
  <si>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</si>
  <si>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</si>
  <si>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</si>
  <si>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</si>
  <si>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</si>
  <si>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</si>
  <si>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</si>
  <si>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</si>
  <si>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</si>
  <si>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</si>
  <si>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</si>
  <si>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</si>
  <si>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</si>
  <si>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</si>
  <si>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</si>
  <si>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</si>
  <si>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</si>
  <si>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</si>
  <si>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</si>
  <si>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</si>
  <si>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</si>
  <si>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</si>
  <si>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</si>
  <si>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</si>
  <si>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</si>
  <si>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</si>
  <si>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</si>
  <si>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</si>
  <si>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</si>
  <si>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</si>
  <si>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</si>
  <si>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</si>
  <si>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</si>
  <si>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</si>
  <si>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</si>
  <si>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</si>
  <si>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</si>
  <si>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</si>
  <si>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</si>
  <si>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</si>
  <si>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</si>
  <si>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</si>
  <si>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</si>
  <si>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</si>
  <si>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</si>
  <si>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</si>
  <si>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</si>
  <si>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</si>
  <si>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</si>
  <si>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</si>
  <si>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</si>
  <si>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</si>
  <si>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</si>
  <si>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</si>
  <si>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</si>
  <si>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</si>
  <si>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</si>
  <si>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</si>
  <si>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</si>
  <si>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</si>
  <si>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</si>
  <si>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</si>
  <si>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</si>
  <si>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</si>
  <si>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</si>
  <si>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</si>
  <si>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</si>
  <si>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</si>
  <si>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</si>
  <si>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</si>
  <si>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</si>
  <si>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</si>
  <si>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</si>
  <si>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</si>
  <si>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</si>
  <si>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</si>
  <si>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</si>
  <si>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</si>
  <si>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</si>
  <si>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</si>
  <si>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</si>
  <si>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</si>
  <si>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</si>
  <si>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</si>
  <si>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</si>
  <si>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</si>
  <si>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</si>
  <si>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</si>
  <si>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</si>
  <si>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</si>
  <si>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</si>
  <si>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</si>
  <si>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</si>
  <si>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</si>
  <si>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</si>
  <si>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</si>
  <si>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</si>
  <si>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</si>
  <si>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</si>
  <si>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</si>
  <si>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</si>
  <si>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</si>
  <si>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</si>
  <si>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</si>
  <si>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</si>
  <si>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</si>
  <si>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</si>
  <si>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</si>
  <si>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</si>
  <si>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</si>
  <si>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</si>
  <si>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</si>
  <si>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</si>
  <si>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</si>
  <si>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</si>
  <si>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</si>
  <si>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</si>
  <si>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</si>
  <si>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</si>
  <si>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</si>
  <si>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</si>
  <si>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</si>
  <si>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</si>
  <si>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</si>
  <si>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</si>
  <si>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</si>
  <si>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</si>
  <si>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</si>
  <si>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</si>
  <si>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</si>
  <si>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</si>
  <si>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</si>
  <si>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</si>
  <si>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</si>
  <si>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</si>
  <si>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</si>
  <si>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</si>
  <si>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</si>
  <si>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</si>
  <si>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</si>
  <si>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</si>
  <si>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</si>
  <si>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</si>
  <si>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</si>
  <si>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</si>
  <si>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</si>
  <si>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</si>
  <si>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</si>
  <si>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</si>
  <si>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</si>
  <si>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</si>
  <si>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</si>
  <si>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</si>
  <si>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</si>
  <si>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</si>
  <si>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</si>
  <si>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</si>
  <si>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</si>
  <si>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</si>
  <si>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</si>
  <si>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</si>
  <si>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</si>
  <si>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</si>
  <si>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</si>
  <si>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</si>
  <si>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</si>
  <si>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</si>
  <si>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</si>
  <si>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</si>
  <si>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</si>
  <si>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</si>
  <si>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</si>
  <si>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</si>
  <si>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</si>
  <si>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</si>
  <si>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</si>
  <si>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</si>
  <si>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</si>
  <si>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</si>
  <si>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</si>
  <si>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</si>
  <si>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</si>
  <si>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</si>
  <si>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</si>
  <si>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</si>
  <si>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</si>
  <si>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</si>
  <si>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</si>
  <si>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</si>
  <si>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</si>
  <si>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</si>
  <si>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</si>
  <si>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73001</t>
  </si>
  <si>
    <t>ALKEN</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</si>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</sst>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E1CFCD1-9C75-48CC-A09A-1FC0A1A81DCC}"/>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100514.03814717906</c:v>
                </c:pt>
                <c:pt idx="1">
                  <c:v>18136.214208655409</c:v>
                </c:pt>
                <c:pt idx="2">
                  <c:v>597.93600000000004</c:v>
                </c:pt>
                <c:pt idx="3">
                  <c:v>9663.8150422081526</c:v>
                </c:pt>
                <c:pt idx="4">
                  <c:v>138634.2521271469</c:v>
                </c:pt>
                <c:pt idx="5">
                  <c:v>70160.275227417354</c:v>
                </c:pt>
                <c:pt idx="6">
                  <c:v>791.04143439970687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100514.03814717906</c:v>
                </c:pt>
                <c:pt idx="1">
                  <c:v>18136.214208655409</c:v>
                </c:pt>
                <c:pt idx="2">
                  <c:v>597.93600000000004</c:v>
                </c:pt>
                <c:pt idx="3">
                  <c:v>9663.8150422081526</c:v>
                </c:pt>
                <c:pt idx="4">
                  <c:v>138634.2521271469</c:v>
                </c:pt>
                <c:pt idx="5">
                  <c:v>70160.275227417354</c:v>
                </c:pt>
                <c:pt idx="6">
                  <c:v>791.04143439970687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21942.315904969055</c:v>
                </c:pt>
                <c:pt idx="2">
                  <c:v>3522.8033401929356</c:v>
                </c:pt>
                <c:pt idx="3">
                  <c:v>117.92176871225341</c:v>
                </c:pt>
                <c:pt idx="4">
                  <c:v>2423.8764309127259</c:v>
                </c:pt>
                <c:pt idx="5">
                  <c:v>29507.2405706391</c:v>
                </c:pt>
                <c:pt idx="6">
                  <c:v>17583.70848373849</c:v>
                </c:pt>
                <c:pt idx="7">
                  <c:v>199.49407133426686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21942.315904969055</c:v>
                </c:pt>
                <c:pt idx="2">
                  <c:v>3522.8033401929356</c:v>
                </c:pt>
                <c:pt idx="3">
                  <c:v>117.92176871225341</c:v>
                </c:pt>
                <c:pt idx="4">
                  <c:v>2423.8764309127259</c:v>
                </c:pt>
                <c:pt idx="5">
                  <c:v>29507.2405706391</c:v>
                </c:pt>
                <c:pt idx="6">
                  <c:v>17583.70848373849</c:v>
                </c:pt>
                <c:pt idx="7">
                  <c:v>199.49407133426686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73001</v>
      </c>
      <c r="B6" s="383"/>
      <c r="C6" s="384"/>
    </row>
    <row r="7" spans="1:7" s="381" customFormat="1" ht="15.75" customHeight="1">
      <c r="A7" s="385" t="str">
        <f>txtMunicipality</f>
        <v>ALKEN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10050.123416</v>
      </c>
      <c r="D10" s="983">
        <f ca="1">tertiair!C16</f>
        <v>56.571428571428577</v>
      </c>
      <c r="E10" s="983">
        <f ca="1">tertiair!D16</f>
        <v>6279.0253648571434</v>
      </c>
      <c r="F10" s="983">
        <f>tertiair!E16</f>
        <v>97.457033638934675</v>
      </c>
      <c r="G10" s="983">
        <f ca="1">tertiair!F16</f>
        <v>1377.3409284178033</v>
      </c>
      <c r="H10" s="983">
        <f>tertiair!G16</f>
        <v>0</v>
      </c>
      <c r="I10" s="983">
        <f>tertiair!H16</f>
        <v>0</v>
      </c>
      <c r="J10" s="983">
        <f>tertiair!I16</f>
        <v>0</v>
      </c>
      <c r="K10" s="983">
        <f>tertiair!J16</f>
        <v>0</v>
      </c>
      <c r="L10" s="983">
        <f>tertiair!K16</f>
        <v>0</v>
      </c>
      <c r="M10" s="983">
        <f ca="1">tertiair!L16</f>
        <v>0</v>
      </c>
      <c r="N10" s="983">
        <f>tertiair!M16</f>
        <v>0</v>
      </c>
      <c r="O10" s="983">
        <f ca="1">tertiair!N16</f>
        <v>832.37203717009356</v>
      </c>
      <c r="P10" s="983">
        <f>tertiair!O16</f>
        <v>3.1266666666666669</v>
      </c>
      <c r="Q10" s="984">
        <f>tertiair!P16</f>
        <v>38.133333333333333</v>
      </c>
      <c r="R10" s="667">
        <f ca="1">SUM(C10:Q10)</f>
        <v>18734.150208655406</v>
      </c>
      <c r="S10" s="67"/>
    </row>
    <row r="11" spans="1:19" s="440" customFormat="1">
      <c r="A11" s="776" t="s">
        <v>214</v>
      </c>
      <c r="B11" s="781"/>
      <c r="C11" s="983">
        <f>huishoudens!B8</f>
        <v>20914.001676232325</v>
      </c>
      <c r="D11" s="983">
        <f>huishoudens!C8</f>
        <v>0</v>
      </c>
      <c r="E11" s="983">
        <f>huishoudens!D8</f>
        <v>26225.383008000001</v>
      </c>
      <c r="F11" s="983">
        <f>huishoudens!E8</f>
        <v>1405.1195074519014</v>
      </c>
      <c r="G11" s="983">
        <f>huishoudens!F8</f>
        <v>44327.136760841495</v>
      </c>
      <c r="H11" s="983">
        <f>huishoudens!G8</f>
        <v>0</v>
      </c>
      <c r="I11" s="983">
        <f>huishoudens!H8</f>
        <v>0</v>
      </c>
      <c r="J11" s="983">
        <f>huishoudens!I8</f>
        <v>0</v>
      </c>
      <c r="K11" s="983">
        <f>huishoudens!J8</f>
        <v>1033.7071547426174</v>
      </c>
      <c r="L11" s="983">
        <f>huishoudens!K8</f>
        <v>0</v>
      </c>
      <c r="M11" s="983">
        <f>huishoudens!L8</f>
        <v>0</v>
      </c>
      <c r="N11" s="983">
        <f>huishoudens!M8</f>
        <v>0</v>
      </c>
      <c r="O11" s="983">
        <f>huishoudens!N8</f>
        <v>5562.7533732440543</v>
      </c>
      <c r="P11" s="983">
        <f>huishoudens!O8</f>
        <v>264.20333333333338</v>
      </c>
      <c r="Q11" s="984">
        <f>huishoudens!P8</f>
        <v>781.73333333333335</v>
      </c>
      <c r="R11" s="667">
        <f>SUM(C11:Q11)</f>
        <v>100514.03814717906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39711.775000000001</v>
      </c>
      <c r="D13" s="983">
        <f>industrie!C18</f>
        <v>1607.1428571428571</v>
      </c>
      <c r="E13" s="983">
        <f>industrie!D18</f>
        <v>42565.890531999998</v>
      </c>
      <c r="F13" s="983">
        <f>industrie!E18</f>
        <v>7533.4856339376938</v>
      </c>
      <c r="G13" s="983">
        <f>industrie!F18</f>
        <v>42174.370544828322</v>
      </c>
      <c r="H13" s="983">
        <f>industrie!G18</f>
        <v>0</v>
      </c>
      <c r="I13" s="983">
        <f>industrie!H18</f>
        <v>0</v>
      </c>
      <c r="J13" s="983">
        <f>industrie!I18</f>
        <v>0</v>
      </c>
      <c r="K13" s="983">
        <f>industrie!J18</f>
        <v>264.23680948158244</v>
      </c>
      <c r="L13" s="983">
        <f>industrie!K18</f>
        <v>0</v>
      </c>
      <c r="M13" s="983">
        <f>industrie!L18</f>
        <v>0</v>
      </c>
      <c r="N13" s="983">
        <f>industrie!M18</f>
        <v>0</v>
      </c>
      <c r="O13" s="983">
        <f>industrie!N18</f>
        <v>4777.3507497564287</v>
      </c>
      <c r="P13" s="983">
        <f>industrie!O18</f>
        <v>0</v>
      </c>
      <c r="Q13" s="984">
        <f>industrie!P18</f>
        <v>0</v>
      </c>
      <c r="R13" s="667">
        <f>SUM(C13:Q13)</f>
        <v>138634.2521271469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70675.900092232332</v>
      </c>
      <c r="D16" s="699">
        <f t="shared" ref="D16:R16" ca="1" si="0">SUM(D9:D15)</f>
        <v>1663.7142857142858</v>
      </c>
      <c r="E16" s="699">
        <f t="shared" ca="1" si="0"/>
        <v>75070.298904857133</v>
      </c>
      <c r="F16" s="699">
        <f t="shared" si="0"/>
        <v>9036.06217502853</v>
      </c>
      <c r="G16" s="699">
        <f t="shared" ca="1" si="0"/>
        <v>87878.848234087622</v>
      </c>
      <c r="H16" s="699">
        <f t="shared" si="0"/>
        <v>0</v>
      </c>
      <c r="I16" s="699">
        <f t="shared" si="0"/>
        <v>0</v>
      </c>
      <c r="J16" s="699">
        <f t="shared" si="0"/>
        <v>0</v>
      </c>
      <c r="K16" s="699">
        <f t="shared" si="0"/>
        <v>1297.9439642241998</v>
      </c>
      <c r="L16" s="699">
        <f t="shared" si="0"/>
        <v>0</v>
      </c>
      <c r="M16" s="699">
        <f t="shared" ca="1" si="0"/>
        <v>0</v>
      </c>
      <c r="N16" s="699">
        <f t="shared" si="0"/>
        <v>0</v>
      </c>
      <c r="O16" s="699">
        <f t="shared" ca="1" si="0"/>
        <v>11172.476160170576</v>
      </c>
      <c r="P16" s="699">
        <f t="shared" si="0"/>
        <v>267.33000000000004</v>
      </c>
      <c r="Q16" s="699">
        <f t="shared" si="0"/>
        <v>819.86666666666667</v>
      </c>
      <c r="R16" s="699">
        <f t="shared" ca="1" si="0"/>
        <v>257882.44048298139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3.9278070205942277</v>
      </c>
      <c r="D19" s="983">
        <f>transport!C54</f>
        <v>0</v>
      </c>
      <c r="E19" s="983">
        <f>transport!D54</f>
        <v>0</v>
      </c>
      <c r="F19" s="983">
        <f>transport!E54</f>
        <v>0</v>
      </c>
      <c r="G19" s="983">
        <f>transport!F54</f>
        <v>0</v>
      </c>
      <c r="H19" s="983">
        <f>transport!G54</f>
        <v>744.26760319104028</v>
      </c>
      <c r="I19" s="983">
        <f>transport!H54</f>
        <v>0</v>
      </c>
      <c r="J19" s="983">
        <f>transport!I54</f>
        <v>0</v>
      </c>
      <c r="K19" s="983">
        <f>transport!J54</f>
        <v>0</v>
      </c>
      <c r="L19" s="983">
        <f>transport!K54</f>
        <v>0</v>
      </c>
      <c r="M19" s="983">
        <f>transport!L54</f>
        <v>0</v>
      </c>
      <c r="N19" s="983">
        <f>transport!M54</f>
        <v>42.846024188072413</v>
      </c>
      <c r="O19" s="983">
        <f>transport!N54</f>
        <v>0</v>
      </c>
      <c r="P19" s="983">
        <f>transport!O54</f>
        <v>0</v>
      </c>
      <c r="Q19" s="984">
        <f>transport!P54</f>
        <v>0</v>
      </c>
      <c r="R19" s="667">
        <f>SUM(C19:Q19)</f>
        <v>791.04143439970687</v>
      </c>
      <c r="S19" s="67"/>
    </row>
    <row r="20" spans="1:19" s="440" customFormat="1">
      <c r="A20" s="776" t="s">
        <v>296</v>
      </c>
      <c r="B20" s="781"/>
      <c r="C20" s="983">
        <f>transport!B14</f>
        <v>11.443760126208208</v>
      </c>
      <c r="D20" s="983">
        <f>transport!C14</f>
        <v>0</v>
      </c>
      <c r="E20" s="983">
        <f>transport!D14</f>
        <v>18.259443089221616</v>
      </c>
      <c r="F20" s="983">
        <f>transport!E14</f>
        <v>177.68559533214523</v>
      </c>
      <c r="G20" s="983">
        <f>transport!F14</f>
        <v>0</v>
      </c>
      <c r="H20" s="983">
        <f>transport!G14</f>
        <v>55868.14325148458</v>
      </c>
      <c r="I20" s="983">
        <f>transport!H14</f>
        <v>10524.635824218232</v>
      </c>
      <c r="J20" s="983">
        <f>transport!I14</f>
        <v>0</v>
      </c>
      <c r="K20" s="983">
        <f>transport!J14</f>
        <v>0</v>
      </c>
      <c r="L20" s="983">
        <f>transport!K14</f>
        <v>0</v>
      </c>
      <c r="M20" s="983">
        <f>transport!L14</f>
        <v>0</v>
      </c>
      <c r="N20" s="983">
        <f>transport!M14</f>
        <v>3560.1073531669658</v>
      </c>
      <c r="O20" s="983">
        <f>transport!N14</f>
        <v>0</v>
      </c>
      <c r="P20" s="983">
        <f>transport!O14</f>
        <v>0</v>
      </c>
      <c r="Q20" s="984">
        <f>transport!P14</f>
        <v>0</v>
      </c>
      <c r="R20" s="667">
        <f>SUM(C20:Q20)</f>
        <v>70160.275227417354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15.371567146802436</v>
      </c>
      <c r="D22" s="779">
        <f t="shared" ref="D22:R22" si="1">SUM(D18:D21)</f>
        <v>0</v>
      </c>
      <c r="E22" s="779">
        <f t="shared" si="1"/>
        <v>18.259443089221616</v>
      </c>
      <c r="F22" s="779">
        <f t="shared" si="1"/>
        <v>177.68559533214523</v>
      </c>
      <c r="G22" s="779">
        <f t="shared" si="1"/>
        <v>0</v>
      </c>
      <c r="H22" s="779">
        <f t="shared" si="1"/>
        <v>56612.410854675618</v>
      </c>
      <c r="I22" s="779">
        <f t="shared" si="1"/>
        <v>10524.635824218232</v>
      </c>
      <c r="J22" s="779">
        <f t="shared" si="1"/>
        <v>0</v>
      </c>
      <c r="K22" s="779">
        <f t="shared" si="1"/>
        <v>0</v>
      </c>
      <c r="L22" s="779">
        <f t="shared" si="1"/>
        <v>0</v>
      </c>
      <c r="M22" s="779">
        <f t="shared" si="1"/>
        <v>0</v>
      </c>
      <c r="N22" s="779">
        <f t="shared" si="1"/>
        <v>3602.9533773550384</v>
      </c>
      <c r="O22" s="779">
        <f t="shared" si="1"/>
        <v>0</v>
      </c>
      <c r="P22" s="779">
        <f t="shared" si="1"/>
        <v>0</v>
      </c>
      <c r="Q22" s="779">
        <f t="shared" si="1"/>
        <v>0</v>
      </c>
      <c r="R22" s="779">
        <f t="shared" si="1"/>
        <v>70951.316661817065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2568.7028643216081</v>
      </c>
      <c r="D24" s="983">
        <f>+landbouw!C8</f>
        <v>0</v>
      </c>
      <c r="E24" s="983">
        <f>+landbouw!D8</f>
        <v>160.22045599999998</v>
      </c>
      <c r="F24" s="983">
        <f>+landbouw!E8</f>
        <v>23.792401801002505</v>
      </c>
      <c r="G24" s="983">
        <f>+landbouw!F8</f>
        <v>6517.2885041774061</v>
      </c>
      <c r="H24" s="983">
        <f>+landbouw!G8</f>
        <v>0</v>
      </c>
      <c r="I24" s="983">
        <f>+landbouw!H8</f>
        <v>0</v>
      </c>
      <c r="J24" s="983">
        <f>+landbouw!I8</f>
        <v>0</v>
      </c>
      <c r="K24" s="983">
        <f>+landbouw!J8</f>
        <v>393.81081590813517</v>
      </c>
      <c r="L24" s="983">
        <f>+landbouw!K8</f>
        <v>0</v>
      </c>
      <c r="M24" s="983">
        <f>+landbouw!L8</f>
        <v>0</v>
      </c>
      <c r="N24" s="983">
        <f>+landbouw!M8</f>
        <v>0</v>
      </c>
      <c r="O24" s="983">
        <f>+landbouw!N8</f>
        <v>0</v>
      </c>
      <c r="P24" s="983">
        <f>+landbouw!O8</f>
        <v>0</v>
      </c>
      <c r="Q24" s="984">
        <f>+landbouw!P8</f>
        <v>0</v>
      </c>
      <c r="R24" s="667">
        <f>SUM(C24:Q24)</f>
        <v>9663.8150422081526</v>
      </c>
      <c r="S24" s="67"/>
    </row>
    <row r="25" spans="1:19" s="440" customFormat="1" ht="15" thickBot="1">
      <c r="A25" s="798" t="s">
        <v>829</v>
      </c>
      <c r="B25" s="986"/>
      <c r="C25" s="987">
        <f>IF(Onbekend_ele_kWh="---",0,Onbekend_ele_kWh)/1000+IF(REST_rest_ele_kWh="---",0,REST_rest_ele_kWh)/1000</f>
        <v>421.79399999999998</v>
      </c>
      <c r="D25" s="987"/>
      <c r="E25" s="987">
        <f>IF(onbekend_gas_kWh="---",0,onbekend_gas_kWh)/1000+IF(REST_rest_gas_kWh="---",0,REST_rest_gas_kWh)/1000</f>
        <v>694.09799999999996</v>
      </c>
      <c r="F25" s="987"/>
      <c r="G25" s="987"/>
      <c r="H25" s="987"/>
      <c r="I25" s="987"/>
      <c r="J25" s="987"/>
      <c r="K25" s="987"/>
      <c r="L25" s="987"/>
      <c r="M25" s="987"/>
      <c r="N25" s="987"/>
      <c r="O25" s="987"/>
      <c r="P25" s="987"/>
      <c r="Q25" s="988"/>
      <c r="R25" s="667">
        <f>SUM(C25:Q25)</f>
        <v>1115.8919999999998</v>
      </c>
      <c r="S25" s="67"/>
    </row>
    <row r="26" spans="1:19" s="440" customFormat="1" ht="15.75" thickBot="1">
      <c r="A26" s="672" t="s">
        <v>830</v>
      </c>
      <c r="B26" s="784"/>
      <c r="C26" s="779">
        <f>SUM(C24:C25)</f>
        <v>2990.496864321608</v>
      </c>
      <c r="D26" s="779">
        <f t="shared" ref="D26:R26" si="2">SUM(D24:D25)</f>
        <v>0</v>
      </c>
      <c r="E26" s="779">
        <f t="shared" si="2"/>
        <v>854.31845599999997</v>
      </c>
      <c r="F26" s="779">
        <f t="shared" si="2"/>
        <v>23.792401801002505</v>
      </c>
      <c r="G26" s="779">
        <f t="shared" si="2"/>
        <v>6517.2885041774061</v>
      </c>
      <c r="H26" s="779">
        <f t="shared" si="2"/>
        <v>0</v>
      </c>
      <c r="I26" s="779">
        <f t="shared" si="2"/>
        <v>0</v>
      </c>
      <c r="J26" s="779">
        <f t="shared" si="2"/>
        <v>0</v>
      </c>
      <c r="K26" s="779">
        <f t="shared" si="2"/>
        <v>393.81081590813517</v>
      </c>
      <c r="L26" s="779">
        <f t="shared" si="2"/>
        <v>0</v>
      </c>
      <c r="M26" s="779">
        <f t="shared" si="2"/>
        <v>0</v>
      </c>
      <c r="N26" s="779">
        <f t="shared" si="2"/>
        <v>0</v>
      </c>
      <c r="O26" s="779">
        <f t="shared" si="2"/>
        <v>0</v>
      </c>
      <c r="P26" s="779">
        <f t="shared" si="2"/>
        <v>0</v>
      </c>
      <c r="Q26" s="779">
        <f t="shared" si="2"/>
        <v>0</v>
      </c>
      <c r="R26" s="779">
        <f t="shared" si="2"/>
        <v>10779.707042208152</v>
      </c>
      <c r="S26" s="67"/>
    </row>
    <row r="27" spans="1:19" s="440" customFormat="1" ht="17.25" thickTop="1" thickBot="1">
      <c r="A27" s="673" t="s">
        <v>109</v>
      </c>
      <c r="B27" s="772"/>
      <c r="C27" s="674">
        <f ca="1">C22+C16+C26</f>
        <v>73681.768523700754</v>
      </c>
      <c r="D27" s="674">
        <f t="shared" ref="D27:R27" ca="1" si="3">D22+D16+D26</f>
        <v>1663.7142857142858</v>
      </c>
      <c r="E27" s="674">
        <f t="shared" ca="1" si="3"/>
        <v>75942.876803946347</v>
      </c>
      <c r="F27" s="674">
        <f t="shared" si="3"/>
        <v>9237.5401721616763</v>
      </c>
      <c r="G27" s="674">
        <f t="shared" ca="1" si="3"/>
        <v>94396.136738265021</v>
      </c>
      <c r="H27" s="674">
        <f t="shared" si="3"/>
        <v>56612.410854675618</v>
      </c>
      <c r="I27" s="674">
        <f t="shared" si="3"/>
        <v>10524.635824218232</v>
      </c>
      <c r="J27" s="674">
        <f t="shared" si="3"/>
        <v>0</v>
      </c>
      <c r="K27" s="674">
        <f t="shared" si="3"/>
        <v>1691.7547801323349</v>
      </c>
      <c r="L27" s="674">
        <f t="shared" si="3"/>
        <v>0</v>
      </c>
      <c r="M27" s="674">
        <f t="shared" ca="1" si="3"/>
        <v>0</v>
      </c>
      <c r="N27" s="674">
        <f t="shared" si="3"/>
        <v>3602.9533773550384</v>
      </c>
      <c r="O27" s="674">
        <f t="shared" ca="1" si="3"/>
        <v>11172.476160170576</v>
      </c>
      <c r="P27" s="674">
        <f t="shared" si="3"/>
        <v>267.33000000000004</v>
      </c>
      <c r="Q27" s="674">
        <f t="shared" si="3"/>
        <v>819.86666666666667</v>
      </c>
      <c r="R27" s="674">
        <f t="shared" ca="1" si="3"/>
        <v>339613.46418700664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1982.0320719795332</v>
      </c>
      <c r="D40" s="983">
        <f ca="1">tertiair!C20</f>
        <v>0.45713870092086301</v>
      </c>
      <c r="E40" s="983">
        <f ca="1">tertiair!D20</f>
        <v>1268.363123701143</v>
      </c>
      <c r="F40" s="983">
        <f>tertiair!E20</f>
        <v>22.122746636038173</v>
      </c>
      <c r="G40" s="983">
        <f ca="1">tertiair!F20</f>
        <v>367.75002788755353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3640.7251089051888</v>
      </c>
    </row>
    <row r="41" spans="1:18">
      <c r="A41" s="789" t="s">
        <v>214</v>
      </c>
      <c r="B41" s="796"/>
      <c r="C41" s="983">
        <f ca="1">huishoudens!B12</f>
        <v>4124.5485612379052</v>
      </c>
      <c r="D41" s="983">
        <f ca="1">huishoudens!C12</f>
        <v>0</v>
      </c>
      <c r="E41" s="983">
        <f>huishoudens!D12</f>
        <v>5297.5273676160004</v>
      </c>
      <c r="F41" s="983">
        <f>huishoudens!E12</f>
        <v>318.96212819158166</v>
      </c>
      <c r="G41" s="983">
        <f>huishoudens!F12</f>
        <v>11835.34551514468</v>
      </c>
      <c r="H41" s="983">
        <f>huishoudens!G12</f>
        <v>0</v>
      </c>
      <c r="I41" s="983">
        <f>huishoudens!H12</f>
        <v>0</v>
      </c>
      <c r="J41" s="983">
        <f>huishoudens!I12</f>
        <v>0</v>
      </c>
      <c r="K41" s="983">
        <f>huishoudens!J12</f>
        <v>365.93233277888652</v>
      </c>
      <c r="L41" s="983">
        <f>huishoudens!K12</f>
        <v>0</v>
      </c>
      <c r="M41" s="983">
        <f>huishoudens!L12</f>
        <v>0</v>
      </c>
      <c r="N41" s="983">
        <f>huishoudens!M12</f>
        <v>0</v>
      </c>
      <c r="O41" s="983">
        <f>huishoudens!N12</f>
        <v>0</v>
      </c>
      <c r="P41" s="983">
        <f>huishoudens!O12</f>
        <v>0</v>
      </c>
      <c r="Q41" s="741">
        <f>huishoudens!P12</f>
        <v>0</v>
      </c>
      <c r="R41" s="817">
        <f t="shared" ca="1" si="4"/>
        <v>21942.315904969055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7831.7457833330773</v>
      </c>
      <c r="D43" s="983">
        <f ca="1">industrie!C22</f>
        <v>12.986894912524516</v>
      </c>
      <c r="E43" s="983">
        <f>industrie!D22</f>
        <v>8598.309887464</v>
      </c>
      <c r="F43" s="983">
        <f>industrie!E22</f>
        <v>1710.1012389038565</v>
      </c>
      <c r="G43" s="983">
        <f>industrie!F22</f>
        <v>11260.556935469163</v>
      </c>
      <c r="H43" s="983">
        <f>industrie!G22</f>
        <v>0</v>
      </c>
      <c r="I43" s="983">
        <f>industrie!H22</f>
        <v>0</v>
      </c>
      <c r="J43" s="983">
        <f>industrie!I22</f>
        <v>0</v>
      </c>
      <c r="K43" s="983">
        <f>industrie!J22</f>
        <v>93.539830556480183</v>
      </c>
      <c r="L43" s="983">
        <f>industrie!K22</f>
        <v>0</v>
      </c>
      <c r="M43" s="983">
        <f>industrie!L22</f>
        <v>0</v>
      </c>
      <c r="N43" s="983">
        <f>industrie!M22</f>
        <v>0</v>
      </c>
      <c r="O43" s="983">
        <f>industrie!N22</f>
        <v>0</v>
      </c>
      <c r="P43" s="983">
        <f>industrie!O22</f>
        <v>0</v>
      </c>
      <c r="Q43" s="741">
        <f>industrie!P22</f>
        <v>0</v>
      </c>
      <c r="R43" s="816">
        <f t="shared" ca="1" si="4"/>
        <v>29507.2405706391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13938.326416550515</v>
      </c>
      <c r="D46" s="699">
        <f t="shared" ref="D46:Q46" ca="1" si="5">SUM(D39:D45)</f>
        <v>13.444033613445379</v>
      </c>
      <c r="E46" s="699">
        <f t="shared" ca="1" si="5"/>
        <v>15164.200378781145</v>
      </c>
      <c r="F46" s="699">
        <f t="shared" si="5"/>
        <v>2051.1861137314763</v>
      </c>
      <c r="G46" s="699">
        <f t="shared" ca="1" si="5"/>
        <v>23463.652478501397</v>
      </c>
      <c r="H46" s="699">
        <f t="shared" si="5"/>
        <v>0</v>
      </c>
      <c r="I46" s="699">
        <f t="shared" si="5"/>
        <v>0</v>
      </c>
      <c r="J46" s="699">
        <f t="shared" si="5"/>
        <v>0</v>
      </c>
      <c r="K46" s="699">
        <f t="shared" si="5"/>
        <v>459.4721633353667</v>
      </c>
      <c r="L46" s="699">
        <f t="shared" si="5"/>
        <v>0</v>
      </c>
      <c r="M46" s="699">
        <f t="shared" ca="1" si="5"/>
        <v>0</v>
      </c>
      <c r="N46" s="699">
        <f t="shared" si="5"/>
        <v>0</v>
      </c>
      <c r="O46" s="699">
        <f t="shared" ca="1" si="5"/>
        <v>0</v>
      </c>
      <c r="P46" s="699">
        <f t="shared" si="5"/>
        <v>0</v>
      </c>
      <c r="Q46" s="699">
        <f t="shared" si="5"/>
        <v>0</v>
      </c>
      <c r="R46" s="699">
        <f ca="1">SUM(R39:R45)</f>
        <v>55090.281584513345</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0.77462128225910076</v>
      </c>
      <c r="D49" s="983">
        <f ca="1">transport!C58</f>
        <v>0</v>
      </c>
      <c r="E49" s="983">
        <f>transport!D58</f>
        <v>0</v>
      </c>
      <c r="F49" s="983">
        <f>transport!E58</f>
        <v>0</v>
      </c>
      <c r="G49" s="983">
        <f>transport!F58</f>
        <v>0</v>
      </c>
      <c r="H49" s="983">
        <f>transport!G58</f>
        <v>198.71945005200777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199.49407133426686</v>
      </c>
    </row>
    <row r="50" spans="1:18">
      <c r="A50" s="792" t="s">
        <v>296</v>
      </c>
      <c r="B50" s="802"/>
      <c r="C50" s="670">
        <f ca="1">transport!B18</f>
        <v>2.2568777173497367</v>
      </c>
      <c r="D50" s="670">
        <f>transport!C18</f>
        <v>0</v>
      </c>
      <c r="E50" s="670">
        <f>transport!D18</f>
        <v>3.6884075040227668</v>
      </c>
      <c r="F50" s="670">
        <f>transport!E18</f>
        <v>40.334630140396968</v>
      </c>
      <c r="G50" s="670">
        <f>transport!F18</f>
        <v>0</v>
      </c>
      <c r="H50" s="670">
        <f>transport!G18</f>
        <v>14916.794248146383</v>
      </c>
      <c r="I50" s="670">
        <f>transport!H18</f>
        <v>2620.6343202303397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17583.70848373849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3.0314989996088375</v>
      </c>
      <c r="D52" s="699">
        <f t="shared" ref="D52:Q52" ca="1" si="6">SUM(D48:D51)</f>
        <v>0</v>
      </c>
      <c r="E52" s="699">
        <f t="shared" si="6"/>
        <v>3.6884075040227668</v>
      </c>
      <c r="F52" s="699">
        <f t="shared" si="6"/>
        <v>40.334630140396968</v>
      </c>
      <c r="G52" s="699">
        <f t="shared" si="6"/>
        <v>0</v>
      </c>
      <c r="H52" s="699">
        <f t="shared" si="6"/>
        <v>15115.513698198391</v>
      </c>
      <c r="I52" s="699">
        <f t="shared" si="6"/>
        <v>2620.6343202303397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17783.202555072756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506.58596414505149</v>
      </c>
      <c r="D54" s="670">
        <f ca="1">+landbouw!C12</f>
        <v>0</v>
      </c>
      <c r="E54" s="670">
        <f>+landbouw!D12</f>
        <v>32.364532111999999</v>
      </c>
      <c r="F54" s="670">
        <f>+landbouw!E12</f>
        <v>5.4008752088275687</v>
      </c>
      <c r="G54" s="670">
        <f>+landbouw!F12</f>
        <v>1740.1160306153674</v>
      </c>
      <c r="H54" s="670">
        <f>+landbouw!G12</f>
        <v>0</v>
      </c>
      <c r="I54" s="670">
        <f>+landbouw!H12</f>
        <v>0</v>
      </c>
      <c r="J54" s="670">
        <f>+landbouw!I12</f>
        <v>0</v>
      </c>
      <c r="K54" s="670">
        <f>+landbouw!J12</f>
        <v>139.40902883147984</v>
      </c>
      <c r="L54" s="670">
        <f>+landbouw!K12</f>
        <v>0</v>
      </c>
      <c r="M54" s="670">
        <f>+landbouw!L12</f>
        <v>0</v>
      </c>
      <c r="N54" s="670">
        <f>+landbouw!M12</f>
        <v>0</v>
      </c>
      <c r="O54" s="670">
        <f>+landbouw!N12</f>
        <v>0</v>
      </c>
      <c r="P54" s="670">
        <f>+landbouw!O12</f>
        <v>0</v>
      </c>
      <c r="Q54" s="671">
        <f>+landbouw!P12</f>
        <v>0</v>
      </c>
      <c r="R54" s="698">
        <f ca="1">SUM(C54:Q54)</f>
        <v>2423.8764309127259</v>
      </c>
    </row>
    <row r="55" spans="1:18" ht="15" thickBot="1">
      <c r="A55" s="792" t="s">
        <v>829</v>
      </c>
      <c r="B55" s="802"/>
      <c r="C55" s="670">
        <f ca="1">C25*'EF ele_warmte'!B12</f>
        <v>83.183977068141431</v>
      </c>
      <c r="D55" s="670"/>
      <c r="E55" s="670">
        <f>E25*EF_CO2_aardgas</f>
        <v>140.207796</v>
      </c>
      <c r="F55" s="670"/>
      <c r="G55" s="670"/>
      <c r="H55" s="670"/>
      <c r="I55" s="670"/>
      <c r="J55" s="670"/>
      <c r="K55" s="670"/>
      <c r="L55" s="670"/>
      <c r="M55" s="670"/>
      <c r="N55" s="670"/>
      <c r="O55" s="670"/>
      <c r="P55" s="670"/>
      <c r="Q55" s="671"/>
      <c r="R55" s="698">
        <f ca="1">SUM(C55:Q55)</f>
        <v>223.39177306814145</v>
      </c>
    </row>
    <row r="56" spans="1:18" ht="15.75" thickBot="1">
      <c r="A56" s="790" t="s">
        <v>830</v>
      </c>
      <c r="B56" s="803"/>
      <c r="C56" s="699">
        <f ca="1">SUM(C54:C55)</f>
        <v>589.76994121319296</v>
      </c>
      <c r="D56" s="699">
        <f t="shared" ref="D56:Q56" ca="1" si="7">SUM(D54:D55)</f>
        <v>0</v>
      </c>
      <c r="E56" s="699">
        <f t="shared" si="7"/>
        <v>172.57232811200001</v>
      </c>
      <c r="F56" s="699">
        <f t="shared" si="7"/>
        <v>5.4008752088275687</v>
      </c>
      <c r="G56" s="699">
        <f t="shared" si="7"/>
        <v>1740.1160306153674</v>
      </c>
      <c r="H56" s="699">
        <f t="shared" si="7"/>
        <v>0</v>
      </c>
      <c r="I56" s="699">
        <f t="shared" si="7"/>
        <v>0</v>
      </c>
      <c r="J56" s="699">
        <f t="shared" si="7"/>
        <v>0</v>
      </c>
      <c r="K56" s="699">
        <f t="shared" si="7"/>
        <v>139.40902883147984</v>
      </c>
      <c r="L56" s="699">
        <f t="shared" si="7"/>
        <v>0</v>
      </c>
      <c r="M56" s="699">
        <f t="shared" si="7"/>
        <v>0</v>
      </c>
      <c r="N56" s="699">
        <f t="shared" si="7"/>
        <v>0</v>
      </c>
      <c r="O56" s="699">
        <f t="shared" si="7"/>
        <v>0</v>
      </c>
      <c r="P56" s="699">
        <f t="shared" si="7"/>
        <v>0</v>
      </c>
      <c r="Q56" s="700">
        <f t="shared" si="7"/>
        <v>0</v>
      </c>
      <c r="R56" s="701">
        <f ca="1">SUM(R54:R55)</f>
        <v>2647.2682039808674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14531.127856763318</v>
      </c>
      <c r="D61" s="707">
        <f t="shared" ref="D61:Q61" ca="1" si="8">D46+D52+D56</f>
        <v>13.444033613445379</v>
      </c>
      <c r="E61" s="707">
        <f t="shared" ca="1" si="8"/>
        <v>15340.461114397169</v>
      </c>
      <c r="F61" s="707">
        <f t="shared" si="8"/>
        <v>2096.921619080701</v>
      </c>
      <c r="G61" s="707">
        <f t="shared" ca="1" si="8"/>
        <v>25203.768509116766</v>
      </c>
      <c r="H61" s="707">
        <f t="shared" si="8"/>
        <v>15115.513698198391</v>
      </c>
      <c r="I61" s="707">
        <f t="shared" si="8"/>
        <v>2620.6343202303397</v>
      </c>
      <c r="J61" s="707">
        <f t="shared" si="8"/>
        <v>0</v>
      </c>
      <c r="K61" s="707">
        <f t="shared" si="8"/>
        <v>598.88119216684652</v>
      </c>
      <c r="L61" s="707">
        <f t="shared" si="8"/>
        <v>0</v>
      </c>
      <c r="M61" s="707">
        <f t="shared" ca="1" si="8"/>
        <v>0</v>
      </c>
      <c r="N61" s="707">
        <f t="shared" si="8"/>
        <v>0</v>
      </c>
      <c r="O61" s="707">
        <f t="shared" ca="1" si="8"/>
        <v>0</v>
      </c>
      <c r="P61" s="707">
        <f t="shared" si="8"/>
        <v>0</v>
      </c>
      <c r="Q61" s="707">
        <f t="shared" si="8"/>
        <v>0</v>
      </c>
      <c r="R61" s="707">
        <f ca="1">R46+R52+R56</f>
        <v>75520.752343566972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0.19721469975424355</v>
      </c>
      <c r="D63" s="748">
        <f t="shared" ca="1" si="9"/>
        <v>8.0807346122374769E-3</v>
      </c>
      <c r="E63" s="994">
        <f t="shared" ca="1" si="9"/>
        <v>0.2020000000000001</v>
      </c>
      <c r="F63" s="748">
        <f t="shared" si="9"/>
        <v>0.22700000000000006</v>
      </c>
      <c r="G63" s="748">
        <f t="shared" ca="1" si="9"/>
        <v>0.26700000000000007</v>
      </c>
      <c r="H63" s="748">
        <f t="shared" si="9"/>
        <v>0.26700000000000002</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6808.0416764884976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1125</v>
      </c>
      <c r="C76" s="717">
        <f>'lokale energieproductie'!B8*IFERROR(SUM(D76:H76)/SUM(D76:O76),0)</f>
        <v>39.599999999999994</v>
      </c>
      <c r="D76" s="1004">
        <f>'lokale energieproductie'!C8</f>
        <v>46.588235294117652</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1323.5294117647061</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9.4108235294117666</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7933.0416764884976</v>
      </c>
      <c r="C78" s="722">
        <f>SUM(C72:C77)</f>
        <v>39.599999999999994</v>
      </c>
      <c r="D78" s="723">
        <f t="shared" ref="D78:H78" si="10">SUM(D76:D77)</f>
        <v>46.588235294117652</v>
      </c>
      <c r="E78" s="723">
        <f t="shared" si="10"/>
        <v>0</v>
      </c>
      <c r="F78" s="723">
        <f t="shared" si="10"/>
        <v>0</v>
      </c>
      <c r="G78" s="723">
        <f t="shared" si="10"/>
        <v>0</v>
      </c>
      <c r="H78" s="723">
        <f t="shared" si="10"/>
        <v>0</v>
      </c>
      <c r="I78" s="723">
        <f>SUM(I76:I77)</f>
        <v>0</v>
      </c>
      <c r="J78" s="723">
        <f>SUM(J76:J77)</f>
        <v>1323.5294117647061</v>
      </c>
      <c r="K78" s="723">
        <f t="shared" ref="K78:L78" si="11">SUM(K76:K77)</f>
        <v>0</v>
      </c>
      <c r="L78" s="723">
        <f t="shared" si="11"/>
        <v>0</v>
      </c>
      <c r="M78" s="723">
        <f>SUM(M76:M77)</f>
        <v>0</v>
      </c>
      <c r="N78" s="723">
        <f>SUM(N76:N77)</f>
        <v>0</v>
      </c>
      <c r="O78" s="827">
        <f>SUM(O76:O77)</f>
        <v>0</v>
      </c>
      <c r="P78" s="724">
        <v>0</v>
      </c>
      <c r="Q78" s="724">
        <f>SUM(Q76:Q77)</f>
        <v>9.4108235294117666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1607.1428571428571</v>
      </c>
      <c r="C87" s="733">
        <f>'lokale energieproductie'!B17*IFERROR(SUM(D87:H87)/SUM(D87:O87),0)</f>
        <v>56.571428571428577</v>
      </c>
      <c r="D87" s="744">
        <f>'lokale energieproductie'!C17</f>
        <v>66.554621848739501</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1890.7563025210086</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13.444033613445381</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1607.1428571428571</v>
      </c>
      <c r="C90" s="722">
        <f>SUM(C87:C89)</f>
        <v>56.571428571428577</v>
      </c>
      <c r="D90" s="722">
        <f t="shared" ref="D90:H90" si="12">SUM(D87:D89)</f>
        <v>66.554621848739501</v>
      </c>
      <c r="E90" s="722">
        <f t="shared" si="12"/>
        <v>0</v>
      </c>
      <c r="F90" s="722">
        <f t="shared" si="12"/>
        <v>0</v>
      </c>
      <c r="G90" s="722">
        <f t="shared" si="12"/>
        <v>0</v>
      </c>
      <c r="H90" s="722">
        <f t="shared" si="12"/>
        <v>0</v>
      </c>
      <c r="I90" s="722">
        <f>SUM(I87:I89)</f>
        <v>0</v>
      </c>
      <c r="J90" s="722">
        <f>SUM(J87:J89)</f>
        <v>1890.7563025210086</v>
      </c>
      <c r="K90" s="722">
        <f t="shared" ref="K90:L90" si="13">SUM(K87:K89)</f>
        <v>0</v>
      </c>
      <c r="L90" s="722">
        <f t="shared" si="13"/>
        <v>0</v>
      </c>
      <c r="M90" s="722">
        <f>SUM(M87:M89)</f>
        <v>0</v>
      </c>
      <c r="N90" s="722">
        <f>SUM(N87:N89)</f>
        <v>0</v>
      </c>
      <c r="O90" s="722">
        <f>SUM(O87:O89)</f>
        <v>0</v>
      </c>
      <c r="P90" s="722">
        <v>0</v>
      </c>
      <c r="Q90" s="722">
        <f>SUM(Q87:Q89)</f>
        <v>13.444033613445381</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20914.001676232325</v>
      </c>
      <c r="C4" s="444">
        <f>huishoudens!C8</f>
        <v>0</v>
      </c>
      <c r="D4" s="444">
        <f>huishoudens!D8</f>
        <v>26225.383008000001</v>
      </c>
      <c r="E4" s="444">
        <f>huishoudens!E8</f>
        <v>1405.1195074519014</v>
      </c>
      <c r="F4" s="444">
        <f>huishoudens!F8</f>
        <v>44327.136760841495</v>
      </c>
      <c r="G4" s="444">
        <f>huishoudens!G8</f>
        <v>0</v>
      </c>
      <c r="H4" s="444">
        <f>huishoudens!H8</f>
        <v>0</v>
      </c>
      <c r="I4" s="444">
        <f>huishoudens!I8</f>
        <v>0</v>
      </c>
      <c r="J4" s="444">
        <f>huishoudens!J8</f>
        <v>1033.7071547426174</v>
      </c>
      <c r="K4" s="444">
        <f>huishoudens!K8</f>
        <v>0</v>
      </c>
      <c r="L4" s="444">
        <f>huishoudens!L8</f>
        <v>0</v>
      </c>
      <c r="M4" s="444">
        <f>huishoudens!M8</f>
        <v>0</v>
      </c>
      <c r="N4" s="444">
        <f>huishoudens!N8</f>
        <v>5562.7533732440543</v>
      </c>
      <c r="O4" s="444">
        <f>huishoudens!O8</f>
        <v>264.20333333333338</v>
      </c>
      <c r="P4" s="445">
        <f>huishoudens!P8</f>
        <v>781.73333333333335</v>
      </c>
      <c r="Q4" s="446">
        <f>SUM(B4:P4)</f>
        <v>100514.03814717906</v>
      </c>
    </row>
    <row r="5" spans="1:17">
      <c r="A5" s="443" t="s">
        <v>149</v>
      </c>
      <c r="B5" s="444">
        <f ca="1">tertiair!B16</f>
        <v>9452.1874160000007</v>
      </c>
      <c r="C5" s="444">
        <f ca="1">tertiair!C16</f>
        <v>56.571428571428577</v>
      </c>
      <c r="D5" s="444">
        <f ca="1">tertiair!D16</f>
        <v>6279.0253648571434</v>
      </c>
      <c r="E5" s="444">
        <f>tertiair!E16</f>
        <v>97.457033638934675</v>
      </c>
      <c r="F5" s="444">
        <f ca="1">tertiair!F16</f>
        <v>1377.3409284178033</v>
      </c>
      <c r="G5" s="444">
        <f>tertiair!G16</f>
        <v>0</v>
      </c>
      <c r="H5" s="444">
        <f>tertiair!H16</f>
        <v>0</v>
      </c>
      <c r="I5" s="444">
        <f>tertiair!I16</f>
        <v>0</v>
      </c>
      <c r="J5" s="444">
        <f>tertiair!J16</f>
        <v>0</v>
      </c>
      <c r="K5" s="444">
        <f>tertiair!K16</f>
        <v>0</v>
      </c>
      <c r="L5" s="444">
        <f ca="1">tertiair!L16</f>
        <v>0</v>
      </c>
      <c r="M5" s="444">
        <f>tertiair!M16</f>
        <v>0</v>
      </c>
      <c r="N5" s="444">
        <f ca="1">tertiair!N16</f>
        <v>832.37203717009356</v>
      </c>
      <c r="O5" s="444">
        <f>tertiair!O16</f>
        <v>3.1266666666666669</v>
      </c>
      <c r="P5" s="445">
        <f>tertiair!P16</f>
        <v>38.133333333333333</v>
      </c>
      <c r="Q5" s="443">
        <f t="shared" ref="Q5:Q14" ca="1" si="0">SUM(B5:P5)</f>
        <v>18136.214208655409</v>
      </c>
    </row>
    <row r="6" spans="1:17">
      <c r="A6" s="443" t="s">
        <v>187</v>
      </c>
      <c r="B6" s="444">
        <f>'openbare verlichting'!B8</f>
        <v>597.93600000000004</v>
      </c>
      <c r="C6" s="444"/>
      <c r="D6" s="444"/>
      <c r="E6" s="444"/>
      <c r="F6" s="444"/>
      <c r="G6" s="444"/>
      <c r="H6" s="444"/>
      <c r="I6" s="444"/>
      <c r="J6" s="444"/>
      <c r="K6" s="444"/>
      <c r="L6" s="444"/>
      <c r="M6" s="444"/>
      <c r="N6" s="444"/>
      <c r="O6" s="444"/>
      <c r="P6" s="445"/>
      <c r="Q6" s="443">
        <f t="shared" si="0"/>
        <v>597.93600000000004</v>
      </c>
    </row>
    <row r="7" spans="1:17">
      <c r="A7" s="443" t="s">
        <v>105</v>
      </c>
      <c r="B7" s="444">
        <f>landbouw!B8</f>
        <v>2568.7028643216081</v>
      </c>
      <c r="C7" s="444">
        <f>landbouw!C8</f>
        <v>0</v>
      </c>
      <c r="D7" s="444">
        <f>landbouw!D8</f>
        <v>160.22045599999998</v>
      </c>
      <c r="E7" s="444">
        <f>landbouw!E8</f>
        <v>23.792401801002505</v>
      </c>
      <c r="F7" s="444">
        <f>landbouw!F8</f>
        <v>6517.2885041774061</v>
      </c>
      <c r="G7" s="444">
        <f>landbouw!G8</f>
        <v>0</v>
      </c>
      <c r="H7" s="444">
        <f>landbouw!H8</f>
        <v>0</v>
      </c>
      <c r="I7" s="444">
        <f>landbouw!I8</f>
        <v>0</v>
      </c>
      <c r="J7" s="444">
        <f>landbouw!J8</f>
        <v>393.81081590813517</v>
      </c>
      <c r="K7" s="444">
        <f>landbouw!K8</f>
        <v>0</v>
      </c>
      <c r="L7" s="444">
        <f>landbouw!L8</f>
        <v>0</v>
      </c>
      <c r="M7" s="444">
        <f>landbouw!M8</f>
        <v>0</v>
      </c>
      <c r="N7" s="444">
        <f>landbouw!N8</f>
        <v>0</v>
      </c>
      <c r="O7" s="444">
        <f>landbouw!O8</f>
        <v>0</v>
      </c>
      <c r="P7" s="445">
        <f>landbouw!P8</f>
        <v>0</v>
      </c>
      <c r="Q7" s="443">
        <f t="shared" si="0"/>
        <v>9663.8150422081526</v>
      </c>
    </row>
    <row r="8" spans="1:17">
      <c r="A8" s="443" t="s">
        <v>637</v>
      </c>
      <c r="B8" s="444">
        <f>industrie!B18</f>
        <v>39711.775000000001</v>
      </c>
      <c r="C8" s="444">
        <f>industrie!C18</f>
        <v>1607.1428571428571</v>
      </c>
      <c r="D8" s="444">
        <f>industrie!D18</f>
        <v>42565.890531999998</v>
      </c>
      <c r="E8" s="444">
        <f>industrie!E18</f>
        <v>7533.4856339376938</v>
      </c>
      <c r="F8" s="444">
        <f>industrie!F18</f>
        <v>42174.370544828322</v>
      </c>
      <c r="G8" s="444">
        <f>industrie!G18</f>
        <v>0</v>
      </c>
      <c r="H8" s="444">
        <f>industrie!H18</f>
        <v>0</v>
      </c>
      <c r="I8" s="444">
        <f>industrie!I18</f>
        <v>0</v>
      </c>
      <c r="J8" s="444">
        <f>industrie!J18</f>
        <v>264.23680948158244</v>
      </c>
      <c r="K8" s="444">
        <f>industrie!K18</f>
        <v>0</v>
      </c>
      <c r="L8" s="444">
        <f>industrie!L18</f>
        <v>0</v>
      </c>
      <c r="M8" s="444">
        <f>industrie!M18</f>
        <v>0</v>
      </c>
      <c r="N8" s="444">
        <f>industrie!N18</f>
        <v>4777.3507497564287</v>
      </c>
      <c r="O8" s="444">
        <f>industrie!O18</f>
        <v>0</v>
      </c>
      <c r="P8" s="445">
        <f>industrie!P18</f>
        <v>0</v>
      </c>
      <c r="Q8" s="443">
        <f t="shared" si="0"/>
        <v>138634.2521271469</v>
      </c>
    </row>
    <row r="9" spans="1:17" s="449" customFormat="1">
      <c r="A9" s="447" t="s">
        <v>558</v>
      </c>
      <c r="B9" s="448">
        <f>transport!B14</f>
        <v>11.443760126208208</v>
      </c>
      <c r="C9" s="448">
        <f>transport!C14</f>
        <v>0</v>
      </c>
      <c r="D9" s="448">
        <f>transport!D14</f>
        <v>18.259443089221616</v>
      </c>
      <c r="E9" s="448">
        <f>transport!E14</f>
        <v>177.68559533214523</v>
      </c>
      <c r="F9" s="448">
        <f>transport!F14</f>
        <v>0</v>
      </c>
      <c r="G9" s="448">
        <f>transport!G14</f>
        <v>55868.14325148458</v>
      </c>
      <c r="H9" s="448">
        <f>transport!H14</f>
        <v>10524.635824218232</v>
      </c>
      <c r="I9" s="448">
        <f>transport!I14</f>
        <v>0</v>
      </c>
      <c r="J9" s="448">
        <f>transport!J14</f>
        <v>0</v>
      </c>
      <c r="K9" s="448">
        <f>transport!K14</f>
        <v>0</v>
      </c>
      <c r="L9" s="448">
        <f>transport!L14</f>
        <v>0</v>
      </c>
      <c r="M9" s="448">
        <f>transport!M14</f>
        <v>3560.1073531669658</v>
      </c>
      <c r="N9" s="448">
        <f>transport!N14</f>
        <v>0</v>
      </c>
      <c r="O9" s="448">
        <f>transport!O14</f>
        <v>0</v>
      </c>
      <c r="P9" s="448">
        <f>transport!P14</f>
        <v>0</v>
      </c>
      <c r="Q9" s="447">
        <f>SUM(B9:P9)</f>
        <v>70160.275227417354</v>
      </c>
    </row>
    <row r="10" spans="1:17">
      <c r="A10" s="443" t="s">
        <v>548</v>
      </c>
      <c r="B10" s="444">
        <f>transport!B54</f>
        <v>3.9278070205942277</v>
      </c>
      <c r="C10" s="444">
        <f>transport!C54</f>
        <v>0</v>
      </c>
      <c r="D10" s="444">
        <f>transport!D54</f>
        <v>0</v>
      </c>
      <c r="E10" s="444">
        <f>transport!E54</f>
        <v>0</v>
      </c>
      <c r="F10" s="444">
        <f>transport!F54</f>
        <v>0</v>
      </c>
      <c r="G10" s="444">
        <f>transport!G54</f>
        <v>744.26760319104028</v>
      </c>
      <c r="H10" s="444">
        <f>transport!H54</f>
        <v>0</v>
      </c>
      <c r="I10" s="444">
        <f>transport!I54</f>
        <v>0</v>
      </c>
      <c r="J10" s="444">
        <f>transport!J54</f>
        <v>0</v>
      </c>
      <c r="K10" s="444">
        <f>transport!K54</f>
        <v>0</v>
      </c>
      <c r="L10" s="444">
        <f>transport!L54</f>
        <v>0</v>
      </c>
      <c r="M10" s="444">
        <f>transport!M54</f>
        <v>42.846024188072413</v>
      </c>
      <c r="N10" s="444">
        <f>transport!N54</f>
        <v>0</v>
      </c>
      <c r="O10" s="444">
        <f>transport!O54</f>
        <v>0</v>
      </c>
      <c r="P10" s="445">
        <f>transport!P54</f>
        <v>0</v>
      </c>
      <c r="Q10" s="443">
        <f t="shared" si="0"/>
        <v>791.04143439970687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421.79399999999998</v>
      </c>
      <c r="C14" s="451"/>
      <c r="D14" s="451">
        <f>'SEAP template'!E25</f>
        <v>694.09799999999996</v>
      </c>
      <c r="E14" s="451"/>
      <c r="F14" s="451"/>
      <c r="G14" s="451"/>
      <c r="H14" s="451"/>
      <c r="I14" s="451"/>
      <c r="J14" s="451"/>
      <c r="K14" s="451"/>
      <c r="L14" s="451"/>
      <c r="M14" s="451"/>
      <c r="N14" s="451"/>
      <c r="O14" s="451"/>
      <c r="P14" s="452"/>
      <c r="Q14" s="443">
        <f t="shared" si="0"/>
        <v>1115.8919999999998</v>
      </c>
    </row>
    <row r="15" spans="1:17" s="453" customFormat="1">
      <c r="A15" s="1009" t="s">
        <v>552</v>
      </c>
      <c r="B15" s="949">
        <f ca="1">SUM(B4:B14)</f>
        <v>73681.768523700724</v>
      </c>
      <c r="C15" s="949">
        <f t="shared" ref="C15:Q15" ca="1" si="1">SUM(C4:C14)</f>
        <v>1663.7142857142858</v>
      </c>
      <c r="D15" s="949">
        <f t="shared" ca="1" si="1"/>
        <v>75942.876803946361</v>
      </c>
      <c r="E15" s="949">
        <f t="shared" si="1"/>
        <v>9237.5401721616781</v>
      </c>
      <c r="F15" s="949">
        <f t="shared" ca="1" si="1"/>
        <v>94396.136738265021</v>
      </c>
      <c r="G15" s="949">
        <f t="shared" si="1"/>
        <v>56612.410854675618</v>
      </c>
      <c r="H15" s="949">
        <f t="shared" si="1"/>
        <v>10524.635824218232</v>
      </c>
      <c r="I15" s="949">
        <f t="shared" si="1"/>
        <v>0</v>
      </c>
      <c r="J15" s="949">
        <f t="shared" si="1"/>
        <v>1691.7547801323349</v>
      </c>
      <c r="K15" s="949">
        <f t="shared" si="1"/>
        <v>0</v>
      </c>
      <c r="L15" s="949">
        <f t="shared" ca="1" si="1"/>
        <v>0</v>
      </c>
      <c r="M15" s="949">
        <f t="shared" si="1"/>
        <v>3602.9533773550384</v>
      </c>
      <c r="N15" s="949">
        <f t="shared" ca="1" si="1"/>
        <v>11172.476160170576</v>
      </c>
      <c r="O15" s="949">
        <f t="shared" si="1"/>
        <v>267.33000000000004</v>
      </c>
      <c r="P15" s="949">
        <f t="shared" si="1"/>
        <v>819.86666666666667</v>
      </c>
      <c r="Q15" s="949">
        <f t="shared" ca="1" si="1"/>
        <v>339613.46418700658</v>
      </c>
    </row>
    <row r="17" spans="1:17">
      <c r="A17" s="454" t="s">
        <v>553</v>
      </c>
      <c r="B17" s="753">
        <f ca="1">huishoudens!B10</f>
        <v>0.19721469975424361</v>
      </c>
      <c r="C17" s="753">
        <f ca="1">huishoudens!C10</f>
        <v>8.0807346122374769E-3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4124.5485612379052</v>
      </c>
      <c r="C22" s="444">
        <f t="shared" ref="C22:C32" ca="1" si="3">C4*$C$17</f>
        <v>0</v>
      </c>
      <c r="D22" s="444">
        <f t="shared" ref="D22:D32" si="4">D4*$D$17</f>
        <v>5297.5273676160004</v>
      </c>
      <c r="E22" s="444">
        <f t="shared" ref="E22:E32" si="5">E4*$E$17</f>
        <v>318.96212819158166</v>
      </c>
      <c r="F22" s="444">
        <f t="shared" ref="F22:F32" si="6">F4*$F$17</f>
        <v>11835.34551514468</v>
      </c>
      <c r="G22" s="444">
        <f t="shared" ref="G22:G32" si="7">G4*$G$17</f>
        <v>0</v>
      </c>
      <c r="H22" s="444">
        <f t="shared" ref="H22:H32" si="8">H4*$H$17</f>
        <v>0</v>
      </c>
      <c r="I22" s="444">
        <f t="shared" ref="I22:I32" si="9">I4*$I$17</f>
        <v>0</v>
      </c>
      <c r="J22" s="444">
        <f t="shared" ref="J22:J32" si="10">J4*$J$17</f>
        <v>365.93233277888652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21942.315904969055</v>
      </c>
    </row>
    <row r="23" spans="1:17">
      <c r="A23" s="443" t="s">
        <v>149</v>
      </c>
      <c r="B23" s="444">
        <f t="shared" ca="1" si="2"/>
        <v>1864.1103032672797</v>
      </c>
      <c r="C23" s="444">
        <f t="shared" ca="1" si="3"/>
        <v>0.45713870092086301</v>
      </c>
      <c r="D23" s="444">
        <f t="shared" ca="1" si="4"/>
        <v>1268.363123701143</v>
      </c>
      <c r="E23" s="444">
        <f t="shared" si="5"/>
        <v>22.122746636038173</v>
      </c>
      <c r="F23" s="444">
        <f t="shared" ca="1" si="6"/>
        <v>367.75002788755353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3522.8033401929356</v>
      </c>
    </row>
    <row r="24" spans="1:17">
      <c r="A24" s="443" t="s">
        <v>187</v>
      </c>
      <c r="B24" s="444">
        <f t="shared" ca="1" si="2"/>
        <v>117.92176871225341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117.92176871225341</v>
      </c>
    </row>
    <row r="25" spans="1:17">
      <c r="A25" s="443" t="s">
        <v>105</v>
      </c>
      <c r="B25" s="444">
        <f t="shared" ca="1" si="2"/>
        <v>506.58596414505149</v>
      </c>
      <c r="C25" s="444">
        <f t="shared" ca="1" si="3"/>
        <v>0</v>
      </c>
      <c r="D25" s="444">
        <f t="shared" si="4"/>
        <v>32.364532111999999</v>
      </c>
      <c r="E25" s="444">
        <f t="shared" si="5"/>
        <v>5.4008752088275687</v>
      </c>
      <c r="F25" s="444">
        <f t="shared" si="6"/>
        <v>1740.1160306153674</v>
      </c>
      <c r="G25" s="444">
        <f t="shared" si="7"/>
        <v>0</v>
      </c>
      <c r="H25" s="444">
        <f t="shared" si="8"/>
        <v>0</v>
      </c>
      <c r="I25" s="444">
        <f t="shared" si="9"/>
        <v>0</v>
      </c>
      <c r="J25" s="444">
        <f t="shared" si="10"/>
        <v>139.40902883147984</v>
      </c>
      <c r="K25" s="444">
        <f t="shared" si="11"/>
        <v>0</v>
      </c>
      <c r="L25" s="444">
        <f t="shared" si="12"/>
        <v>0</v>
      </c>
      <c r="M25" s="444">
        <f t="shared" si="13"/>
        <v>0</v>
      </c>
      <c r="N25" s="444">
        <f t="shared" si="14"/>
        <v>0</v>
      </c>
      <c r="O25" s="444">
        <f t="shared" si="15"/>
        <v>0</v>
      </c>
      <c r="P25" s="445">
        <f t="shared" si="16"/>
        <v>0</v>
      </c>
      <c r="Q25" s="443">
        <f t="shared" ca="1" si="17"/>
        <v>2423.8764309127259</v>
      </c>
    </row>
    <row r="26" spans="1:17">
      <c r="A26" s="443" t="s">
        <v>637</v>
      </c>
      <c r="B26" s="444">
        <f t="shared" ca="1" si="2"/>
        <v>7831.7457833330773</v>
      </c>
      <c r="C26" s="444">
        <f t="shared" ca="1" si="3"/>
        <v>12.986894912524516</v>
      </c>
      <c r="D26" s="444">
        <f t="shared" si="4"/>
        <v>8598.309887464</v>
      </c>
      <c r="E26" s="444">
        <f t="shared" si="5"/>
        <v>1710.1012389038565</v>
      </c>
      <c r="F26" s="444">
        <f t="shared" si="6"/>
        <v>11260.556935469163</v>
      </c>
      <c r="G26" s="444">
        <f t="shared" si="7"/>
        <v>0</v>
      </c>
      <c r="H26" s="444">
        <f t="shared" si="8"/>
        <v>0</v>
      </c>
      <c r="I26" s="444">
        <f t="shared" si="9"/>
        <v>0</v>
      </c>
      <c r="J26" s="444">
        <f t="shared" si="10"/>
        <v>93.539830556480183</v>
      </c>
      <c r="K26" s="444">
        <f t="shared" si="11"/>
        <v>0</v>
      </c>
      <c r="L26" s="444">
        <f t="shared" si="12"/>
        <v>0</v>
      </c>
      <c r="M26" s="444">
        <f t="shared" si="13"/>
        <v>0</v>
      </c>
      <c r="N26" s="444">
        <f t="shared" si="14"/>
        <v>0</v>
      </c>
      <c r="O26" s="444">
        <f t="shared" si="15"/>
        <v>0</v>
      </c>
      <c r="P26" s="445">
        <f t="shared" si="16"/>
        <v>0</v>
      </c>
      <c r="Q26" s="443">
        <f t="shared" ca="1" si="17"/>
        <v>29507.2405706391</v>
      </c>
    </row>
    <row r="27" spans="1:17" s="449" customFormat="1">
      <c r="A27" s="447" t="s">
        <v>558</v>
      </c>
      <c r="B27" s="747">
        <f t="shared" ca="1" si="2"/>
        <v>2.2568777173497367</v>
      </c>
      <c r="C27" s="448">
        <f t="shared" ca="1" si="3"/>
        <v>0</v>
      </c>
      <c r="D27" s="448">
        <f t="shared" si="4"/>
        <v>3.6884075040227668</v>
      </c>
      <c r="E27" s="448">
        <f t="shared" si="5"/>
        <v>40.334630140396968</v>
      </c>
      <c r="F27" s="448">
        <f t="shared" si="6"/>
        <v>0</v>
      </c>
      <c r="G27" s="448">
        <f t="shared" si="7"/>
        <v>14916.794248146383</v>
      </c>
      <c r="H27" s="448">
        <f t="shared" si="8"/>
        <v>2620.6343202303397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17583.70848373849</v>
      </c>
    </row>
    <row r="28" spans="1:17">
      <c r="A28" s="443" t="s">
        <v>548</v>
      </c>
      <c r="B28" s="444">
        <f t="shared" ca="1" si="2"/>
        <v>0.77462128225910076</v>
      </c>
      <c r="C28" s="444">
        <f t="shared" ca="1" si="3"/>
        <v>0</v>
      </c>
      <c r="D28" s="444">
        <f t="shared" si="4"/>
        <v>0</v>
      </c>
      <c r="E28" s="444">
        <f t="shared" si="5"/>
        <v>0</v>
      </c>
      <c r="F28" s="444">
        <f t="shared" si="6"/>
        <v>0</v>
      </c>
      <c r="G28" s="444">
        <f t="shared" si="7"/>
        <v>198.71945005200777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199.49407133426686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83.183977068141431</v>
      </c>
      <c r="C32" s="444">
        <f t="shared" ca="1" si="3"/>
        <v>0</v>
      </c>
      <c r="D32" s="444">
        <f t="shared" si="4"/>
        <v>140.207796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223.39177306814145</v>
      </c>
    </row>
    <row r="33" spans="1:17" s="453" customFormat="1">
      <c r="A33" s="1009" t="s">
        <v>552</v>
      </c>
      <c r="B33" s="949">
        <f ca="1">SUM(B22:B32)</f>
        <v>14531.127856763318</v>
      </c>
      <c r="C33" s="949">
        <f t="shared" ref="C33:Q33" ca="1" si="18">SUM(C22:C32)</f>
        <v>13.444033613445379</v>
      </c>
      <c r="D33" s="949">
        <f t="shared" ca="1" si="18"/>
        <v>15340.461114397167</v>
      </c>
      <c r="E33" s="949">
        <f t="shared" si="18"/>
        <v>2096.921619080701</v>
      </c>
      <c r="F33" s="949">
        <f t="shared" ca="1" si="18"/>
        <v>25203.768509116766</v>
      </c>
      <c r="G33" s="949">
        <f t="shared" si="18"/>
        <v>15115.513698198391</v>
      </c>
      <c r="H33" s="949">
        <f t="shared" si="18"/>
        <v>2620.6343202303397</v>
      </c>
      <c r="I33" s="949">
        <f t="shared" si="18"/>
        <v>0</v>
      </c>
      <c r="J33" s="949">
        <f t="shared" si="18"/>
        <v>598.88119216684652</v>
      </c>
      <c r="K33" s="949">
        <f t="shared" si="18"/>
        <v>0</v>
      </c>
      <c r="L33" s="949">
        <f t="shared" ca="1" si="18"/>
        <v>0</v>
      </c>
      <c r="M33" s="949">
        <f t="shared" si="18"/>
        <v>0</v>
      </c>
      <c r="N33" s="949">
        <f t="shared" ca="1" si="18"/>
        <v>0</v>
      </c>
      <c r="O33" s="949">
        <f t="shared" si="18"/>
        <v>0</v>
      </c>
      <c r="P33" s="949">
        <f t="shared" si="18"/>
        <v>0</v>
      </c>
      <c r="Q33" s="949">
        <f t="shared" ca="1" si="18"/>
        <v>75520.752343566972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6808.0416764884976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1125</v>
      </c>
      <c r="C8" s="1026">
        <f>'SEAP template'!C76</f>
        <v>39.599999999999994</v>
      </c>
      <c r="D8" s="1026">
        <f>'SEAP template'!D76</f>
        <v>46.588235294117652</v>
      </c>
      <c r="E8" s="1026">
        <f>'SEAP template'!E76</f>
        <v>0</v>
      </c>
      <c r="F8" s="1026">
        <f>'SEAP template'!F76</f>
        <v>0</v>
      </c>
      <c r="G8" s="1026">
        <f>'SEAP template'!G76</f>
        <v>0</v>
      </c>
      <c r="H8" s="1026">
        <f>'SEAP template'!H76</f>
        <v>0</v>
      </c>
      <c r="I8" s="1026">
        <f>'SEAP template'!I76</f>
        <v>0</v>
      </c>
      <c r="J8" s="1026">
        <f>'SEAP template'!J76</f>
        <v>1323.5294117647061</v>
      </c>
      <c r="K8" s="1026">
        <f>'SEAP template'!K76</f>
        <v>0</v>
      </c>
      <c r="L8" s="1026">
        <f>'SEAP template'!L76</f>
        <v>0</v>
      </c>
      <c r="M8" s="1026">
        <f>'SEAP template'!M76</f>
        <v>0</v>
      </c>
      <c r="N8" s="1026">
        <f>'SEAP template'!N76</f>
        <v>0</v>
      </c>
      <c r="O8" s="1026">
        <f>'SEAP template'!O76</f>
        <v>0</v>
      </c>
      <c r="P8" s="1027">
        <f>'SEAP template'!Q76</f>
        <v>9.4108235294117666</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7933.0416764884976</v>
      </c>
      <c r="C10" s="1030">
        <f>SUM(C4:C9)</f>
        <v>39.599999999999994</v>
      </c>
      <c r="D10" s="1030">
        <f t="shared" ref="D10:H10" si="0">SUM(D8:D9)</f>
        <v>46.588235294117652</v>
      </c>
      <c r="E10" s="1030">
        <f t="shared" si="0"/>
        <v>0</v>
      </c>
      <c r="F10" s="1030">
        <f t="shared" si="0"/>
        <v>0</v>
      </c>
      <c r="G10" s="1030">
        <f t="shared" si="0"/>
        <v>0</v>
      </c>
      <c r="H10" s="1030">
        <f t="shared" si="0"/>
        <v>0</v>
      </c>
      <c r="I10" s="1030">
        <f>SUM(I8:I9)</f>
        <v>0</v>
      </c>
      <c r="J10" s="1030">
        <f>SUM(J8:J9)</f>
        <v>1323.5294117647061</v>
      </c>
      <c r="K10" s="1030">
        <f t="shared" ref="K10:L10" si="1">SUM(K8:K9)</f>
        <v>0</v>
      </c>
      <c r="L10" s="1030">
        <f t="shared" si="1"/>
        <v>0</v>
      </c>
      <c r="M10" s="1030">
        <f>SUM(M8:M9)</f>
        <v>0</v>
      </c>
      <c r="N10" s="1030">
        <f>SUM(N8:N9)</f>
        <v>0</v>
      </c>
      <c r="O10" s="1030">
        <f>SUM(O8:O9)</f>
        <v>0</v>
      </c>
      <c r="P10" s="1030">
        <f>SUM(P8:P9)</f>
        <v>9.4108235294117666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0.19721469975424361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1607.1428571428571</v>
      </c>
      <c r="C17" s="1032">
        <f>'SEAP template'!C87</f>
        <v>56.571428571428577</v>
      </c>
      <c r="D17" s="1027">
        <f>'SEAP template'!D87</f>
        <v>66.554621848739501</v>
      </c>
      <c r="E17" s="1027">
        <f>'SEAP template'!E87</f>
        <v>0</v>
      </c>
      <c r="F17" s="1027">
        <f>'SEAP template'!F87</f>
        <v>0</v>
      </c>
      <c r="G17" s="1027">
        <f>'SEAP template'!G87</f>
        <v>0</v>
      </c>
      <c r="H17" s="1027">
        <f>'SEAP template'!H87</f>
        <v>0</v>
      </c>
      <c r="I17" s="1027">
        <f>'SEAP template'!I87</f>
        <v>0</v>
      </c>
      <c r="J17" s="1027">
        <f>'SEAP template'!J87</f>
        <v>1890.7563025210086</v>
      </c>
      <c r="K17" s="1027">
        <f>'SEAP template'!K87</f>
        <v>0</v>
      </c>
      <c r="L17" s="1027">
        <f>'SEAP template'!L87</f>
        <v>0</v>
      </c>
      <c r="M17" s="1027">
        <f>'SEAP template'!M87</f>
        <v>0</v>
      </c>
      <c r="N17" s="1027">
        <f>'SEAP template'!N87</f>
        <v>0</v>
      </c>
      <c r="O17" s="1027">
        <f>'SEAP template'!O87</f>
        <v>0</v>
      </c>
      <c r="P17" s="1027">
        <f>'SEAP template'!Q87</f>
        <v>13.444033613445381</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1607.1428571428571</v>
      </c>
      <c r="C20" s="1030">
        <f>SUM(C17:C19)</f>
        <v>56.571428571428577</v>
      </c>
      <c r="D20" s="1030">
        <f t="shared" ref="D20:H20" si="2">SUM(D17:D19)</f>
        <v>66.554621848739501</v>
      </c>
      <c r="E20" s="1030">
        <f t="shared" si="2"/>
        <v>0</v>
      </c>
      <c r="F20" s="1030">
        <f t="shared" si="2"/>
        <v>0</v>
      </c>
      <c r="G20" s="1030">
        <f t="shared" si="2"/>
        <v>0</v>
      </c>
      <c r="H20" s="1030">
        <f t="shared" si="2"/>
        <v>0</v>
      </c>
      <c r="I20" s="1030">
        <f>SUM(I17:I19)</f>
        <v>0</v>
      </c>
      <c r="J20" s="1030">
        <f>SUM(J17:J19)</f>
        <v>1890.7563025210086</v>
      </c>
      <c r="K20" s="1030">
        <f t="shared" ref="K20:L20" si="3">SUM(K17:K19)</f>
        <v>0</v>
      </c>
      <c r="L20" s="1030">
        <f t="shared" si="3"/>
        <v>0</v>
      </c>
      <c r="M20" s="1030">
        <f>SUM(M17:M19)</f>
        <v>0</v>
      </c>
      <c r="N20" s="1030">
        <f>SUM(N17:N19)</f>
        <v>0</v>
      </c>
      <c r="O20" s="1030">
        <f>SUM(O17:O19)</f>
        <v>0</v>
      </c>
      <c r="P20" s="1030">
        <f>SUM(P17:P19)</f>
        <v>13.444033613445381</v>
      </c>
    </row>
    <row r="22" spans="1:16">
      <c r="A22" s="454" t="s">
        <v>853</v>
      </c>
      <c r="B22" s="753" t="s">
        <v>847</v>
      </c>
      <c r="C22" s="753">
        <f ca="1">'EF ele_warmte'!B22</f>
        <v>8.0807346122374769E-3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0.19721469975424361</v>
      </c>
      <c r="C17" s="491">
        <f ca="1">'EF ele_warmte'!B22</f>
        <v>8.0807346122374769E-3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0.19721469975424361</v>
      </c>
      <c r="C17" s="491">
        <f ca="1">'EF ele_warmte'!B22</f>
        <v>8.0807346122374769E-3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0.19721469975424361</v>
      </c>
      <c r="C29" s="492">
        <f ca="1">'EF ele_warmte'!B22</f>
        <v>8.0807346122374769E-3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4517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1396</v>
      </c>
      <c r="C14" s="324"/>
      <c r="D14" s="324"/>
      <c r="E14" s="324"/>
      <c r="F14" s="324"/>
    </row>
    <row r="15" spans="1:6">
      <c r="A15" s="1302" t="s">
        <v>177</v>
      </c>
      <c r="B15" s="1303">
        <v>14</v>
      </c>
      <c r="C15" s="324"/>
      <c r="D15" s="324"/>
      <c r="E15" s="324"/>
      <c r="F15" s="324"/>
    </row>
    <row r="16" spans="1:6">
      <c r="A16" s="1302" t="s">
        <v>6</v>
      </c>
      <c r="B16" s="1303">
        <v>455</v>
      </c>
      <c r="C16" s="324"/>
      <c r="D16" s="324"/>
      <c r="E16" s="324"/>
      <c r="F16" s="324"/>
    </row>
    <row r="17" spans="1:6">
      <c r="A17" s="1302" t="s">
        <v>7</v>
      </c>
      <c r="B17" s="1303">
        <v>300</v>
      </c>
      <c r="C17" s="324"/>
      <c r="D17" s="324"/>
      <c r="E17" s="324"/>
      <c r="F17" s="324"/>
    </row>
    <row r="18" spans="1:6">
      <c r="A18" s="1302" t="s">
        <v>8</v>
      </c>
      <c r="B18" s="1303">
        <v>561</v>
      </c>
      <c r="C18" s="324"/>
      <c r="D18" s="324"/>
      <c r="E18" s="324"/>
      <c r="F18" s="324"/>
    </row>
    <row r="19" spans="1:6">
      <c r="A19" s="1302" t="s">
        <v>9</v>
      </c>
      <c r="B19" s="1303">
        <v>553</v>
      </c>
      <c r="C19" s="324"/>
      <c r="D19" s="324"/>
      <c r="E19" s="324"/>
      <c r="F19" s="324"/>
    </row>
    <row r="20" spans="1:6">
      <c r="A20" s="1302" t="s">
        <v>10</v>
      </c>
      <c r="B20" s="1303">
        <v>490</v>
      </c>
      <c r="C20" s="324"/>
      <c r="D20" s="324"/>
      <c r="E20" s="324"/>
      <c r="F20" s="324"/>
    </row>
    <row r="21" spans="1:6">
      <c r="A21" s="1302" t="s">
        <v>11</v>
      </c>
      <c r="B21" s="1303">
        <v>508</v>
      </c>
      <c r="C21" s="324"/>
      <c r="D21" s="324"/>
      <c r="E21" s="324"/>
      <c r="F21" s="324"/>
    </row>
    <row r="22" spans="1:6">
      <c r="A22" s="1302" t="s">
        <v>12</v>
      </c>
      <c r="B22" s="1303">
        <v>1821</v>
      </c>
      <c r="C22" s="324"/>
      <c r="D22" s="324"/>
      <c r="E22" s="324"/>
      <c r="F22" s="324"/>
    </row>
    <row r="23" spans="1:6">
      <c r="A23" s="1302" t="s">
        <v>13</v>
      </c>
      <c r="B23" s="1303">
        <v>35</v>
      </c>
      <c r="C23" s="324"/>
      <c r="D23" s="324"/>
      <c r="E23" s="324"/>
      <c r="F23" s="324"/>
    </row>
    <row r="24" spans="1:6">
      <c r="A24" s="1302" t="s">
        <v>14</v>
      </c>
      <c r="B24" s="1303">
        <v>2</v>
      </c>
      <c r="C24" s="324"/>
      <c r="D24" s="324"/>
      <c r="E24" s="324"/>
      <c r="F24" s="324"/>
    </row>
    <row r="25" spans="1:6">
      <c r="A25" s="1302" t="s">
        <v>15</v>
      </c>
      <c r="B25" s="1303">
        <v>268</v>
      </c>
      <c r="C25" s="324"/>
      <c r="D25" s="324"/>
      <c r="E25" s="324"/>
      <c r="F25" s="324"/>
    </row>
    <row r="26" spans="1:6">
      <c r="A26" s="1302" t="s">
        <v>16</v>
      </c>
      <c r="B26" s="1303">
        <v>133</v>
      </c>
      <c r="C26" s="324"/>
      <c r="D26" s="324"/>
      <c r="E26" s="324"/>
      <c r="F26" s="324"/>
    </row>
    <row r="27" spans="1:6">
      <c r="A27" s="1302" t="s">
        <v>17</v>
      </c>
      <c r="B27" s="1303">
        <v>167</v>
      </c>
      <c r="C27" s="324"/>
      <c r="D27" s="324"/>
      <c r="E27" s="324"/>
      <c r="F27" s="324"/>
    </row>
    <row r="28" spans="1:6">
      <c r="A28" s="1302" t="s">
        <v>18</v>
      </c>
      <c r="B28" s="1304">
        <v>53565</v>
      </c>
      <c r="C28" s="324"/>
      <c r="D28" s="324"/>
      <c r="E28" s="324"/>
      <c r="F28" s="324"/>
    </row>
    <row r="29" spans="1:6">
      <c r="A29" s="1302" t="s">
        <v>918</v>
      </c>
      <c r="B29" s="1304">
        <v>102</v>
      </c>
      <c r="C29" s="324"/>
      <c r="D29" s="324"/>
      <c r="E29" s="324"/>
      <c r="F29" s="324"/>
    </row>
    <row r="30" spans="1:6">
      <c r="A30" s="1297" t="s">
        <v>919</v>
      </c>
      <c r="B30" s="1305">
        <v>11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13</v>
      </c>
      <c r="D36" s="1303">
        <v>1343058</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7983</v>
      </c>
    </row>
    <row r="39" spans="1:6">
      <c r="A39" s="1302" t="s">
        <v>29</v>
      </c>
      <c r="B39" s="1302" t="s">
        <v>30</v>
      </c>
      <c r="C39" s="1303">
        <v>1773</v>
      </c>
      <c r="D39" s="1303">
        <v>29074704</v>
      </c>
      <c r="E39" s="1303">
        <v>4406</v>
      </c>
      <c r="F39" s="1303">
        <v>17131077</v>
      </c>
    </row>
    <row r="40" spans="1:6">
      <c r="A40" s="1302" t="s">
        <v>29</v>
      </c>
      <c r="B40" s="1302" t="s">
        <v>28</v>
      </c>
      <c r="C40" s="1303">
        <v>0</v>
      </c>
      <c r="D40" s="1303">
        <v>0</v>
      </c>
      <c r="E40" s="1303">
        <v>0</v>
      </c>
      <c r="F40" s="1303">
        <v>0</v>
      </c>
    </row>
    <row r="41" spans="1:6">
      <c r="A41" s="1302" t="s">
        <v>31</v>
      </c>
      <c r="B41" s="1302" t="s">
        <v>32</v>
      </c>
      <c r="C41" s="1303">
        <v>31</v>
      </c>
      <c r="D41" s="1303">
        <v>16732599</v>
      </c>
      <c r="E41" s="1303">
        <v>95</v>
      </c>
      <c r="F41" s="1303">
        <v>26951250</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5</v>
      </c>
      <c r="D44" s="1303">
        <v>223526</v>
      </c>
      <c r="E44" s="1303">
        <v>14</v>
      </c>
      <c r="F44" s="1303">
        <v>293942</v>
      </c>
    </row>
    <row r="45" spans="1:6">
      <c r="A45" s="1302" t="s">
        <v>31</v>
      </c>
      <c r="B45" s="1302" t="s">
        <v>36</v>
      </c>
      <c r="C45" s="1303">
        <v>0</v>
      </c>
      <c r="D45" s="1303">
        <v>0</v>
      </c>
      <c r="E45" s="1303">
        <v>3</v>
      </c>
      <c r="F45" s="1303">
        <v>173420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v>
      </c>
      <c r="D48" s="1303">
        <v>297605</v>
      </c>
      <c r="E48" s="1303">
        <v>1</v>
      </c>
      <c r="F48" s="1303">
        <v>49171</v>
      </c>
    </row>
    <row r="49" spans="1:6">
      <c r="A49" s="1302" t="s">
        <v>31</v>
      </c>
      <c r="B49" s="1302" t="s">
        <v>39</v>
      </c>
      <c r="C49" s="1303">
        <v>3</v>
      </c>
      <c r="D49" s="1303">
        <v>99103</v>
      </c>
      <c r="E49" s="1303">
        <v>3</v>
      </c>
      <c r="F49" s="1303">
        <v>97792</v>
      </c>
    </row>
    <row r="50" spans="1:6">
      <c r="A50" s="1302" t="s">
        <v>31</v>
      </c>
      <c r="B50" s="1302" t="s">
        <v>40</v>
      </c>
      <c r="C50" s="1303">
        <v>5</v>
      </c>
      <c r="D50" s="1303">
        <v>29837733</v>
      </c>
      <c r="E50" s="1303">
        <v>10</v>
      </c>
      <c r="F50" s="1303">
        <v>11021200</v>
      </c>
    </row>
    <row r="51" spans="1:6">
      <c r="A51" s="1302" t="s">
        <v>41</v>
      </c>
      <c r="B51" s="1302" t="s">
        <v>42</v>
      </c>
      <c r="C51" s="1303">
        <v>4</v>
      </c>
      <c r="D51" s="1303">
        <v>177628</v>
      </c>
      <c r="E51" s="1303">
        <v>74</v>
      </c>
      <c r="F51" s="1303">
        <v>2568702.8643216081</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64</v>
      </c>
      <c r="F54" s="1303">
        <v>597936</v>
      </c>
    </row>
    <row r="55" spans="1:6">
      <c r="A55" s="1302" t="s">
        <v>45</v>
      </c>
      <c r="B55" s="1302" t="s">
        <v>28</v>
      </c>
      <c r="C55" s="1303">
        <v>0</v>
      </c>
      <c r="D55" s="1303">
        <v>0</v>
      </c>
      <c r="E55" s="1303">
        <v>0</v>
      </c>
      <c r="F55" s="1303">
        <v>0</v>
      </c>
    </row>
    <row r="56" spans="1:6">
      <c r="A56" s="1302" t="s">
        <v>47</v>
      </c>
      <c r="B56" s="1302" t="s">
        <v>28</v>
      </c>
      <c r="C56" s="1303">
        <v>29</v>
      </c>
      <c r="D56" s="1303">
        <v>694098</v>
      </c>
      <c r="E56" s="1303">
        <v>88</v>
      </c>
      <c r="F56" s="1303">
        <v>421794</v>
      </c>
    </row>
    <row r="57" spans="1:6">
      <c r="A57" s="1302" t="s">
        <v>48</v>
      </c>
      <c r="B57" s="1302" t="s">
        <v>49</v>
      </c>
      <c r="C57" s="1303">
        <v>19</v>
      </c>
      <c r="D57" s="1303">
        <v>542877</v>
      </c>
      <c r="E57" s="1303">
        <v>46</v>
      </c>
      <c r="F57" s="1303">
        <v>1091385</v>
      </c>
    </row>
    <row r="58" spans="1:6">
      <c r="A58" s="1302" t="s">
        <v>48</v>
      </c>
      <c r="B58" s="1302" t="s">
        <v>50</v>
      </c>
      <c r="C58" s="1303">
        <v>21</v>
      </c>
      <c r="D58" s="1303">
        <v>1510780</v>
      </c>
      <c r="E58" s="1303">
        <v>27</v>
      </c>
      <c r="F58" s="1303">
        <v>577988</v>
      </c>
    </row>
    <row r="59" spans="1:6">
      <c r="A59" s="1302" t="s">
        <v>48</v>
      </c>
      <c r="B59" s="1302" t="s">
        <v>51</v>
      </c>
      <c r="C59" s="1303">
        <v>47</v>
      </c>
      <c r="D59" s="1303">
        <v>1672464</v>
      </c>
      <c r="E59" s="1303">
        <v>137</v>
      </c>
      <c r="F59" s="1303">
        <v>3783905.4160000002</v>
      </c>
    </row>
    <row r="60" spans="1:6">
      <c r="A60" s="1302" t="s">
        <v>48</v>
      </c>
      <c r="B60" s="1302" t="s">
        <v>52</v>
      </c>
      <c r="C60" s="1303">
        <v>20</v>
      </c>
      <c r="D60" s="1303">
        <v>988883</v>
      </c>
      <c r="E60" s="1303">
        <v>33</v>
      </c>
      <c r="F60" s="1303">
        <v>1059491</v>
      </c>
    </row>
    <row r="61" spans="1:6">
      <c r="A61" s="1302" t="s">
        <v>48</v>
      </c>
      <c r="B61" s="1302" t="s">
        <v>53</v>
      </c>
      <c r="C61" s="1303">
        <v>65</v>
      </c>
      <c r="D61" s="1303">
        <v>1852953</v>
      </c>
      <c r="E61" s="1303">
        <v>203</v>
      </c>
      <c r="F61" s="1303">
        <v>2781371</v>
      </c>
    </row>
    <row r="62" spans="1:6">
      <c r="A62" s="1302" t="s">
        <v>48</v>
      </c>
      <c r="B62" s="1302" t="s">
        <v>54</v>
      </c>
      <c r="C62" s="1303">
        <v>5</v>
      </c>
      <c r="D62" s="1303">
        <v>518704</v>
      </c>
      <c r="E62" s="1303">
        <v>10</v>
      </c>
      <c r="F62" s="1303">
        <v>118447</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2</v>
      </c>
      <c r="D65" s="1303">
        <v>89016</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7</v>
      </c>
      <c r="F68" s="1305">
        <v>82371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68700636</v>
      </c>
      <c r="E73" s="442"/>
      <c r="F73" s="324"/>
    </row>
    <row r="74" spans="1:6">
      <c r="A74" s="1302" t="s">
        <v>63</v>
      </c>
      <c r="B74" s="1302" t="s">
        <v>695</v>
      </c>
      <c r="C74" s="1315" t="s">
        <v>697</v>
      </c>
      <c r="D74" s="1303">
        <v>5904202.8738324912</v>
      </c>
      <c r="E74" s="442"/>
      <c r="F74" s="324"/>
    </row>
    <row r="75" spans="1:6">
      <c r="A75" s="1302" t="s">
        <v>64</v>
      </c>
      <c r="B75" s="1302" t="s">
        <v>694</v>
      </c>
      <c r="C75" s="1315" t="s">
        <v>698</v>
      </c>
      <c r="D75" s="1303">
        <v>14016619</v>
      </c>
      <c r="E75" s="442"/>
      <c r="F75" s="324"/>
    </row>
    <row r="76" spans="1:6">
      <c r="A76" s="1302" t="s">
        <v>64</v>
      </c>
      <c r="B76" s="1302" t="s">
        <v>695</v>
      </c>
      <c r="C76" s="1315" t="s">
        <v>699</v>
      </c>
      <c r="D76" s="1303">
        <v>181413.87383249076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212460.25233501845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3782.9246762323223</v>
      </c>
      <c r="C91" s="324"/>
      <c r="D91" s="324"/>
      <c r="E91" s="324"/>
      <c r="F91" s="324"/>
    </row>
    <row r="92" spans="1:6">
      <c r="A92" s="1297" t="s">
        <v>68</v>
      </c>
      <c r="B92" s="1298">
        <v>3025.1170002561753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534</v>
      </c>
      <c r="C97" s="324"/>
      <c r="D97" s="324"/>
      <c r="E97" s="324"/>
      <c r="F97" s="324"/>
    </row>
    <row r="98" spans="1:6">
      <c r="A98" s="1302" t="s">
        <v>71</v>
      </c>
      <c r="B98" s="1303">
        <v>0</v>
      </c>
      <c r="C98" s="324"/>
      <c r="D98" s="324"/>
      <c r="E98" s="324"/>
      <c r="F98" s="324"/>
    </row>
    <row r="99" spans="1:6">
      <c r="A99" s="1302" t="s">
        <v>72</v>
      </c>
      <c r="B99" s="1303">
        <v>23</v>
      </c>
      <c r="C99" s="324"/>
      <c r="D99" s="324"/>
      <c r="E99" s="324"/>
      <c r="F99" s="324"/>
    </row>
    <row r="100" spans="1:6">
      <c r="A100" s="1302" t="s">
        <v>73</v>
      </c>
      <c r="B100" s="1303">
        <v>174</v>
      </c>
      <c r="C100" s="324"/>
      <c r="D100" s="324"/>
      <c r="E100" s="324"/>
      <c r="F100" s="324"/>
    </row>
    <row r="101" spans="1:6">
      <c r="A101" s="1302" t="s">
        <v>74</v>
      </c>
      <c r="B101" s="1303">
        <v>37</v>
      </c>
      <c r="C101" s="324"/>
      <c r="D101" s="324"/>
      <c r="E101" s="324"/>
      <c r="F101" s="324"/>
    </row>
    <row r="102" spans="1:6">
      <c r="A102" s="1302" t="s">
        <v>75</v>
      </c>
      <c r="B102" s="1303">
        <v>41</v>
      </c>
      <c r="C102" s="324"/>
      <c r="D102" s="324"/>
      <c r="E102" s="324"/>
      <c r="F102" s="324"/>
    </row>
    <row r="103" spans="1:6">
      <c r="A103" s="1302" t="s">
        <v>76</v>
      </c>
      <c r="B103" s="1303">
        <v>77</v>
      </c>
      <c r="C103" s="324"/>
      <c r="D103" s="324"/>
      <c r="E103" s="324"/>
      <c r="F103" s="324"/>
    </row>
    <row r="104" spans="1:6">
      <c r="A104" s="1302" t="s">
        <v>77</v>
      </c>
      <c r="B104" s="1303">
        <v>3171</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13</v>
      </c>
      <c r="C123" s="1303">
        <v>11</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158</v>
      </c>
      <c r="C129" s="324"/>
      <c r="D129" s="324"/>
      <c r="E129" s="324"/>
      <c r="F129" s="324"/>
    </row>
    <row r="130" spans="1:6">
      <c r="A130" s="1302" t="s">
        <v>284</v>
      </c>
      <c r="B130" s="1303">
        <v>2</v>
      </c>
      <c r="C130" s="324"/>
      <c r="D130" s="324"/>
      <c r="E130" s="324"/>
      <c r="F130" s="324"/>
    </row>
    <row r="131" spans="1:6">
      <c r="A131" s="1302" t="s">
        <v>285</v>
      </c>
      <c r="B131" s="1303">
        <v>2</v>
      </c>
      <c r="C131" s="324"/>
      <c r="D131" s="324"/>
      <c r="E131" s="324"/>
      <c r="F131" s="324"/>
    </row>
    <row r="132" spans="1:6">
      <c r="A132" s="1297" t="s">
        <v>286</v>
      </c>
      <c r="B132" s="1298">
        <v>28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73681.768523700754</v>
      </c>
      <c r="C3" s="43" t="s">
        <v>163</v>
      </c>
      <c r="D3" s="43"/>
      <c r="E3" s="154"/>
      <c r="F3" s="43"/>
      <c r="G3" s="43"/>
      <c r="H3" s="43"/>
      <c r="I3" s="43"/>
      <c r="J3" s="43"/>
      <c r="K3" s="96"/>
    </row>
    <row r="4" spans="1:11">
      <c r="A4" s="351" t="s">
        <v>164</v>
      </c>
      <c r="B4" s="49">
        <f>IF(ISERROR('SEAP template'!B78+'SEAP template'!C78),0,'SEAP template'!B78+'SEAP template'!C78)</f>
        <v>7972.641676488498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9.4108235294117666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0.19721469975424361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13.444033613445381</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1663.7142857142858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8.0807346122374769E-3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597.93600000000004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597.93600000000004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0.19721469975424361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117.92176871225341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17131.077000000001</v>
      </c>
      <c r="C5" s="17">
        <f>IF(ISERROR('Eigen informatie GS &amp; warmtenet'!B57),0,'Eigen informatie GS &amp; warmtenet'!B57)</f>
        <v>0</v>
      </c>
      <c r="D5" s="30">
        <f>(SUM(HH_hh_gas_kWh,HH_rest_gas_kWh)/1000)*0.902</f>
        <v>26225.383008000001</v>
      </c>
      <c r="E5" s="17">
        <f>B32*B41</f>
        <v>1405.1195074519014</v>
      </c>
      <c r="F5" s="17">
        <f>B36*B45</f>
        <v>44327.136760841495</v>
      </c>
      <c r="G5" s="18"/>
      <c r="H5" s="17"/>
      <c r="I5" s="17"/>
      <c r="J5" s="17">
        <f>B35*B44+C35*C44</f>
        <v>1033.7071547426174</v>
      </c>
      <c r="K5" s="17"/>
      <c r="L5" s="17"/>
      <c r="M5" s="17"/>
      <c r="N5" s="17">
        <f>B34*B43+C34*C43</f>
        <v>5562.7533732440543</v>
      </c>
      <c r="O5" s="17">
        <f>B52*B53*B54</f>
        <v>264.20333333333338</v>
      </c>
      <c r="P5" s="17">
        <f>B60*B61*B62/1000-B60*B61*B62/1000/B63</f>
        <v>781.73333333333335</v>
      </c>
    </row>
    <row r="6" spans="1:16">
      <c r="A6" s="16" t="s">
        <v>618</v>
      </c>
      <c r="B6" s="755">
        <f>kWh_PV_kleiner_dan_10kW</f>
        <v>3782.9246762323223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20914.001676232325</v>
      </c>
      <c r="C8" s="21">
        <f>C5</f>
        <v>0</v>
      </c>
      <c r="D8" s="21">
        <f>D5</f>
        <v>26225.383008000001</v>
      </c>
      <c r="E8" s="21">
        <f>E5</f>
        <v>1405.1195074519014</v>
      </c>
      <c r="F8" s="21">
        <f>F5</f>
        <v>44327.136760841495</v>
      </c>
      <c r="G8" s="21"/>
      <c r="H8" s="21"/>
      <c r="I8" s="21"/>
      <c r="J8" s="21">
        <f>J5</f>
        <v>1033.7071547426174</v>
      </c>
      <c r="K8" s="21"/>
      <c r="L8" s="21">
        <f>L5</f>
        <v>0</v>
      </c>
      <c r="M8" s="21">
        <f>M5</f>
        <v>0</v>
      </c>
      <c r="N8" s="21">
        <f>N5</f>
        <v>5562.7533732440543</v>
      </c>
      <c r="O8" s="21">
        <f>O5</f>
        <v>264.20333333333338</v>
      </c>
      <c r="P8" s="21">
        <f>P5</f>
        <v>781.73333333333335</v>
      </c>
    </row>
    <row r="9" spans="1:16">
      <c r="B9" s="19"/>
      <c r="C9" s="19"/>
      <c r="D9" s="254"/>
      <c r="E9" s="19"/>
      <c r="F9" s="19"/>
      <c r="G9" s="19"/>
      <c r="H9" s="19"/>
      <c r="I9" s="19"/>
      <c r="J9" s="19"/>
      <c r="K9" s="19"/>
      <c r="L9" s="19"/>
      <c r="M9" s="19"/>
      <c r="N9" s="19"/>
      <c r="O9" s="19"/>
      <c r="P9" s="19"/>
    </row>
    <row r="10" spans="1:16">
      <c r="A10" s="24" t="s">
        <v>207</v>
      </c>
      <c r="B10" s="25">
        <f ca="1">'EF ele_warmte'!B12</f>
        <v>0.19721469975424361</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4124.5485612379052</v>
      </c>
      <c r="C12" s="23">
        <f ca="1">C10*C8</f>
        <v>0</v>
      </c>
      <c r="D12" s="23">
        <f>D8*D10</f>
        <v>5297.5273676160004</v>
      </c>
      <c r="E12" s="23">
        <f>E10*E8</f>
        <v>318.96212819158166</v>
      </c>
      <c r="F12" s="23">
        <f>F10*F8</f>
        <v>11835.34551514468</v>
      </c>
      <c r="G12" s="23"/>
      <c r="H12" s="23"/>
      <c r="I12" s="23"/>
      <c r="J12" s="23">
        <f>J10*J8</f>
        <v>365.93233277888652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4517</v>
      </c>
      <c r="C26" s="36"/>
      <c r="D26" s="225"/>
    </row>
    <row r="27" spans="1:5" s="15" customFormat="1">
      <c r="A27" s="227" t="s">
        <v>721</v>
      </c>
      <c r="B27" s="37">
        <f>SUM(HH_hh_gas_aantal,HH_rest_gas_aantal)</f>
        <v>1773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1684.35</v>
      </c>
      <c r="C31" s="34" t="s">
        <v>104</v>
      </c>
      <c r="D31" s="171"/>
    </row>
    <row r="32" spans="1:5">
      <c r="A32" s="168" t="s">
        <v>72</v>
      </c>
      <c r="B32" s="33">
        <f>IF((B21*($B$26-($B$27-0.05*$B$27)-$B$60))&lt;0,0,B21*($B$26-($B$27-0.05*$B$27)-$B$60))</f>
        <v>17.601968668138969</v>
      </c>
      <c r="C32" s="34" t="s">
        <v>104</v>
      </c>
      <c r="D32" s="171"/>
    </row>
    <row r="33" spans="1:6">
      <c r="A33" s="168" t="s">
        <v>73</v>
      </c>
      <c r="B33" s="33">
        <f>IF((B22*($B$26-($B$27-0.05*$B$27)-$B$60))&lt;0,0,B22*($B$26-($B$27-0.05*$B$27)-$B$60))</f>
        <v>612.96449195142145</v>
      </c>
      <c r="C33" s="34" t="s">
        <v>104</v>
      </c>
      <c r="D33" s="171"/>
    </row>
    <row r="34" spans="1:6">
      <c r="A34" s="168" t="s">
        <v>74</v>
      </c>
      <c r="B34" s="33">
        <f>IF((B24*($B$26-($B$27-0.05*$B$27)-$B$60))&lt;0,0,B24*($B$26-($B$27-0.05*$B$27)-$B$60))</f>
        <v>121.67073994299899</v>
      </c>
      <c r="C34" s="33">
        <f>B26*C24</f>
        <v>924.17676551146189</v>
      </c>
      <c r="D34" s="230"/>
    </row>
    <row r="35" spans="1:6">
      <c r="A35" s="168" t="s">
        <v>76</v>
      </c>
      <c r="B35" s="33">
        <f>IF((B19*($B$26-($B$27-0.05*$B$27)-$B$60))&lt;0,0,B19*($B$26-($B$27-0.05*$B$27)-$B$60))</f>
        <v>59.443075825845121</v>
      </c>
      <c r="C35" s="33">
        <f>B35/2</f>
        <v>29.72153791292256</v>
      </c>
      <c r="D35" s="230"/>
    </row>
    <row r="36" spans="1:6">
      <c r="A36" s="168" t="s">
        <v>77</v>
      </c>
      <c r="B36" s="33">
        <f>IF((B18*($B$26-($B$27-0.05*$B$27)-$B$60))&lt;0,0,B18*($B$26-($B$27-0.05*$B$27)-$B$60))</f>
        <v>1979.9697236115965</v>
      </c>
      <c r="C36" s="34" t="s">
        <v>104</v>
      </c>
      <c r="D36" s="171"/>
    </row>
    <row r="37" spans="1:6">
      <c r="A37" s="168" t="s">
        <v>78</v>
      </c>
      <c r="B37" s="33">
        <f>B60</f>
        <v>41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169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9412.5874160000003</v>
      </c>
      <c r="C5" s="17">
        <f>IF(ISERROR('Eigen informatie GS &amp; warmtenet'!B58),0,'Eigen informatie GS &amp; warmtenet'!B58)</f>
        <v>0</v>
      </c>
      <c r="D5" s="30">
        <f>SUM(D6:D12)</f>
        <v>6392.1682220000002</v>
      </c>
      <c r="E5" s="17">
        <f>SUM(E6:E12)</f>
        <v>97.457033638934675</v>
      </c>
      <c r="F5" s="17">
        <f>SUM(F6:F12)</f>
        <v>1377.3409284178033</v>
      </c>
      <c r="G5" s="18"/>
      <c r="H5" s="17"/>
      <c r="I5" s="17"/>
      <c r="J5" s="17">
        <f>SUM(J6:J12)</f>
        <v>0</v>
      </c>
      <c r="K5" s="17"/>
      <c r="L5" s="17"/>
      <c r="M5" s="17"/>
      <c r="N5" s="17">
        <f>SUM(N6:N12)</f>
        <v>832.37203717009356</v>
      </c>
      <c r="O5" s="17">
        <f>B38*B39*B40</f>
        <v>3.1266666666666669</v>
      </c>
      <c r="P5" s="17">
        <f>B46*B47*B48/1000-B46*B47*B48/1000/B49</f>
        <v>38.133333333333333</v>
      </c>
      <c r="R5" s="32"/>
    </row>
    <row r="6" spans="1:18">
      <c r="A6" s="32" t="s">
        <v>53</v>
      </c>
      <c r="B6" s="37">
        <f>B26</f>
        <v>2781.3710000000001</v>
      </c>
      <c r="C6" s="33"/>
      <c r="D6" s="37">
        <f>IF(ISERROR(TER_kantoor_gas_kWh/1000),0,TER_kantoor_gas_kWh/1000)*0.902</f>
        <v>1671.3636060000001</v>
      </c>
      <c r="E6" s="33">
        <f>$C$26*'E Balans VL '!I12/100/3.6*1000000</f>
        <v>8.0580398719891306</v>
      </c>
      <c r="F6" s="33">
        <f>$C$26*('E Balans VL '!L12+'E Balans VL '!N12)/100/3.6*1000000</f>
        <v>314.78991884581558</v>
      </c>
      <c r="G6" s="34"/>
      <c r="H6" s="33"/>
      <c r="I6" s="33"/>
      <c r="J6" s="33">
        <f>$C$26*('E Balans VL '!D12+'E Balans VL '!E12)/100/3.6*1000000</f>
        <v>0</v>
      </c>
      <c r="K6" s="33"/>
      <c r="L6" s="33"/>
      <c r="M6" s="33"/>
      <c r="N6" s="33">
        <f>$C$26*'E Balans VL '!Y12/100/3.6*1000000</f>
        <v>27.83947430434376</v>
      </c>
      <c r="O6" s="33"/>
      <c r="P6" s="33"/>
      <c r="R6" s="32"/>
    </row>
    <row r="7" spans="1:18">
      <c r="A7" s="32" t="s">
        <v>52</v>
      </c>
      <c r="B7" s="37">
        <f t="shared" ref="B7:B12" si="0">B27</f>
        <v>1059.491</v>
      </c>
      <c r="C7" s="33"/>
      <c r="D7" s="37">
        <f>IF(ISERROR(TER_horeca_gas_kWh/1000),0,TER_horeca_gas_kWh/1000)*0.902</f>
        <v>891.97246600000005</v>
      </c>
      <c r="E7" s="33">
        <f>$C$27*'E Balans VL '!I9/100/3.6*1000000</f>
        <v>44.474472020650097</v>
      </c>
      <c r="F7" s="33">
        <f>$C$27*('E Balans VL '!L9+'E Balans VL '!N9)/100/3.6*1000000</f>
        <v>227.65336825925934</v>
      </c>
      <c r="G7" s="34"/>
      <c r="H7" s="33"/>
      <c r="I7" s="33"/>
      <c r="J7" s="33">
        <f>$C$27*('E Balans VL '!D9+'E Balans VL '!E9)/100/3.6*1000000</f>
        <v>0</v>
      </c>
      <c r="K7" s="33"/>
      <c r="L7" s="33"/>
      <c r="M7" s="33"/>
      <c r="N7" s="33">
        <f>$C$27*'E Balans VL '!Y9/100/3.6*1000000</f>
        <v>0.27302156511507453</v>
      </c>
      <c r="O7" s="33"/>
      <c r="P7" s="33"/>
      <c r="R7" s="32"/>
    </row>
    <row r="8" spans="1:18">
      <c r="A8" s="6" t="s">
        <v>51</v>
      </c>
      <c r="B8" s="37">
        <f t="shared" si="0"/>
        <v>3783.9054160000001</v>
      </c>
      <c r="C8" s="33"/>
      <c r="D8" s="37">
        <f>IF(ISERROR(TER_handel_gas_kWh/1000),0,TER_handel_gas_kWh/1000)*0.902</f>
        <v>1508.5625279999999</v>
      </c>
      <c r="E8" s="33">
        <f>$C$28*'E Balans VL '!I13/100/3.6*1000000</f>
        <v>40.642293422795156</v>
      </c>
      <c r="F8" s="33">
        <f>$C$28*('E Balans VL '!L13+'E Balans VL '!N13)/100/3.6*1000000</f>
        <v>489.85780294797809</v>
      </c>
      <c r="G8" s="34"/>
      <c r="H8" s="33"/>
      <c r="I8" s="33"/>
      <c r="J8" s="33">
        <f>$C$28*('E Balans VL '!D13+'E Balans VL '!E13)/100/3.6*1000000</f>
        <v>0</v>
      </c>
      <c r="K8" s="33"/>
      <c r="L8" s="33"/>
      <c r="M8" s="33"/>
      <c r="N8" s="33">
        <f>$C$28*'E Balans VL '!Y13/100/3.6*1000000</f>
        <v>30.695247344811033</v>
      </c>
      <c r="O8" s="33"/>
      <c r="P8" s="33"/>
      <c r="R8" s="32"/>
    </row>
    <row r="9" spans="1:18">
      <c r="A9" s="32" t="s">
        <v>50</v>
      </c>
      <c r="B9" s="37">
        <f t="shared" si="0"/>
        <v>577.98800000000006</v>
      </c>
      <c r="C9" s="33"/>
      <c r="D9" s="37">
        <f>IF(ISERROR(TER_gezond_gas_kWh/1000),0,TER_gezond_gas_kWh/1000)*0.902</f>
        <v>1362.7235599999999</v>
      </c>
      <c r="E9" s="33">
        <f>$C$29*'E Balans VL '!I10/100/3.6*1000000</f>
        <v>0.46011583126231287</v>
      </c>
      <c r="F9" s="33">
        <f>$C$29*('E Balans VL '!L10+'E Balans VL '!N10)/100/3.6*1000000</f>
        <v>70.262794078929176</v>
      </c>
      <c r="G9" s="34"/>
      <c r="H9" s="33"/>
      <c r="I9" s="33"/>
      <c r="J9" s="33">
        <f>$C$29*('E Balans VL '!D10+'E Balans VL '!E10)/100/3.6*1000000</f>
        <v>0</v>
      </c>
      <c r="K9" s="33"/>
      <c r="L9" s="33"/>
      <c r="M9" s="33"/>
      <c r="N9" s="33">
        <f>$C$29*'E Balans VL '!Y10/100/3.6*1000000</f>
        <v>4.6688339361404685</v>
      </c>
      <c r="O9" s="33"/>
      <c r="P9" s="33"/>
      <c r="R9" s="32"/>
    </row>
    <row r="10" spans="1:18">
      <c r="A10" s="32" t="s">
        <v>49</v>
      </c>
      <c r="B10" s="37">
        <f t="shared" si="0"/>
        <v>1091.385</v>
      </c>
      <c r="C10" s="33"/>
      <c r="D10" s="37">
        <f>IF(ISERROR(TER_ander_gas_kWh/1000),0,TER_ander_gas_kWh/1000)*0.902</f>
        <v>489.67505399999999</v>
      </c>
      <c r="E10" s="33">
        <f>$C$30*'E Balans VL '!I14/100/3.6*1000000</f>
        <v>3.7402337290184833</v>
      </c>
      <c r="F10" s="33">
        <f>$C$30*('E Balans VL '!L14+'E Balans VL '!N14)/100/3.6*1000000</f>
        <v>243.77106033771727</v>
      </c>
      <c r="G10" s="34"/>
      <c r="H10" s="33"/>
      <c r="I10" s="33"/>
      <c r="J10" s="33">
        <f>$C$30*('E Balans VL '!D14+'E Balans VL '!E14)/100/3.6*1000000</f>
        <v>0</v>
      </c>
      <c r="K10" s="33"/>
      <c r="L10" s="33"/>
      <c r="M10" s="33"/>
      <c r="N10" s="33">
        <f>$C$30*'E Balans VL '!Y14/100/3.6*1000000</f>
        <v>768.77755611971168</v>
      </c>
      <c r="O10" s="33"/>
      <c r="P10" s="33"/>
      <c r="R10" s="32"/>
    </row>
    <row r="11" spans="1:18">
      <c r="A11" s="32" t="s">
        <v>54</v>
      </c>
      <c r="B11" s="37">
        <f t="shared" si="0"/>
        <v>118.447</v>
      </c>
      <c r="C11" s="33"/>
      <c r="D11" s="37">
        <f>IF(ISERROR(TER_onderwijs_gas_kWh/1000),0,TER_onderwijs_gas_kWh/1000)*0.902</f>
        <v>467.87100799999996</v>
      </c>
      <c r="E11" s="33">
        <f>$C$31*'E Balans VL '!I11/100/3.6*1000000</f>
        <v>8.1878763219492737E-2</v>
      </c>
      <c r="F11" s="33">
        <f>$C$31*('E Balans VL '!L11+'E Balans VL '!N11)/100/3.6*1000000</f>
        <v>31.00598394810384</v>
      </c>
      <c r="G11" s="34"/>
      <c r="H11" s="33"/>
      <c r="I11" s="33"/>
      <c r="J11" s="33">
        <f>$C$31*('E Balans VL '!D11+'E Balans VL '!E11)/100/3.6*1000000</f>
        <v>0</v>
      </c>
      <c r="K11" s="33"/>
      <c r="L11" s="33"/>
      <c r="M11" s="33"/>
      <c r="N11" s="33">
        <f>$C$31*'E Balans VL '!Y11/100/3.6*1000000</f>
        <v>0.11790389997152857</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energieproductie'!N39+'lokale energieproductie'!N32</f>
        <v>39.6</v>
      </c>
      <c r="C13" s="243">
        <f ca="1">'lokale energieproductie'!O39+'lokale energieproductie'!O32</f>
        <v>56.571428571428577</v>
      </c>
      <c r="D13" s="302">
        <f ca="1">('lokale energieproductie'!P32+'lokale energieproductie'!P39)*(-1)</f>
        <v>-113.14285714285715</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9452.1874160000007</v>
      </c>
      <c r="C16" s="21">
        <f t="shared" ca="1" si="1"/>
        <v>56.571428571428577</v>
      </c>
      <c r="D16" s="21">
        <f t="shared" ca="1" si="1"/>
        <v>6279.0253648571434</v>
      </c>
      <c r="E16" s="21">
        <f t="shared" si="1"/>
        <v>97.457033638934675</v>
      </c>
      <c r="F16" s="21">
        <f t="shared" ca="1" si="1"/>
        <v>1377.3409284178033</v>
      </c>
      <c r="G16" s="21">
        <f t="shared" si="1"/>
        <v>0</v>
      </c>
      <c r="H16" s="21">
        <f t="shared" si="1"/>
        <v>0</v>
      </c>
      <c r="I16" s="21">
        <f t="shared" si="1"/>
        <v>0</v>
      </c>
      <c r="J16" s="21">
        <f t="shared" si="1"/>
        <v>0</v>
      </c>
      <c r="K16" s="21">
        <f t="shared" si="1"/>
        <v>0</v>
      </c>
      <c r="L16" s="21">
        <f t="shared" ca="1" si="1"/>
        <v>0</v>
      </c>
      <c r="M16" s="21">
        <f t="shared" si="1"/>
        <v>0</v>
      </c>
      <c r="N16" s="21">
        <f t="shared" ca="1" si="1"/>
        <v>832.37203717009356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0.19721469975424361</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1864.1103032672797</v>
      </c>
      <c r="C20" s="23">
        <f t="shared" ref="C20:P20" ca="1" si="2">C16*C18</f>
        <v>0.45713870092086301</v>
      </c>
      <c r="D20" s="23">
        <f t="shared" ca="1" si="2"/>
        <v>1268.363123701143</v>
      </c>
      <c r="E20" s="23">
        <f t="shared" si="2"/>
        <v>22.122746636038173</v>
      </c>
      <c r="F20" s="23">
        <f t="shared" ca="1" si="2"/>
        <v>367.75002788755353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2781.3710000000001</v>
      </c>
      <c r="C26" s="39">
        <f>IF(ISERROR(B26*3.6/1000000/'E Balans VL '!Z12*100),0,B26*3.6/1000000/'E Balans VL '!Z12*100)</f>
        <v>6.109602960187601E-2</v>
      </c>
      <c r="D26" s="233" t="s">
        <v>676</v>
      </c>
      <c r="F26" s="6"/>
    </row>
    <row r="27" spans="1:18">
      <c r="A27" s="228" t="s">
        <v>52</v>
      </c>
      <c r="B27" s="33">
        <f>IF(ISERROR(TER_horeca_ele_kWh/1000),0,TER_horeca_ele_kWh/1000)</f>
        <v>1059.491</v>
      </c>
      <c r="C27" s="39">
        <f>IF(ISERROR(B27*3.6/1000000/'E Balans VL '!Z9*100),0,B27*3.6/1000000/'E Balans VL '!Z9*100)</f>
        <v>8.5140662981026363E-2</v>
      </c>
      <c r="D27" s="233" t="s">
        <v>676</v>
      </c>
      <c r="F27" s="6"/>
    </row>
    <row r="28" spans="1:18">
      <c r="A28" s="168" t="s">
        <v>51</v>
      </c>
      <c r="B28" s="33">
        <f>IF(ISERROR(TER_handel_ele_kWh/1000),0,TER_handel_ele_kWh/1000)</f>
        <v>3783.9054160000001</v>
      </c>
      <c r="C28" s="39">
        <f>IF(ISERROR(B28*3.6/1000000/'E Balans VL '!Z13*100),0,B28*3.6/1000000/'E Balans VL '!Z13*100)</f>
        <v>0.11188743965929213</v>
      </c>
      <c r="D28" s="233" t="s">
        <v>676</v>
      </c>
      <c r="F28" s="6"/>
    </row>
    <row r="29" spans="1:18">
      <c r="A29" s="228" t="s">
        <v>50</v>
      </c>
      <c r="B29" s="33">
        <f>IF(ISERROR(TER_gezond_ele_kWh/1000),0,TER_gezond_ele_kWh/1000)</f>
        <v>577.98800000000006</v>
      </c>
      <c r="C29" s="39">
        <f>IF(ISERROR(B29*3.6/1000000/'E Balans VL '!Z10*100),0,B29*3.6/1000000/'E Balans VL '!Z10*100)</f>
        <v>6.512432526524714E-2</v>
      </c>
      <c r="D29" s="233" t="s">
        <v>676</v>
      </c>
      <c r="F29" s="6"/>
    </row>
    <row r="30" spans="1:18">
      <c r="A30" s="228" t="s">
        <v>49</v>
      </c>
      <c r="B30" s="33">
        <f>IF(ISERROR(TER_ander_ele_kWh/1000),0,TER_ander_ele_kWh/1000)</f>
        <v>1091.385</v>
      </c>
      <c r="C30" s="39">
        <f>IF(ISERROR(B30*3.6/1000000/'E Balans VL '!Z14*100),0,B30*3.6/1000000/'E Balans VL '!Z14*100)</f>
        <v>8.2539581911613494E-2</v>
      </c>
      <c r="D30" s="233" t="s">
        <v>676</v>
      </c>
      <c r="F30" s="6"/>
    </row>
    <row r="31" spans="1:18">
      <c r="A31" s="228" t="s">
        <v>54</v>
      </c>
      <c r="B31" s="33">
        <f>IF(ISERROR(TER_onderwijs_ele_kWh/1000),0,TER_onderwijs_ele_kWh/1000)</f>
        <v>118.447</v>
      </c>
      <c r="C31" s="39">
        <f>IF(ISERROR(B31*3.6/1000000/'E Balans VL '!Z11*100),0,B31*3.6/1000000/'E Balans VL '!Z11*100)</f>
        <v>2.4586847570937743E-2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38586.775000000001</v>
      </c>
      <c r="C5" s="17">
        <f>IF(ISERROR('Eigen informatie GS &amp; warmtenet'!B59),0,'Eigen informatie GS &amp; warmtenet'!B59)</f>
        <v>0</v>
      </c>
      <c r="D5" s="30">
        <f>SUM(D6:D15)</f>
        <v>42565.890531999998</v>
      </c>
      <c r="E5" s="17">
        <f>SUM(E6:E15)</f>
        <v>7533.4856339376938</v>
      </c>
      <c r="F5" s="17">
        <f>SUM(F6:F15)</f>
        <v>42174.370544828322</v>
      </c>
      <c r="G5" s="18"/>
      <c r="H5" s="17"/>
      <c r="I5" s="17"/>
      <c r="J5" s="17">
        <f>SUM(J6:J15)</f>
        <v>264.23680948158244</v>
      </c>
      <c r="K5" s="17"/>
      <c r="L5" s="17"/>
      <c r="M5" s="17"/>
      <c r="N5" s="17">
        <f>SUM(N6:N15)</f>
        <v>7991.6364640421434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293.94200000000001</v>
      </c>
      <c r="C8" s="33"/>
      <c r="D8" s="37">
        <f>IF( ISERROR(IND_metaal_Gas_kWH/1000),0,IND_metaal_Gas_kWH/1000)*0.902</f>
        <v>201.62045200000003</v>
      </c>
      <c r="E8" s="33">
        <f>C30*'E Balans VL '!I18/100/3.6*1000000</f>
        <v>7.356339485040067</v>
      </c>
      <c r="F8" s="33">
        <f>C30*'E Balans VL '!L18/100/3.6*1000000+C30*'E Balans VL '!N18/100/3.6*1000000</f>
        <v>92.122884942703038</v>
      </c>
      <c r="G8" s="34"/>
      <c r="H8" s="33"/>
      <c r="I8" s="33"/>
      <c r="J8" s="40">
        <f>C30*'E Balans VL '!D18/100/3.6*1000000+C30*'E Balans VL '!E18/100/3.6*1000000</f>
        <v>0</v>
      </c>
      <c r="K8" s="33"/>
      <c r="L8" s="33"/>
      <c r="M8" s="33"/>
      <c r="N8" s="33">
        <f>C30*'E Balans VL '!Y18/100/3.6*1000000</f>
        <v>7.3845858860106848</v>
      </c>
      <c r="O8" s="33"/>
      <c r="P8" s="33"/>
      <c r="R8" s="32"/>
    </row>
    <row r="9" spans="1:18">
      <c r="A9" s="6" t="s">
        <v>32</v>
      </c>
      <c r="B9" s="37">
        <f t="shared" si="0"/>
        <v>26951.25</v>
      </c>
      <c r="C9" s="33"/>
      <c r="D9" s="37">
        <f>IF( ISERROR(IND_andere_gas_kWh/1000),0,IND_andere_gas_kWh/1000)*0.902</f>
        <v>15092.804297999999</v>
      </c>
      <c r="E9" s="33">
        <f>C31*'E Balans VL '!I19/100/3.6*1000000</f>
        <v>7410.488342982916</v>
      </c>
      <c r="F9" s="33">
        <f>C31*'E Balans VL '!L19/100/3.6*1000000+C31*'E Balans VL '!N19/100/3.6*1000000</f>
        <v>21242.274854221967</v>
      </c>
      <c r="G9" s="34"/>
      <c r="H9" s="33"/>
      <c r="I9" s="33"/>
      <c r="J9" s="40">
        <f>C31*'E Balans VL '!D19/100/3.6*1000000+C31*'E Balans VL '!E19/100/3.6*1000000</f>
        <v>0</v>
      </c>
      <c r="K9" s="33"/>
      <c r="L9" s="33"/>
      <c r="M9" s="33"/>
      <c r="N9" s="33">
        <f>C31*'E Balans VL '!Y19/100/3.6*1000000</f>
        <v>2171.2096834776939</v>
      </c>
      <c r="O9" s="33"/>
      <c r="P9" s="33"/>
      <c r="R9" s="32"/>
    </row>
    <row r="10" spans="1:18">
      <c r="A10" s="6" t="s">
        <v>40</v>
      </c>
      <c r="B10" s="37">
        <f t="shared" si="0"/>
        <v>11021.2</v>
      </c>
      <c r="C10" s="33"/>
      <c r="D10" s="37">
        <f>IF( ISERROR(IND_voed_gas_kWh/1000),0,IND_voed_gas_kWh/1000)*0.902</f>
        <v>26913.635166</v>
      </c>
      <c r="E10" s="33">
        <f>C32*'E Balans VL '!I20/100/3.6*1000000</f>
        <v>112.35506238627524</v>
      </c>
      <c r="F10" s="33">
        <f>C32*'E Balans VL '!L20/100/3.6*1000000+C32*'E Balans VL '!N20/100/3.6*1000000</f>
        <v>20818.977869047976</v>
      </c>
      <c r="G10" s="34"/>
      <c r="H10" s="33"/>
      <c r="I10" s="33"/>
      <c r="J10" s="40">
        <f>C32*'E Balans VL '!D20/100/3.6*1000000+C32*'E Balans VL '!E20/100/3.6*1000000</f>
        <v>263.77337752966491</v>
      </c>
      <c r="K10" s="33"/>
      <c r="L10" s="33"/>
      <c r="M10" s="33"/>
      <c r="N10" s="33">
        <f>C32*'E Balans VL '!Y20/100/3.6*1000000</f>
        <v>5809.4418865710304</v>
      </c>
      <c r="O10" s="33"/>
      <c r="P10" s="33"/>
      <c r="R10" s="32"/>
    </row>
    <row r="11" spans="1:18">
      <c r="A11" s="6" t="s">
        <v>39</v>
      </c>
      <c r="B11" s="37">
        <f t="shared" si="0"/>
        <v>97.792000000000002</v>
      </c>
      <c r="C11" s="33"/>
      <c r="D11" s="37">
        <f>IF( ISERROR(IND_textiel_gas_kWh/1000),0,IND_textiel_gas_kWh/1000)*0.902</f>
        <v>89.390906000000001</v>
      </c>
      <c r="E11" s="33">
        <f>C33*'E Balans VL '!I21/100/3.6*1000000</f>
        <v>0.25919664155799854</v>
      </c>
      <c r="F11" s="33">
        <f>C33*'E Balans VL '!L21/100/3.6*1000000+C33*'E Balans VL '!N21/100/3.6*1000000</f>
        <v>4.3674915999597204</v>
      </c>
      <c r="G11" s="34"/>
      <c r="H11" s="33"/>
      <c r="I11" s="33"/>
      <c r="J11" s="40">
        <f>C33*'E Balans VL '!D21/100/3.6*1000000+C33*'E Balans VL '!E21/100/3.6*1000000</f>
        <v>0</v>
      </c>
      <c r="K11" s="33"/>
      <c r="L11" s="33"/>
      <c r="M11" s="33"/>
      <c r="N11" s="33">
        <f>C33*'E Balans VL '!Y21/100/3.6*1000000</f>
        <v>0.92161969416031397</v>
      </c>
      <c r="O11" s="33"/>
      <c r="P11" s="33"/>
      <c r="R11" s="32"/>
    </row>
    <row r="12" spans="1:18">
      <c r="A12" s="6" t="s">
        <v>36</v>
      </c>
      <c r="B12" s="37">
        <f t="shared" si="0"/>
        <v>173.42</v>
      </c>
      <c r="C12" s="33"/>
      <c r="D12" s="37">
        <f>IF( ISERROR(IND_min_gas_kWh/1000),0,IND_min_gas_kWh/1000)*0.902</f>
        <v>0</v>
      </c>
      <c r="E12" s="33">
        <f>C34*'E Balans VL '!I22/100/3.6*1000000</f>
        <v>0.52521073295438159</v>
      </c>
      <c r="F12" s="33">
        <f>C34*'E Balans VL '!L22/100/3.6*1000000+C34*'E Balans VL '!N22/100/3.6*1000000</f>
        <v>5.419524095435329</v>
      </c>
      <c r="G12" s="34"/>
      <c r="H12" s="33"/>
      <c r="I12" s="33"/>
      <c r="J12" s="40">
        <f>C34*'E Balans VL '!D22/100/3.6*1000000+C34*'E Balans VL '!E22/100/3.6*1000000</f>
        <v>0.2571433627437264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49.170999999999999</v>
      </c>
      <c r="C15" s="33"/>
      <c r="D15" s="37">
        <f>IF( ISERROR(IND_rest_gas_kWh/1000),0,IND_rest_gas_kWh/1000)*0.902</f>
        <v>268.43971000000005</v>
      </c>
      <c r="E15" s="33">
        <f>C37*'E Balans VL '!I15/100/3.6*1000000</f>
        <v>2.5014817089497572</v>
      </c>
      <c r="F15" s="33">
        <f>C37*'E Balans VL '!L15/100/3.6*1000000+C37*'E Balans VL '!N15/100/3.6*1000000</f>
        <v>11.20792092027987</v>
      </c>
      <c r="G15" s="34"/>
      <c r="H15" s="33"/>
      <c r="I15" s="33"/>
      <c r="J15" s="40">
        <f>C37*'E Balans VL '!D15/100/3.6*1000000+C37*'E Balans VL '!E15/100/3.6*1000000</f>
        <v>0.20628858917381915</v>
      </c>
      <c r="K15" s="33"/>
      <c r="L15" s="33"/>
      <c r="M15" s="33"/>
      <c r="N15" s="33">
        <f>C37*'E Balans VL '!Y15/100/3.6*1000000</f>
        <v>2.6786884132478233</v>
      </c>
      <c r="O15" s="33"/>
      <c r="P15" s="33"/>
      <c r="R15" s="32"/>
    </row>
    <row r="16" spans="1:18">
      <c r="A16" s="16" t="s">
        <v>481</v>
      </c>
      <c r="B16" s="243">
        <f>'lokale energieproductie'!N38+'lokale energieproductie'!N31</f>
        <v>1125</v>
      </c>
      <c r="C16" s="243">
        <f>'lokale energieproductie'!O38+'lokale energieproductie'!O31</f>
        <v>1607.1428571428571</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-3214.2857142857147</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39711.775000000001</v>
      </c>
      <c r="C18" s="21">
        <f>C5+C16</f>
        <v>1607.1428571428571</v>
      </c>
      <c r="D18" s="21">
        <f>MAX((D5+D16),0)</f>
        <v>42565.890531999998</v>
      </c>
      <c r="E18" s="21">
        <f>MAX((E5+E16),0)</f>
        <v>7533.4856339376938</v>
      </c>
      <c r="F18" s="21">
        <f>MAX((F5+F16),0)</f>
        <v>42174.370544828322</v>
      </c>
      <c r="G18" s="21"/>
      <c r="H18" s="21"/>
      <c r="I18" s="21"/>
      <c r="J18" s="21">
        <f>MAX((J5+J16),0)</f>
        <v>264.23680948158244</v>
      </c>
      <c r="K18" s="21"/>
      <c r="L18" s="21">
        <f>MAX((L5+L16),0)</f>
        <v>0</v>
      </c>
      <c r="M18" s="21"/>
      <c r="N18" s="21">
        <f>MAX((N5+N16),0)</f>
        <v>4777.3507497564287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0.19721469975424361</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7831.7457833330773</v>
      </c>
      <c r="C22" s="23">
        <f ca="1">C18*C20</f>
        <v>12.986894912524516</v>
      </c>
      <c r="D22" s="23">
        <f>D18*D20</f>
        <v>8598.309887464</v>
      </c>
      <c r="E22" s="23">
        <f>E18*E20</f>
        <v>1710.1012389038565</v>
      </c>
      <c r="F22" s="23">
        <f>F18*F20</f>
        <v>11260.556935469163</v>
      </c>
      <c r="G22" s="23"/>
      <c r="H22" s="23"/>
      <c r="I22" s="23"/>
      <c r="J22" s="23">
        <f>J18*J20</f>
        <v>93.539830556480183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293.94200000000001</v>
      </c>
      <c r="C30" s="39">
        <f>IF(ISERROR(B30*3.6/1000000/'E Balans VL '!Z18*100),0,B30*3.6/1000000/'E Balans VL '!Z18*100)</f>
        <v>4.1142084274633631E-2</v>
      </c>
      <c r="D30" s="233" t="s">
        <v>676</v>
      </c>
    </row>
    <row r="31" spans="1:18">
      <c r="A31" s="6" t="s">
        <v>32</v>
      </c>
      <c r="B31" s="37">
        <f>IF( ISERROR(IND_ander_ele_kWh/1000),0,IND_ander_ele_kWh/1000)</f>
        <v>26951.25</v>
      </c>
      <c r="C31" s="39">
        <f>IF(ISERROR(B31*3.6/1000000/'E Balans VL '!Z19*100),0,B31*3.6/1000000/'E Balans VL '!Z19*100)</f>
        <v>1.1796518403860847</v>
      </c>
      <c r="D31" s="233" t="s">
        <v>676</v>
      </c>
    </row>
    <row r="32" spans="1:18">
      <c r="A32" s="168" t="s">
        <v>40</v>
      </c>
      <c r="B32" s="37">
        <f>IF( ISERROR(IND_voed_ele_kWh/1000),0,IND_voed_ele_kWh/1000)</f>
        <v>11021.2</v>
      </c>
      <c r="C32" s="39">
        <f>IF(ISERROR(B32*3.6/1000000/'E Balans VL '!Z20*100),0,B32*3.6/1000000/'E Balans VL '!Z20*100)</f>
        <v>2.7284831240009288</v>
      </c>
      <c r="D32" s="233" t="s">
        <v>676</v>
      </c>
    </row>
    <row r="33" spans="1:5">
      <c r="A33" s="168" t="s">
        <v>39</v>
      </c>
      <c r="B33" s="37">
        <f>IF( ISERROR(IND_textiel_ele_kWh/1000),0,IND_textiel_ele_kWh/1000)</f>
        <v>97.792000000000002</v>
      </c>
      <c r="C33" s="39">
        <f>IF(ISERROR(B33*3.6/1000000/'E Balans VL '!Z21*100),0,B33*3.6/1000000/'E Balans VL '!Z21*100)</f>
        <v>1.1019435778049447E-2</v>
      </c>
      <c r="D33" s="233" t="s">
        <v>676</v>
      </c>
    </row>
    <row r="34" spans="1:5">
      <c r="A34" s="168" t="s">
        <v>36</v>
      </c>
      <c r="B34" s="37">
        <f>IF( ISERROR(IND_min_ele_kWh/1000),0,IND_min_ele_kWh/1000)</f>
        <v>173.42</v>
      </c>
      <c r="C34" s="39">
        <f>IF(ISERROR(B34*3.6/1000000/'E Balans VL '!Z22*100),0,B34*3.6/1000000/'E Balans VL '!Z22*100)</f>
        <v>4.9209520844250391E-3</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49.170999999999999</v>
      </c>
      <c r="C37" s="39">
        <f>IF(ISERROR(B37*3.6/1000000/'E Balans VL '!Z15*100),0,B37*3.6/1000000/'E Balans VL '!Z15*100)</f>
        <v>3.6459454656856193E-4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2568.7028643216081</v>
      </c>
      <c r="C5" s="17">
        <f>'Eigen informatie GS &amp; warmtenet'!B60</f>
        <v>0</v>
      </c>
      <c r="D5" s="30">
        <f>IF(ISERROR(SUM(LB_lb_gas_kWh,LB_rest_gas_kWh)/1000),0,SUM(LB_lb_gas_kWh,LB_rest_gas_kWh)/1000)*0.902</f>
        <v>160.22045599999998</v>
      </c>
      <c r="E5" s="17">
        <f>B17*'E Balans VL '!I25/3.6*1000000/100</f>
        <v>23.792401801002505</v>
      </c>
      <c r="F5" s="17">
        <f>B17*('E Balans VL '!L25/3.6*1000000+'E Balans VL '!N25/3.6*1000000)/100</f>
        <v>6517.2885041774061</v>
      </c>
      <c r="G5" s="18"/>
      <c r="H5" s="17"/>
      <c r="I5" s="17"/>
      <c r="J5" s="17">
        <f>('E Balans VL '!D25+'E Balans VL '!E25)/3.6*1000000*landbouw!B17/100</f>
        <v>393.81081590813517</v>
      </c>
      <c r="K5" s="17"/>
      <c r="L5" s="17">
        <f>L6*(-1)</f>
        <v>0</v>
      </c>
      <c r="M5" s="17"/>
      <c r="N5" s="17">
        <f>N6*(-1)</f>
        <v>0</v>
      </c>
      <c r="O5" s="17"/>
      <c r="P5" s="17"/>
      <c r="R5" s="32"/>
    </row>
    <row r="6" spans="1:18">
      <c r="A6" s="16" t="s">
        <v>481</v>
      </c>
      <c r="B6" s="17" t="s">
        <v>204</v>
      </c>
      <c r="C6" s="17">
        <f>'lokale energieproductie'!O40+'lokale energieproductie'!O33</f>
        <v>0</v>
      </c>
      <c r="D6" s="302">
        <f>('lokale energieproductie'!P33+'lokale energieproductie'!P40)*(-1)</f>
        <v>0</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2568.7028643216081</v>
      </c>
      <c r="C8" s="21">
        <f>C5+C6</f>
        <v>0</v>
      </c>
      <c r="D8" s="21">
        <f>MAX((D5+D6),0)</f>
        <v>160.22045599999998</v>
      </c>
      <c r="E8" s="21">
        <f>MAX((E5+E6),0)</f>
        <v>23.792401801002505</v>
      </c>
      <c r="F8" s="21">
        <f>MAX((F5+F6),0)</f>
        <v>6517.2885041774061</v>
      </c>
      <c r="G8" s="21"/>
      <c r="H8" s="21"/>
      <c r="I8" s="21"/>
      <c r="J8" s="21">
        <f>MAX((J5+J6),0)</f>
        <v>393.81081590813517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0.19721469975424361</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506.58596414505149</v>
      </c>
      <c r="C12" s="23">
        <f ca="1">C8*C10</f>
        <v>0</v>
      </c>
      <c r="D12" s="23">
        <f>D8*D10</f>
        <v>32.364532111999999</v>
      </c>
      <c r="E12" s="23">
        <f>E8*E10</f>
        <v>5.4008752088275687</v>
      </c>
      <c r="F12" s="23">
        <f>F8*F10</f>
        <v>1740.1160306153674</v>
      </c>
      <c r="G12" s="23"/>
      <c r="H12" s="23"/>
      <c r="I12" s="23"/>
      <c r="J12" s="23">
        <f>J8*J10</f>
        <v>139.40902883147984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0.36521508139142633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148.5832403627893</v>
      </c>
      <c r="C26" s="243">
        <f>B26*'GWP N2O_CH4'!B5</f>
        <v>3120.2480476185751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34.063911536129041</v>
      </c>
      <c r="C27" s="243">
        <f>B27*'GWP N2O_CH4'!B5</f>
        <v>715.34214225870983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2.3152357768726577</v>
      </c>
      <c r="C28" s="243">
        <f>B28*'GWP N2O_CH4'!B4</f>
        <v>717.72309083052392</v>
      </c>
      <c r="D28" s="50"/>
    </row>
    <row r="29" spans="1:4">
      <c r="A29" s="41" t="s">
        <v>266</v>
      </c>
      <c r="B29" s="243">
        <f>B34*'ha_N2O bodem landbouw'!B4</f>
        <v>9.2412228580347726</v>
      </c>
      <c r="C29" s="243">
        <f>B29*'GWP N2O_CH4'!B4</f>
        <v>2864.7790859907795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2.0726434815659446E-3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4.1197536454349549E-5</v>
      </c>
      <c r="C5" s="430" t="s">
        <v>204</v>
      </c>
      <c r="D5" s="415">
        <f>SUM(D6:D11)</f>
        <v>6.5733995121197822E-5</v>
      </c>
      <c r="E5" s="415">
        <f>SUM(E6:E11)</f>
        <v>6.3966814319572278E-4</v>
      </c>
      <c r="F5" s="428" t="s">
        <v>204</v>
      </c>
      <c r="G5" s="415">
        <f>SUM(G6:G11)</f>
        <v>0.2011253157053445</v>
      </c>
      <c r="H5" s="415">
        <f>SUM(H6:H11)</f>
        <v>3.7888688967185641E-2</v>
      </c>
      <c r="I5" s="430" t="s">
        <v>204</v>
      </c>
      <c r="J5" s="430" t="s">
        <v>204</v>
      </c>
      <c r="K5" s="430" t="s">
        <v>204</v>
      </c>
      <c r="L5" s="430" t="s">
        <v>204</v>
      </c>
      <c r="M5" s="415">
        <f>SUM(M6:M11)</f>
        <v>1.2816386471401077E-2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3.2223987573804092E-5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4.8669115508265676E-5</v>
      </c>
      <c r="E6" s="858">
        <f>vkm_GW_PW*SUMIFS(TableVerdeelsleutelVkm[LPG],TableVerdeelsleutelVkm[Voertuigtype],"Lichte voertuigen")*SUMIFS(TableECFTransport[EnergieConsumptieFactor (PJ per km)],TableECFTransport[Index],CONCATENATE($A6,"_LPG_LPG"))</f>
        <v>4.793669177822179E-4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0.10966908071371814</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2.8301504605857564E-2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7.2215780418303501E-3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1.4392227040683665E-6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5.5237966915738325E-2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1.0444631524749232E-6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3.2025716253083463E-3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7.4901042939245931E-6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1.7064879612932139E-5</v>
      </c>
      <c r="E8" s="418">
        <f>vkm_NGW_PW*SUMIFS(TableVerdeelsleutelVkm[LPG],TableVerdeelsleutelVkm[Voertuigtype],"Lichte voertuigen")*SUMIFS(TableECFTransport[EnergieConsumptieFactor (PJ per km)],TableECFTransport[Index],CONCATENATE($A8,"_LPG_LPG"))</f>
        <v>1.6030122541350493E-4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3.4037611587719029E-2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9.5861011618168148E-3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2.2658073794080639E-3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4.4221882552493465E-8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2.1806564881690182E-3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3.8736358790711661E-8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1.2642942485431702E-4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11.443760126208208</v>
      </c>
      <c r="C14" s="21"/>
      <c r="D14" s="21">
        <f t="shared" ref="D14:M14" si="0">((D5)*10^9/3600)+D12</f>
        <v>18.259443089221616</v>
      </c>
      <c r="E14" s="21">
        <f t="shared" si="0"/>
        <v>177.68559533214523</v>
      </c>
      <c r="F14" s="21"/>
      <c r="G14" s="21">
        <f t="shared" si="0"/>
        <v>55868.14325148458</v>
      </c>
      <c r="H14" s="21">
        <f t="shared" si="0"/>
        <v>10524.635824218232</v>
      </c>
      <c r="I14" s="21"/>
      <c r="J14" s="21"/>
      <c r="K14" s="21"/>
      <c r="L14" s="21"/>
      <c r="M14" s="21">
        <f t="shared" si="0"/>
        <v>3560.1073531669658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0.19721469975424361</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2.2568777173497367</v>
      </c>
      <c r="C18" s="23"/>
      <c r="D18" s="23">
        <f t="shared" ref="D18:M18" si="1">D14*D16</f>
        <v>3.6884075040227668</v>
      </c>
      <c r="E18" s="23">
        <f t="shared" si="1"/>
        <v>40.334630140396968</v>
      </c>
      <c r="F18" s="23"/>
      <c r="G18" s="23">
        <f t="shared" si="1"/>
        <v>14916.794248146383</v>
      </c>
      <c r="H18" s="23">
        <f t="shared" si="1"/>
        <v>2620.6343202303397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1.4140105274139219E-5</v>
      </c>
      <c r="C50" s="313">
        <f t="shared" ref="C50:P50" si="2">SUM(C51:C52)</f>
        <v>0</v>
      </c>
      <c r="D50" s="313">
        <f t="shared" si="2"/>
        <v>0</v>
      </c>
      <c r="E50" s="313">
        <f t="shared" si="2"/>
        <v>0</v>
      </c>
      <c r="F50" s="313">
        <f t="shared" si="2"/>
        <v>0</v>
      </c>
      <c r="G50" s="313">
        <f t="shared" si="2"/>
        <v>2.6793633714877452E-3</v>
      </c>
      <c r="H50" s="313">
        <f t="shared" si="2"/>
        <v>0</v>
      </c>
      <c r="I50" s="313">
        <f t="shared" si="2"/>
        <v>0</v>
      </c>
      <c r="J50" s="313">
        <f t="shared" si="2"/>
        <v>0</v>
      </c>
      <c r="K50" s="313">
        <f t="shared" si="2"/>
        <v>0</v>
      </c>
      <c r="L50" s="313">
        <f t="shared" si="2"/>
        <v>0</v>
      </c>
      <c r="M50" s="313">
        <f t="shared" si="2"/>
        <v>1.542456870770607E-4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1.4140105274139219E-5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2.6793633714877452E-3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1.542456870770607E-4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3.9278070205942277</v>
      </c>
      <c r="C54" s="21">
        <f t="shared" ref="C54:P54" si="3">(C50)*10^9/3600</f>
        <v>0</v>
      </c>
      <c r="D54" s="21">
        <f t="shared" si="3"/>
        <v>0</v>
      </c>
      <c r="E54" s="21">
        <f t="shared" si="3"/>
        <v>0</v>
      </c>
      <c r="F54" s="21">
        <f t="shared" si="3"/>
        <v>0</v>
      </c>
      <c r="G54" s="21">
        <f t="shared" si="3"/>
        <v>744.26760319104028</v>
      </c>
      <c r="H54" s="21">
        <f t="shared" si="3"/>
        <v>0</v>
      </c>
      <c r="I54" s="21">
        <f t="shared" si="3"/>
        <v>0</v>
      </c>
      <c r="J54" s="21">
        <f t="shared" si="3"/>
        <v>0</v>
      </c>
      <c r="K54" s="21">
        <f t="shared" si="3"/>
        <v>0</v>
      </c>
      <c r="L54" s="21">
        <f t="shared" si="3"/>
        <v>0</v>
      </c>
      <c r="M54" s="21">
        <f t="shared" si="3"/>
        <v>42.846024188072413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0.19721469975424361</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0.77462128225910076</v>
      </c>
      <c r="C58" s="23">
        <f t="shared" ref="C58:P58" ca="1" si="4">C54*C56</f>
        <v>0</v>
      </c>
      <c r="D58" s="23">
        <f t="shared" si="4"/>
        <v>0</v>
      </c>
      <c r="E58" s="23">
        <f t="shared" si="4"/>
        <v>0</v>
      </c>
      <c r="F58" s="23">
        <f t="shared" si="4"/>
        <v>0</v>
      </c>
      <c r="G58" s="23">
        <f t="shared" si="4"/>
        <v>198.71945005200777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6808.0416764884976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1164.5999999999999</v>
      </c>
      <c r="C8" s="537">
        <f>B49</f>
        <v>46.588235294117652</v>
      </c>
      <c r="D8" s="1014"/>
      <c r="E8" s="1014">
        <f>E49</f>
        <v>0</v>
      </c>
      <c r="F8" s="1015"/>
      <c r="G8" s="538"/>
      <c r="H8" s="1014">
        <f>I49</f>
        <v>0</v>
      </c>
      <c r="I8" s="1014">
        <f>G49+F49</f>
        <v>0</v>
      </c>
      <c r="J8" s="1014">
        <f>H49+D49+C49</f>
        <v>1323.5294117647061</v>
      </c>
      <c r="K8" s="1014"/>
      <c r="L8" s="1014"/>
      <c r="M8" s="1014"/>
      <c r="N8" s="539"/>
      <c r="O8" s="540">
        <f>C8*$C$12+D8*$D$12+E8*$E$12+F8*$F$12+G8*$G$12+H8*$H$12+I8*$I$12+J8*$J$12</f>
        <v>9.4108235294117666</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7972.641676488498</v>
      </c>
      <c r="C10" s="550">
        <f t="shared" ref="C10:L10" si="0">SUM(C8:C9)</f>
        <v>46.588235294117652</v>
      </c>
      <c r="D10" s="550">
        <f t="shared" si="0"/>
        <v>0</v>
      </c>
      <c r="E10" s="550">
        <f t="shared" si="0"/>
        <v>0</v>
      </c>
      <c r="F10" s="550">
        <f t="shared" si="0"/>
        <v>0</v>
      </c>
      <c r="G10" s="550">
        <f t="shared" si="0"/>
        <v>0</v>
      </c>
      <c r="H10" s="550">
        <f t="shared" si="0"/>
        <v>0</v>
      </c>
      <c r="I10" s="550">
        <f t="shared" si="0"/>
        <v>0</v>
      </c>
      <c r="J10" s="550">
        <f t="shared" si="0"/>
        <v>1323.5294117647061</v>
      </c>
      <c r="K10" s="550">
        <f t="shared" si="0"/>
        <v>0</v>
      </c>
      <c r="L10" s="550">
        <f t="shared" si="0"/>
        <v>0</v>
      </c>
      <c r="M10" s="1017"/>
      <c r="N10" s="1017"/>
      <c r="O10" s="551">
        <f>SUM(O4:O9)</f>
        <v>9.4108235294117666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1663.7142857142858</v>
      </c>
      <c r="C17" s="562">
        <f>B50</f>
        <v>66.554621848739501</v>
      </c>
      <c r="D17" s="563"/>
      <c r="E17" s="563">
        <f>E50</f>
        <v>0</v>
      </c>
      <c r="F17" s="1020"/>
      <c r="G17" s="564"/>
      <c r="H17" s="562">
        <f>I50</f>
        <v>0</v>
      </c>
      <c r="I17" s="563">
        <f>G50+F50</f>
        <v>0</v>
      </c>
      <c r="J17" s="563">
        <f>H50+D50+C50</f>
        <v>1890.7563025210086</v>
      </c>
      <c r="K17" s="563"/>
      <c r="L17" s="563"/>
      <c r="M17" s="563"/>
      <c r="N17" s="1021"/>
      <c r="O17" s="565">
        <f>C17*$C$22+E17*$E$22+H17*$H$22+I17*$I$22+J17*$J$22+D17*$D$22+F17*$F$22+G17*$G$22+K17*$K$22+L17*$L$22</f>
        <v>13.444033613445381</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1663.7142857142858</v>
      </c>
      <c r="C20" s="549">
        <f>SUM(C17:C19)</f>
        <v>66.554621848739501</v>
      </c>
      <c r="D20" s="549">
        <f t="shared" ref="D20:L20" si="1">SUM(D17:D19)</f>
        <v>0</v>
      </c>
      <c r="E20" s="549">
        <f t="shared" si="1"/>
        <v>0</v>
      </c>
      <c r="F20" s="549">
        <f t="shared" si="1"/>
        <v>0</v>
      </c>
      <c r="G20" s="549">
        <f t="shared" si="1"/>
        <v>0</v>
      </c>
      <c r="H20" s="549">
        <f t="shared" si="1"/>
        <v>0</v>
      </c>
      <c r="I20" s="549">
        <f t="shared" si="1"/>
        <v>0</v>
      </c>
      <c r="J20" s="549">
        <f t="shared" si="1"/>
        <v>1890.7563025210086</v>
      </c>
      <c r="K20" s="549">
        <f t="shared" si="1"/>
        <v>0</v>
      </c>
      <c r="L20" s="549">
        <f t="shared" si="1"/>
        <v>0</v>
      </c>
      <c r="M20" s="549"/>
      <c r="N20" s="549"/>
      <c r="O20" s="568">
        <f>SUM(O17:O19)</f>
        <v>13.444033613445381</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73001</v>
      </c>
      <c r="C28" s="763">
        <v>3570</v>
      </c>
      <c r="D28" s="620"/>
      <c r="E28" s="619"/>
      <c r="F28" s="619"/>
      <c r="G28" s="619" t="s">
        <v>922</v>
      </c>
      <c r="H28" s="619" t="s">
        <v>923</v>
      </c>
      <c r="I28" s="619"/>
      <c r="J28" s="762"/>
      <c r="K28" s="762"/>
      <c r="L28" s="619" t="s">
        <v>924</v>
      </c>
      <c r="M28" s="619">
        <v>250</v>
      </c>
      <c r="N28" s="619">
        <v>1125</v>
      </c>
      <c r="O28" s="619">
        <v>1607.1428571428571</v>
      </c>
      <c r="P28" s="619">
        <v>0</v>
      </c>
      <c r="Q28" s="619">
        <v>3214.2857142857147</v>
      </c>
      <c r="R28" s="619">
        <v>0</v>
      </c>
      <c r="S28" s="619">
        <v>0</v>
      </c>
      <c r="T28" s="619">
        <v>0</v>
      </c>
      <c r="U28" s="619">
        <v>0</v>
      </c>
      <c r="V28" s="619">
        <v>0</v>
      </c>
      <c r="W28" s="619">
        <v>0</v>
      </c>
      <c r="X28" s="619">
        <v>500</v>
      </c>
      <c r="Y28" s="619" t="s">
        <v>40</v>
      </c>
      <c r="Z28" s="621" t="s">
        <v>376</v>
      </c>
    </row>
    <row r="29" spans="1:26" s="573" customFormat="1" ht="25.5" hidden="1">
      <c r="A29" s="572"/>
      <c r="B29" s="763">
        <v>73001</v>
      </c>
      <c r="C29" s="763">
        <v>3570</v>
      </c>
      <c r="D29" s="620"/>
      <c r="E29" s="619"/>
      <c r="F29" s="619"/>
      <c r="G29" s="619" t="s">
        <v>922</v>
      </c>
      <c r="H29" s="619" t="s">
        <v>923</v>
      </c>
      <c r="I29" s="619"/>
      <c r="J29" s="762"/>
      <c r="K29" s="762"/>
      <c r="L29" s="619" t="s">
        <v>924</v>
      </c>
      <c r="M29" s="619">
        <v>8.8000000000000007</v>
      </c>
      <c r="N29" s="619">
        <v>39.6</v>
      </c>
      <c r="O29" s="619">
        <v>56.571428571428577</v>
      </c>
      <c r="P29" s="619">
        <v>113.14285714285715</v>
      </c>
      <c r="Q29" s="619">
        <v>0</v>
      </c>
      <c r="R29" s="619">
        <v>0</v>
      </c>
      <c r="S29" s="619">
        <v>0</v>
      </c>
      <c r="T29" s="619">
        <v>0</v>
      </c>
      <c r="U29" s="619">
        <v>0</v>
      </c>
      <c r="V29" s="619">
        <v>0</v>
      </c>
      <c r="W29" s="619">
        <v>0</v>
      </c>
      <c r="X29" s="619">
        <v>1300</v>
      </c>
      <c r="Y29" s="619" t="s">
        <v>53</v>
      </c>
      <c r="Z29" s="621" t="s">
        <v>149</v>
      </c>
    </row>
    <row r="30" spans="1:26" s="557" customFormat="1" hidden="1">
      <c r="A30" s="575" t="s">
        <v>269</v>
      </c>
      <c r="B30" s="576"/>
      <c r="C30" s="576"/>
      <c r="D30" s="576"/>
      <c r="E30" s="576"/>
      <c r="F30" s="576"/>
      <c r="G30" s="576"/>
      <c r="H30" s="576"/>
      <c r="I30" s="576"/>
      <c r="J30" s="576"/>
      <c r="K30" s="576"/>
      <c r="L30" s="577"/>
      <c r="M30" s="577">
        <f>SUM(M28:M29)</f>
        <v>258.8</v>
      </c>
      <c r="N30" s="577">
        <f>SUM(N28:N29)</f>
        <v>1164.5999999999999</v>
      </c>
      <c r="O30" s="577">
        <f>SUM(O28:O29)</f>
        <v>1663.7142857142858</v>
      </c>
      <c r="P30" s="577">
        <f>SUM(P28:P29)</f>
        <v>113.14285714285715</v>
      </c>
      <c r="Q30" s="577">
        <f>SUM(Q28:Q29)</f>
        <v>3214.2857142857147</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250</v>
      </c>
      <c r="N31" s="577">
        <f>SUMIF($Z$28:$Z$29,"industrie",N28:N29)</f>
        <v>1125</v>
      </c>
      <c r="O31" s="577">
        <f>SUMIF($Z$28:$Z$29,"industrie",O28:O29)</f>
        <v>1607.1428571428571</v>
      </c>
      <c r="P31" s="577">
        <f>SUMIF($Z$28:$Z$29,"industrie",P28:P29)</f>
        <v>0</v>
      </c>
      <c r="Q31" s="577">
        <f>SUMIF($Z$28:$Z$29,"industrie",Q28:Q29)</f>
        <v>3214.2857142857147</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8.8000000000000007</v>
      </c>
      <c r="N32" s="577">
        <f ca="1">SUMIF($Z$28:AD29,"tertiair",N28:N29)</f>
        <v>39.6</v>
      </c>
      <c r="O32" s="577">
        <f ca="1">SUMIF($Z$28:AE29,"tertiair",O28:O29)</f>
        <v>56.571428571428577</v>
      </c>
      <c r="P32" s="577">
        <f ca="1">SUMIF($Z$28:AF29,"tertiair",P28:P29)</f>
        <v>113.14285714285715</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0</v>
      </c>
      <c r="N33" s="582">
        <f>SUMIF($Z$28:$Z$29,"landbouw",N28:N29)</f>
        <v>0</v>
      </c>
      <c r="O33" s="582">
        <f>SUMIF($Z$28:$Z$29,"landbouw",O28:O29)</f>
        <v>0</v>
      </c>
      <c r="P33" s="582">
        <f>SUMIF($Z$28:$Z$29,"landbouw",P28:P29)</f>
        <v>0</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46.588235294117652</v>
      </c>
      <c r="C49" s="611">
        <f t="shared" si="2"/>
        <v>1323.5294117647061</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66.554621848739501</v>
      </c>
      <c r="C50" s="614">
        <f t="shared" si="3"/>
        <v>1890.7563025210086</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2021-11-11T13:17:06Z</dcterms:modified>
</cp:coreProperties>
</file>