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5FDF2BE-6A16-493D-85DD-C6A44DAFF5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<sst xmlns="http://schemas.openxmlformats.org/spreadsheetml/2006/main" count="2506" uniqueCount="924">
  <si>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</si>
  <si>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</si>
  <si>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</si>
  <si>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</si>
  <si>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</si>
  <si>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</si>
  <si>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</si>
  <si>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</si>
  <si>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</si>
  <si>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</si>
  <si>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</si>
  <si>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</si>
  <si>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</si>
  <si>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</si>
  <si>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</si>
  <si>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</si>
  <si>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</si>
  <si>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</si>
  <si>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</si>
  <si>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</si>
  <si>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</si>
  <si>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</si>
  <si>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</si>
  <si>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</si>
  <si>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</si>
  <si>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</si>
  <si>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</si>
  <si>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</si>
  <si>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</si>
  <si>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</si>
  <si>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</si>
  <si>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</si>
  <si>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</si>
  <si>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</si>
  <si>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</si>
  <si>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</si>
  <si>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</si>
  <si>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</si>
  <si>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</si>
  <si>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</si>
  <si>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</si>
  <si>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</si>
  <si>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</si>
  <si>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</si>
  <si>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</si>
  <si>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</si>
  <si>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</si>
  <si>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</si>
  <si>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</si>
  <si>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</si>
  <si>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</si>
  <si>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</si>
  <si>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</si>
  <si>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</si>
  <si>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</si>
  <si>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</si>
  <si>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</si>
  <si>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</si>
  <si>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</si>
  <si>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</si>
  <si>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</si>
  <si>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</si>
  <si>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</si>
  <si>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</si>
  <si>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</si>
  <si>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</si>
  <si>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</si>
  <si>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</si>
  <si>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</si>
  <si>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</si>
  <si>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</si>
  <si>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</si>
  <si>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</si>
  <si>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</si>
  <si>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</si>
  <si>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</si>
  <si>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</si>
  <si>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</si>
  <si>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</si>
  <si>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</si>
  <si>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</si>
  <si>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</si>
  <si>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</si>
  <si>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</si>
  <si>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</si>
  <si>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</si>
  <si>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</si>
  <si>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</si>
  <si>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</si>
  <si>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</si>
  <si>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</si>
  <si>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</si>
  <si>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</si>
  <si>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</si>
  <si>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</si>
  <si>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</si>
  <si>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</si>
  <si>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</si>
  <si>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</si>
  <si>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</si>
  <si>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</si>
  <si>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</si>
  <si>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</si>
  <si>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</si>
  <si>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</si>
  <si>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</si>
  <si>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</si>
  <si>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</si>
  <si>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</si>
  <si>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</si>
  <si>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</si>
  <si>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</si>
  <si>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</si>
  <si>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</si>
  <si>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</si>
  <si>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</si>
  <si>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</si>
  <si>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</si>
  <si>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</si>
  <si>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</si>
  <si>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</si>
  <si>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</si>
  <si>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</si>
  <si>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</si>
  <si>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</si>
  <si>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</si>
  <si>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</si>
  <si>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</si>
  <si>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</si>
  <si>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</si>
  <si>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</si>
  <si>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</si>
  <si>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</si>
  <si>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</si>
  <si>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</si>
  <si>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</si>
  <si>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</si>
  <si>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</si>
  <si>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</si>
  <si>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</si>
  <si>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</si>
  <si>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</si>
  <si>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</si>
  <si>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</si>
  <si>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</si>
  <si>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</si>
  <si>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</si>
  <si>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</si>
  <si>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</si>
  <si>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</si>
  <si>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</si>
  <si>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</si>
  <si>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</si>
  <si>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</si>
  <si>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</si>
  <si>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</si>
  <si>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</si>
  <si>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</si>
  <si>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</si>
  <si>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</si>
  <si>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</si>
  <si>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</si>
  <si>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</si>
  <si>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</si>
  <si>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</si>
  <si>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</si>
  <si>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</si>
  <si>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</si>
  <si>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</si>
  <si>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</si>
  <si>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</si>
  <si>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</si>
  <si>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</si>
  <si>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</si>
  <si>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</si>
  <si>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</si>
  <si>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</si>
  <si>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</si>
  <si>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</si>
  <si>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</si>
  <si>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</si>
  <si>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</si>
  <si>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</si>
  <si>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</si>
  <si>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</si>
  <si>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</si>
  <si>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</si>
  <si>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</si>
  <si>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</si>
  <si>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</si>
  <si>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</si>
  <si>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</si>
  <si>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</si>
  <si>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</si>
  <si>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</si>
  <si>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</si>
  <si>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</si>
  <si>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</si>
  <si>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</si>
  <si>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</si>
  <si>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</si>
  <si>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</si>
  <si>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</si>
  <si>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</si>
  <si>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</si>
  <si>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</si>
  <si>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</si>
  <si>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</si>
  <si>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</si>
  <si>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</si>
  <si>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</si>
  <si>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</si>
  <si>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</si>
  <si>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</si>
  <si>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</si>
  <si>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</si>
  <si>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</si>
  <si>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</si>
  <si>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</si>
  <si>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</si>
  <si>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</si>
  <si>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</si>
  <si>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</si>
  <si>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</si>
  <si>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</si>
  <si>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</si>
  <si>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</si>
  <si>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</si>
  <si>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</si>
  <si>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</si>
  <si>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</si>
  <si>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</si>
  <si>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</si>
  <si>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</si>
  <si>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</si>
  <si>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</si>
  <si>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</si>
  <si>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</si>
  <si>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</si>
  <si>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</si>
  <si>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</si>
  <si>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</si>
  <si>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</si>
  <si>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</si>
  <si>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</si>
  <si>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</si>
  <si>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</si>
  <si>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</si>
  <si>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</si>
  <si>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</si>
  <si>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</si>
  <si>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</si>
  <si>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</si>
  <si>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</si>
  <si>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</si>
  <si>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</si>
  <si>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</si>
  <si>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</si>
  <si>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</si>
  <si>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</si>
  <si>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</si>
  <si>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</si>
  <si>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</si>
  <si>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</si>
  <si>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</si>
  <si>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</si>
  <si>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</si>
  <si>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</si>
  <si>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</si>
  <si>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</si>
  <si>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</si>
  <si>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</si>
  <si>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</si>
  <si>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</si>
  <si>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</si>
  <si>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</si>
  <si>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</si>
  <si>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</si>
  <si>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</si>
  <si>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</si>
  <si>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</si>
  <si>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</si>
  <si>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</si>
  <si>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</si>
  <si>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</si>
  <si>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</si>
  <si>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</si>
  <si>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</si>
  <si>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</si>
  <si>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</si>
  <si>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</si>
  <si>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</si>
  <si>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</si>
  <si>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</si>
  <si>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</si>
  <si>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</si>
  <si>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</si>
  <si>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</si>
  <si>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</si>
  <si>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</si>
  <si>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</si>
  <si>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</si>
  <si>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</si>
  <si>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</si>
  <si>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</si>
  <si>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</si>
  <si>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</si>
  <si>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</si>
  <si>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</si>
  <si>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</si>
  <si>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</si>
  <si>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</si>
  <si>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</si>
  <si>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</si>
  <si>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</si>
  <si>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</si>
  <si>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</si>
  <si>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</si>
  <si>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</si>
  <si>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</si>
  <si>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</si>
  <si>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</si>
  <si>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</si>
  <si>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</si>
  <si>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</si>
  <si>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</si>
  <si>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</si>
  <si>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</si>
  <si>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</si>
  <si>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</si>
  <si>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</si>
  <si>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</si>
  <si>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</si>
  <si>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</si>
  <si>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</si>
  <si>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</si>
  <si>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</si>
  <si>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</si>
  <si>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</si>
  <si>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</si>
  <si>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</si>
  <si>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</si>
  <si>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</si>
  <si>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</si>
  <si>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</si>
  <si>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</si>
  <si>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</si>
  <si>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</si>
  <si>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</si>
  <si>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</si>
  <si>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</si>
  <si>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</si>
  <si>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</si>
  <si>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</si>
  <si>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</si>
  <si>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</si>
  <si>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</si>
  <si>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</si>
  <si>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</si>
  <si>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</si>
  <si>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</si>
  <si>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</si>
  <si>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</si>
  <si>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</si>
  <si>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</si>
  <si>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</si>
  <si>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</si>
  <si>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</si>
  <si>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</si>
  <si>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</si>
  <si>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</si>
  <si>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</si>
  <si>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</si>
  <si>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</si>
  <si>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</si>
  <si>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</si>
  <si>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</si>
  <si>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</si>
  <si>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</si>
  <si>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</si>
  <si>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</si>
  <si>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</si>
  <si>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</si>
  <si>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</si>
  <si>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</si>
  <si>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</si>
  <si>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</si>
  <si>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</si>
  <si>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</si>
  <si>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</si>
  <si>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</si>
  <si>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</si>
  <si>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</si>
  <si>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</si>
  <si>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</si>
  <si>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</si>
  <si>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</si>
  <si>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</si>
  <si>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</si>
  <si>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</si>
  <si>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</si>
  <si>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</si>
  <si>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</si>
  <si>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</si>
  <si>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</si>
  <si>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</si>
  <si>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</si>
  <si>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</si>
  <si>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</si>
  <si>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</si>
  <si>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</si>
  <si>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</si>
  <si>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</si>
  <si>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</si>
  <si>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</si>
  <si>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</si>
  <si>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</si>
  <si>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</si>
  <si>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</si>
  <si>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</si>
  <si>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</si>
  <si>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</si>
  <si>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</si>
  <si>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</si>
  <si>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</si>
  <si>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</si>
  <si>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</si>
  <si>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</si>
  <si>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</si>
  <si>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</si>
  <si>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</si>
  <si>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</si>
  <si>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</si>
  <si>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</si>
  <si>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</si>
  <si>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</si>
  <si>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</si>
  <si>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</si>
  <si>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</si>
  <si>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</si>
  <si>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</si>
  <si>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</si>
  <si>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</si>
  <si>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</si>
  <si>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</si>
  <si>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</si>
  <si>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</si>
  <si>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</si>
  <si>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</si>
  <si>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</si>
  <si>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</si>
  <si>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</si>
  <si>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</si>
  <si>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</si>
  <si>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</si>
  <si>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</si>
  <si>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</si>
  <si>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</si>
  <si>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</si>
  <si>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</si>
  <si>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</si>
  <si>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</si>
  <si>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</si>
  <si>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</si>
  <si>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</si>
  <si>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</si>
  <si>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</si>
  <si>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</si>
  <si>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</si>
  <si>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</si>
  <si>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</si>
  <si>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</si>
  <si>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</si>
  <si>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</si>
  <si>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</si>
  <si>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</si>
  <si>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</si>
  <si>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</si>
  <si>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</si>
  <si>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</si>
  <si>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</si>
  <si>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</si>
  <si>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</si>
  <si>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</si>
  <si>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</si>
  <si>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</si>
  <si>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</si>
  <si>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</si>
  <si>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</si>
  <si>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</si>
  <si>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</si>
  <si>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</si>
  <si>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</si>
  <si>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</si>
  <si>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</si>
  <si>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</si>
  <si>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</si>
  <si>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</si>
  <si>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</si>
  <si>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</si>
  <si>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</si>
  <si>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</si>
  <si>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</si>
  <si>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</si>
  <si>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</si>
  <si>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</si>
  <si>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</si>
  <si>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</si>
  <si>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</si>
  <si>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</si>
  <si>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</si>
  <si>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</si>
  <si>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</si>
  <si>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</si>
  <si>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</si>
  <si>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</si>
  <si>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</si>
  <si>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</si>
  <si>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</si>
  <si>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</si>
  <si>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</si>
  <si>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</si>
  <si>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</si>
  <si>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</si>
  <si>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</si>
  <si>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</si>
  <si>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</si>
  <si>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</si>
  <si>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</si>
  <si>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</si>
  <si>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</si>
  <si>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</si>
  <si>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</si>
  <si>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</si>
  <si>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</si>
  <si>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</si>
  <si>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</si>
  <si>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</si>
  <si>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</si>
  <si>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</si>
  <si>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</si>
  <si>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</si>
  <si>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</si>
  <si>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</si>
  <si>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</si>
  <si>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</si>
  <si>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</si>
  <si>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</si>
  <si>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</si>
  <si>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</si>
  <si>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</si>
  <si>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</si>
  <si>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</si>
  <si>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</si>
  <si>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</si>
  <si>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</si>
  <si>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</si>
  <si>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</si>
  <si>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</si>
  <si>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</si>
  <si>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</si>
  <si>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</si>
  <si>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</si>
  <si>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</si>
  <si>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</si>
  <si>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</si>
  <si>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</si>
  <si>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</si>
  <si>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</si>
  <si>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</si>
  <si>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</si>
  <si>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</si>
  <si>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</si>
  <si>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</si>
  <si>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</si>
  <si>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</si>
  <si>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</si>
  <si>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</si>
  <si>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</si>
  <si>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</si>
  <si>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</si>
  <si>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</si>
  <si>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</si>
  <si>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</si>
  <si>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</si>
  <si>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</si>
  <si>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</si>
  <si>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</si>
  <si>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</si>
  <si>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</si>
  <si>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</si>
  <si>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</si>
  <si>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</si>
  <si>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</si>
  <si>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</si>
  <si>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</si>
  <si>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</si>
  <si>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</si>
  <si>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</si>
  <si>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</si>
  <si>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</si>
  <si>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</si>
  <si>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</si>
  <si>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</si>
  <si>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</si>
  <si>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</si>
  <si>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</si>
  <si>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</si>
  <si>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</si>
  <si>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</si>
  <si>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</si>
  <si>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</si>
  <si>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</si>
  <si>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</si>
  <si>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</si>
  <si>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</si>
  <si>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</si>
  <si>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</si>
  <si>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</si>
  <si>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</si>
  <si>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</si>
  <si>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</si>
  <si>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</si>
  <si>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</si>
  <si>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</si>
  <si>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</si>
  <si>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</si>
  <si>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</si>
  <si>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</si>
  <si>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</si>
  <si>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</si>
  <si>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</si>
  <si>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</si>
  <si>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</si>
  <si>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</si>
  <si>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</si>
  <si>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</si>
  <si>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</si>
  <si>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</si>
  <si>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</si>
  <si>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</si>
  <si>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</si>
  <si>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</si>
  <si>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</si>
  <si>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</si>
  <si>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</si>
  <si>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</si>
  <si>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</si>
  <si>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</si>
  <si>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</si>
  <si>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</si>
  <si>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</si>
  <si>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</si>
  <si>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</si>
  <si>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</si>
  <si>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</si>
  <si>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</si>
  <si>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</si>
  <si>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</si>
  <si>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</si>
  <si>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</si>
  <si>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</si>
  <si>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</si>
  <si>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</si>
  <si>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</si>
  <si>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</si>
  <si>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</si>
  <si>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</si>
  <si>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</si>
  <si>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</si>
  <si>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</si>
  <si>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</si>
  <si>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</si>
  <si>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</si>
  <si>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</si>
  <si>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</si>
  <si>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</si>
  <si>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</si>
  <si>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</si>
  <si>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</si>
  <si>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</si>
  <si>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</si>
  <si>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</si>
  <si>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</si>
  <si>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</si>
  <si>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</si>
  <si>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</si>
  <si>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</si>
  <si>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</si>
  <si>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</si>
  <si>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</si>
  <si>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</si>
  <si>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</si>
  <si>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</si>
  <si>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</si>
  <si>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</si>
  <si>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</si>
  <si>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</si>
  <si>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</si>
  <si>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</si>
  <si>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</si>
  <si>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</si>
  <si>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</si>
  <si>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</si>
  <si>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</si>
  <si>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</si>
  <si>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</si>
  <si>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</si>
  <si>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</si>
  <si>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</si>
  <si>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</si>
  <si>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</si>
  <si>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</si>
  <si>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</si>
  <si>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</si>
  <si>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</si>
  <si>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</si>
  <si>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</si>
  <si>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</si>
  <si>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</si>
  <si>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</si>
  <si>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</si>
  <si>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</si>
  <si>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</si>
  <si>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</si>
  <si>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</si>
  <si>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</si>
  <si>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</si>
  <si>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</si>
  <si>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</si>
  <si>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</si>
  <si>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</si>
  <si>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</si>
  <si>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</si>
  <si>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</si>
  <si>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</si>
  <si>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</si>
  <si>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</si>
  <si>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</si>
  <si>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</si>
  <si>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</si>
  <si>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</si>
  <si>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</si>
  <si>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</si>
  <si>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</si>
  <si>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</si>
  <si>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</si>
  <si>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</si>
  <si>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</si>
  <si>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</si>
  <si>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</si>
  <si>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</si>
  <si>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</si>
  <si>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</si>
  <si>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</si>
  <si>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</si>
  <si>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</si>
  <si>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</si>
  <si>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</si>
  <si>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</si>
  <si>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</si>
  <si>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</si>
  <si>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</si>
  <si>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</si>
  <si>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</si>
  <si>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</si>
  <si>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</si>
  <si>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</si>
  <si>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</si>
  <si>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</si>
  <si>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</si>
  <si>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</si>
  <si>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</si>
  <si>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</si>
  <si>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</si>
  <si>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</si>
  <si>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</si>
  <si>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</si>
  <si>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</si>
  <si>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</si>
  <si>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</si>
  <si>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</si>
  <si>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</si>
  <si>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</si>
  <si>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</si>
  <si>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</si>
  <si>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</si>
  <si>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</si>
  <si>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</si>
  <si>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</si>
  <si>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</si>
  <si>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</si>
  <si>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</si>
  <si>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</si>
  <si>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</si>
  <si>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</si>
  <si>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</si>
  <si>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</si>
  <si>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</si>
  <si>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</si>
  <si>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</si>
  <si>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</si>
  <si>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</si>
  <si>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</si>
  <si>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</si>
  <si>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</si>
  <si>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</si>
  <si>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</si>
  <si>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</si>
  <si>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</si>
  <si>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</si>
  <si>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</si>
  <si>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</si>
  <si>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</si>
  <si>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</si>
  <si>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</si>
  <si>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</si>
  <si>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</si>
  <si>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</si>
  <si>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</si>
  <si>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</si>
  <si>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</si>
  <si>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</si>
  <si>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</si>
  <si>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</si>
  <si>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</si>
  <si>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</si>
  <si>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</si>
  <si>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</si>
  <si>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</si>
  <si>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</si>
  <si>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</si>
  <si>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</si>
  <si>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</si>
  <si>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</si>
  <si>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</si>
  <si>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</si>
  <si>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</si>
  <si>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</si>
  <si>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</si>
  <si>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</si>
  <si>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</si>
  <si>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</si>
  <si>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</si>
  <si>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</si>
  <si>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</si>
  <si>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</si>
  <si>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</si>
  <si>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</si>
  <si>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</si>
  <si>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</si>
  <si>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</si>
  <si>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</si>
  <si>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</si>
  <si>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</si>
  <si>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</si>
  <si>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</si>
  <si>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</si>
  <si>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</si>
  <si>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</si>
  <si>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</si>
  <si>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</si>
  <si>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</si>
  <si>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</si>
  <si>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</si>
  <si>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</si>
  <si>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</si>
  <si>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</si>
  <si>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</si>
  <si>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</si>
  <si>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</si>
  <si>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</si>
  <si>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</si>
  <si>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</si>
  <si>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</si>
  <si>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</si>
  <si>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</si>
  <si>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</si>
  <si>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</si>
  <si>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</si>
  <si>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</si>
  <si>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</si>
  <si>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</si>
  <si>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</si>
  <si>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</si>
  <si>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</si>
  <si>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</si>
  <si>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</si>
  <si>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</si>
  <si>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</si>
  <si>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</si>
  <si>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</si>
  <si>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</si>
  <si>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</si>
  <si>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</si>
  <si>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</si>
  <si>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</si>
  <si>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</si>
  <si>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</si>
  <si>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</si>
  <si>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</si>
  <si>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</si>
  <si>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</si>
  <si>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</si>
  <si>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</si>
  <si>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</si>
  <si>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</si>
  <si>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</si>
  <si>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</si>
  <si>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</si>
  <si>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</si>
  <si>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</si>
  <si>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</si>
  <si>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</si>
  <si>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</si>
  <si>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</si>
  <si>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72021</t>
  </si>
  <si>
    <t>MAASEIK</t>
  </si>
  <si>
    <t>Paarden&amp;pony's 200 - 600 kg</t>
  </si>
  <si>
    <t>Paarden&amp;pony's &lt; 200 kg</t>
  </si>
  <si>
    <t>Fluvius</t>
  </si>
  <si>
    <t>referentietaak LNE (2017); Jaarverslag De Lijn</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</si>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</sst>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81F4CCE-44E9-4D85-AE17-1FD2DD3CBFE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216432.43639971761</c:v>
                </c:pt>
                <c:pt idx="1">
                  <c:v>62798.081223588066</c:v>
                </c:pt>
                <c:pt idx="2">
                  <c:v>1414.819</c:v>
                </c:pt>
                <c:pt idx="3">
                  <c:v>19485.070996501421</c:v>
                </c:pt>
                <c:pt idx="4">
                  <c:v>26245.68072291918</c:v>
                </c:pt>
                <c:pt idx="5">
                  <c:v>96862.975659827702</c:v>
                </c:pt>
                <c:pt idx="6">
                  <c:v>2464.2512924200028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216432.43639971761</c:v>
                </c:pt>
                <c:pt idx="1">
                  <c:v>62798.081223588066</c:v>
                </c:pt>
                <c:pt idx="2">
                  <c:v>1414.819</c:v>
                </c:pt>
                <c:pt idx="3">
                  <c:v>19485.070996501421</c:v>
                </c:pt>
                <c:pt idx="4">
                  <c:v>26245.68072291918</c:v>
                </c:pt>
                <c:pt idx="5">
                  <c:v>96862.975659827702</c:v>
                </c:pt>
                <c:pt idx="6">
                  <c:v>2464.2512924200028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45166.75958780379</c:v>
                </c:pt>
                <c:pt idx="2">
                  <c:v>11292.494511689243</c:v>
                </c:pt>
                <c:pt idx="3">
                  <c:v>237.48247379078737</c:v>
                </c:pt>
                <c:pt idx="4">
                  <c:v>4534.5371641439206</c:v>
                </c:pt>
                <c:pt idx="5">
                  <c:v>5073.056476620317</c:v>
                </c:pt>
                <c:pt idx="6">
                  <c:v>24258.009565801629</c:v>
                </c:pt>
                <c:pt idx="7">
                  <c:v>621.10442348890308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45166.75958780379</c:v>
                </c:pt>
                <c:pt idx="2">
                  <c:v>11292.494511689243</c:v>
                </c:pt>
                <c:pt idx="3">
                  <c:v>237.48247379078737</c:v>
                </c:pt>
                <c:pt idx="4">
                  <c:v>4534.5371641439206</c:v>
                </c:pt>
                <c:pt idx="5">
                  <c:v>5073.056476620317</c:v>
                </c:pt>
                <c:pt idx="6">
                  <c:v>24258.009565801629</c:v>
                </c:pt>
                <c:pt idx="7">
                  <c:v>621.10442348890308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72021</v>
      </c>
      <c r="B6" s="383"/>
      <c r="C6" s="384"/>
    </row>
    <row r="7" spans="1:7" s="381" customFormat="1" ht="15.75" customHeight="1">
      <c r="A7" s="385" t="str">
        <f>txtMunicipality</f>
        <v>MAASEIK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29460.913218106998</v>
      </c>
      <c r="D10" s="983">
        <f ca="1">tertiair!C16</f>
        <v>0</v>
      </c>
      <c r="E10" s="983">
        <f ca="1">tertiair!D16</f>
        <v>26135.187518000002</v>
      </c>
      <c r="F10" s="983">
        <f>tertiair!E16</f>
        <v>312.05639074931389</v>
      </c>
      <c r="G10" s="983">
        <f ca="1">tertiair!F16</f>
        <v>4624.3884945865675</v>
      </c>
      <c r="H10" s="983">
        <f>tertiair!G16</f>
        <v>0</v>
      </c>
      <c r="I10" s="983">
        <f>tertiair!H16</f>
        <v>0</v>
      </c>
      <c r="J10" s="983">
        <f>tertiair!I16</f>
        <v>0</v>
      </c>
      <c r="K10" s="983">
        <f>tertiair!J16</f>
        <v>0</v>
      </c>
      <c r="L10" s="983">
        <f>tertiair!K16</f>
        <v>0</v>
      </c>
      <c r="M10" s="983">
        <f ca="1">tertiair!L16</f>
        <v>0</v>
      </c>
      <c r="N10" s="983">
        <f>tertiair!M16</f>
        <v>0</v>
      </c>
      <c r="O10" s="983">
        <f ca="1">tertiair!N16</f>
        <v>3639.0946021451878</v>
      </c>
      <c r="P10" s="983">
        <f>tertiair!O16</f>
        <v>3.1266666666666669</v>
      </c>
      <c r="Q10" s="984">
        <f>tertiair!P16</f>
        <v>38.133333333333333</v>
      </c>
      <c r="R10" s="667">
        <f ca="1">SUM(C10:Q10)</f>
        <v>64212.900223588062</v>
      </c>
      <c r="S10" s="67"/>
    </row>
    <row r="11" spans="1:19" s="440" customFormat="1">
      <c r="A11" s="776" t="s">
        <v>214</v>
      </c>
      <c r="B11" s="781"/>
      <c r="C11" s="983">
        <f>huishoudens!B8</f>
        <v>43756.913061724459</v>
      </c>
      <c r="D11" s="983">
        <f>huishoudens!C8</f>
        <v>0</v>
      </c>
      <c r="E11" s="983">
        <f>huishoudens!D8</f>
        <v>73625.639053999999</v>
      </c>
      <c r="F11" s="983">
        <f>huishoudens!E8</f>
        <v>2575.5868506374813</v>
      </c>
      <c r="G11" s="983">
        <f>huishoudens!F8</f>
        <v>81251.72980814286</v>
      </c>
      <c r="H11" s="983">
        <f>huishoudens!G8</f>
        <v>0</v>
      </c>
      <c r="I11" s="983">
        <f>huishoudens!H8</f>
        <v>0</v>
      </c>
      <c r="J11" s="983">
        <f>huishoudens!I8</f>
        <v>0</v>
      </c>
      <c r="K11" s="983">
        <f>huishoudens!J8</f>
        <v>1894.7872697270243</v>
      </c>
      <c r="L11" s="983">
        <f>huishoudens!K8</f>
        <v>0</v>
      </c>
      <c r="M11" s="983">
        <f>huishoudens!L8</f>
        <v>0</v>
      </c>
      <c r="N11" s="983">
        <f>huishoudens!M8</f>
        <v>0</v>
      </c>
      <c r="O11" s="983">
        <f>huishoudens!N8</f>
        <v>12254.287022152446</v>
      </c>
      <c r="P11" s="983">
        <f>huishoudens!O8</f>
        <v>425.22666666666669</v>
      </c>
      <c r="Q11" s="984">
        <f>huishoudens!P8</f>
        <v>648.26666666666665</v>
      </c>
      <c r="R11" s="667">
        <f>SUM(C11:Q11)</f>
        <v>216432.43639971761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10831.109</v>
      </c>
      <c r="D13" s="983">
        <f>industrie!C18</f>
        <v>0</v>
      </c>
      <c r="E13" s="983">
        <f>industrie!D18</f>
        <v>9619.1309499999988</v>
      </c>
      <c r="F13" s="983">
        <f>industrie!E18</f>
        <v>742.38169956789693</v>
      </c>
      <c r="G13" s="983">
        <f>industrie!F18</f>
        <v>4236.7545072221646</v>
      </c>
      <c r="H13" s="983">
        <f>industrie!G18</f>
        <v>0</v>
      </c>
      <c r="I13" s="983">
        <f>industrie!H18</f>
        <v>0</v>
      </c>
      <c r="J13" s="983">
        <f>industrie!I18</f>
        <v>0</v>
      </c>
      <c r="K13" s="983">
        <f>industrie!J18</f>
        <v>34.511868359086478</v>
      </c>
      <c r="L13" s="983">
        <f>industrie!K18</f>
        <v>0</v>
      </c>
      <c r="M13" s="983">
        <f>industrie!L18</f>
        <v>0</v>
      </c>
      <c r="N13" s="983">
        <f>industrie!M18</f>
        <v>0</v>
      </c>
      <c r="O13" s="983">
        <f>industrie!N18</f>
        <v>781.79269777003083</v>
      </c>
      <c r="P13" s="983">
        <f>industrie!O18</f>
        <v>0</v>
      </c>
      <c r="Q13" s="984">
        <f>industrie!P18</f>
        <v>0</v>
      </c>
      <c r="R13" s="667">
        <f>SUM(C13:Q13)</f>
        <v>26245.68072291918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84048.93527983145</v>
      </c>
      <c r="D16" s="699">
        <f t="shared" ref="D16:R16" ca="1" si="0">SUM(D9:D15)</f>
        <v>0</v>
      </c>
      <c r="E16" s="699">
        <f t="shared" ca="1" si="0"/>
        <v>109379.95752200001</v>
      </c>
      <c r="F16" s="699">
        <f t="shared" si="0"/>
        <v>3630.0249409546923</v>
      </c>
      <c r="G16" s="699">
        <f t="shared" ca="1" si="0"/>
        <v>90112.872809951601</v>
      </c>
      <c r="H16" s="699">
        <f t="shared" si="0"/>
        <v>0</v>
      </c>
      <c r="I16" s="699">
        <f t="shared" si="0"/>
        <v>0</v>
      </c>
      <c r="J16" s="699">
        <f t="shared" si="0"/>
        <v>0</v>
      </c>
      <c r="K16" s="699">
        <f t="shared" si="0"/>
        <v>1929.2991380861108</v>
      </c>
      <c r="L16" s="699">
        <f t="shared" si="0"/>
        <v>0</v>
      </c>
      <c r="M16" s="699">
        <f t="shared" ca="1" si="0"/>
        <v>0</v>
      </c>
      <c r="N16" s="699">
        <f t="shared" si="0"/>
        <v>0</v>
      </c>
      <c r="O16" s="699">
        <f t="shared" ca="1" si="0"/>
        <v>16675.174322067665</v>
      </c>
      <c r="P16" s="699">
        <f t="shared" si="0"/>
        <v>428.35333333333335</v>
      </c>
      <c r="Q16" s="699">
        <f t="shared" si="0"/>
        <v>686.4</v>
      </c>
      <c r="R16" s="699">
        <f t="shared" ca="1" si="0"/>
        <v>306891.01734622486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12.235899544529939</v>
      </c>
      <c r="D19" s="983">
        <f>transport!C54</f>
        <v>0</v>
      </c>
      <c r="E19" s="983">
        <f>transport!D54</f>
        <v>0</v>
      </c>
      <c r="F19" s="983">
        <f>transport!E54</f>
        <v>0</v>
      </c>
      <c r="G19" s="983">
        <f>transport!F54</f>
        <v>0</v>
      </c>
      <c r="H19" s="983">
        <f>transport!G54</f>
        <v>2318.5415116234249</v>
      </c>
      <c r="I19" s="983">
        <f>transport!H54</f>
        <v>0</v>
      </c>
      <c r="J19" s="983">
        <f>transport!I54</f>
        <v>0</v>
      </c>
      <c r="K19" s="983">
        <f>transport!J54</f>
        <v>0</v>
      </c>
      <c r="L19" s="983">
        <f>transport!K54</f>
        <v>0</v>
      </c>
      <c r="M19" s="983">
        <f>transport!L54</f>
        <v>0</v>
      </c>
      <c r="N19" s="983">
        <f>transport!M54</f>
        <v>133.47388125204793</v>
      </c>
      <c r="O19" s="983">
        <f>transport!N54</f>
        <v>0</v>
      </c>
      <c r="P19" s="983">
        <f>transport!O54</f>
        <v>0</v>
      </c>
      <c r="Q19" s="984">
        <f>transport!P54</f>
        <v>0</v>
      </c>
      <c r="R19" s="667">
        <f>SUM(C19:Q19)</f>
        <v>2464.2512924200028</v>
      </c>
      <c r="S19" s="67"/>
    </row>
    <row r="20" spans="1:19" s="440" customFormat="1">
      <c r="A20" s="776" t="s">
        <v>296</v>
      </c>
      <c r="B20" s="781"/>
      <c r="C20" s="983">
        <f>transport!B14</f>
        <v>16.88392066570248</v>
      </c>
      <c r="D20" s="983">
        <f>transport!C14</f>
        <v>0</v>
      </c>
      <c r="E20" s="983">
        <f>transport!D14</f>
        <v>27.872353560600146</v>
      </c>
      <c r="F20" s="983">
        <f>transport!E14</f>
        <v>270.53514918452333</v>
      </c>
      <c r="G20" s="983">
        <f>transport!F14</f>
        <v>0</v>
      </c>
      <c r="H20" s="983">
        <f>transport!G14</f>
        <v>75638.138243052977</v>
      </c>
      <c r="I20" s="983">
        <f>transport!H14</f>
        <v>16035.144311733906</v>
      </c>
      <c r="J20" s="983">
        <f>transport!I14</f>
        <v>0</v>
      </c>
      <c r="K20" s="983">
        <f>transport!J14</f>
        <v>0</v>
      </c>
      <c r="L20" s="983">
        <f>transport!K14</f>
        <v>0</v>
      </c>
      <c r="M20" s="983">
        <f>transport!L14</f>
        <v>0</v>
      </c>
      <c r="N20" s="983">
        <f>transport!M14</f>
        <v>4874.4016816299918</v>
      </c>
      <c r="O20" s="983">
        <f>transport!N14</f>
        <v>0</v>
      </c>
      <c r="P20" s="983">
        <f>transport!O14</f>
        <v>0</v>
      </c>
      <c r="Q20" s="984">
        <f>transport!P14</f>
        <v>0</v>
      </c>
      <c r="R20" s="667">
        <f>SUM(C20:Q20)</f>
        <v>96862.975659827702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29.119820210232419</v>
      </c>
      <c r="D22" s="779">
        <f t="shared" ref="D22:R22" si="1">SUM(D18:D21)</f>
        <v>0</v>
      </c>
      <c r="E22" s="779">
        <f t="shared" si="1"/>
        <v>27.872353560600146</v>
      </c>
      <c r="F22" s="779">
        <f t="shared" si="1"/>
        <v>270.53514918452333</v>
      </c>
      <c r="G22" s="779">
        <f t="shared" si="1"/>
        <v>0</v>
      </c>
      <c r="H22" s="779">
        <f t="shared" si="1"/>
        <v>77956.679754676399</v>
      </c>
      <c r="I22" s="779">
        <f t="shared" si="1"/>
        <v>16035.144311733906</v>
      </c>
      <c r="J22" s="779">
        <f t="shared" si="1"/>
        <v>0</v>
      </c>
      <c r="K22" s="779">
        <f t="shared" si="1"/>
        <v>0</v>
      </c>
      <c r="L22" s="779">
        <f t="shared" si="1"/>
        <v>0</v>
      </c>
      <c r="M22" s="779">
        <f t="shared" si="1"/>
        <v>0</v>
      </c>
      <c r="N22" s="779">
        <f t="shared" si="1"/>
        <v>5007.87556288204</v>
      </c>
      <c r="O22" s="779">
        <f t="shared" si="1"/>
        <v>0</v>
      </c>
      <c r="P22" s="779">
        <f t="shared" si="1"/>
        <v>0</v>
      </c>
      <c r="Q22" s="779">
        <f t="shared" si="1"/>
        <v>0</v>
      </c>
      <c r="R22" s="779">
        <f t="shared" si="1"/>
        <v>99327.2269522477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3875.7301388888891</v>
      </c>
      <c r="D24" s="983">
        <f>+landbouw!C8</f>
        <v>22.5</v>
      </c>
      <c r="E24" s="983">
        <f>+landbouw!D8</f>
        <v>5123.2838500000007</v>
      </c>
      <c r="F24" s="983">
        <f>+landbouw!E8</f>
        <v>35.89863585138837</v>
      </c>
      <c r="G24" s="983">
        <f>+landbouw!F8</f>
        <v>9833.4656881948849</v>
      </c>
      <c r="H24" s="983">
        <f>+landbouw!G8</f>
        <v>0</v>
      </c>
      <c r="I24" s="983">
        <f>+landbouw!H8</f>
        <v>0</v>
      </c>
      <c r="J24" s="983">
        <f>+landbouw!I8</f>
        <v>0</v>
      </c>
      <c r="K24" s="983">
        <f>+landbouw!J8</f>
        <v>594.19268356625548</v>
      </c>
      <c r="L24" s="983">
        <f>+landbouw!K8</f>
        <v>0</v>
      </c>
      <c r="M24" s="983">
        <f>+landbouw!L8</f>
        <v>0</v>
      </c>
      <c r="N24" s="983">
        <f>+landbouw!M8</f>
        <v>0</v>
      </c>
      <c r="O24" s="983">
        <f>+landbouw!N8</f>
        <v>0</v>
      </c>
      <c r="P24" s="983">
        <f>+landbouw!O8</f>
        <v>0</v>
      </c>
      <c r="Q24" s="984">
        <f>+landbouw!P8</f>
        <v>0</v>
      </c>
      <c r="R24" s="667">
        <f>SUM(C24:Q24)</f>
        <v>19485.070996501421</v>
      </c>
      <c r="S24" s="67"/>
    </row>
    <row r="25" spans="1:19" s="440" customFormat="1" ht="15" thickBot="1">
      <c r="A25" s="798" t="s">
        <v>829</v>
      </c>
      <c r="B25" s="986"/>
      <c r="C25" s="987">
        <f>IF(Onbekend_ele_kWh="---",0,Onbekend_ele_kWh)/1000+IF(REST_rest_ele_kWh="---",0,REST_rest_ele_kWh)/1000</f>
        <v>1225.607</v>
      </c>
      <c r="D25" s="987"/>
      <c r="E25" s="987">
        <f>IF(onbekend_gas_kWh="---",0,onbekend_gas_kWh)/1000+IF(REST_rest_gas_kWh="---",0,REST_rest_gas_kWh)/1000</f>
        <v>3731.7570000000001</v>
      </c>
      <c r="F25" s="987"/>
      <c r="G25" s="987"/>
      <c r="H25" s="987"/>
      <c r="I25" s="987"/>
      <c r="J25" s="987"/>
      <c r="K25" s="987"/>
      <c r="L25" s="987"/>
      <c r="M25" s="987"/>
      <c r="N25" s="987"/>
      <c r="O25" s="987"/>
      <c r="P25" s="987"/>
      <c r="Q25" s="988"/>
      <c r="R25" s="667">
        <f>SUM(C25:Q25)</f>
        <v>4957.3639999999996</v>
      </c>
      <c r="S25" s="67"/>
    </row>
    <row r="26" spans="1:19" s="440" customFormat="1" ht="15.75" thickBot="1">
      <c r="A26" s="672" t="s">
        <v>830</v>
      </c>
      <c r="B26" s="784"/>
      <c r="C26" s="779">
        <f>SUM(C24:C25)</f>
        <v>5101.3371388888891</v>
      </c>
      <c r="D26" s="779">
        <f t="shared" ref="D26:R26" si="2">SUM(D24:D25)</f>
        <v>22.5</v>
      </c>
      <c r="E26" s="779">
        <f t="shared" si="2"/>
        <v>8855.0408500000012</v>
      </c>
      <c r="F26" s="779">
        <f t="shared" si="2"/>
        <v>35.89863585138837</v>
      </c>
      <c r="G26" s="779">
        <f t="shared" si="2"/>
        <v>9833.4656881948849</v>
      </c>
      <c r="H26" s="779">
        <f t="shared" si="2"/>
        <v>0</v>
      </c>
      <c r="I26" s="779">
        <f t="shared" si="2"/>
        <v>0</v>
      </c>
      <c r="J26" s="779">
        <f t="shared" si="2"/>
        <v>0</v>
      </c>
      <c r="K26" s="779">
        <f t="shared" si="2"/>
        <v>594.19268356625548</v>
      </c>
      <c r="L26" s="779">
        <f t="shared" si="2"/>
        <v>0</v>
      </c>
      <c r="M26" s="779">
        <f t="shared" si="2"/>
        <v>0</v>
      </c>
      <c r="N26" s="779">
        <f t="shared" si="2"/>
        <v>0</v>
      </c>
      <c r="O26" s="779">
        <f t="shared" si="2"/>
        <v>0</v>
      </c>
      <c r="P26" s="779">
        <f t="shared" si="2"/>
        <v>0</v>
      </c>
      <c r="Q26" s="779">
        <f t="shared" si="2"/>
        <v>0</v>
      </c>
      <c r="R26" s="779">
        <f t="shared" si="2"/>
        <v>24442.434996501419</v>
      </c>
      <c r="S26" s="67"/>
    </row>
    <row r="27" spans="1:19" s="440" customFormat="1" ht="17.25" thickTop="1" thickBot="1">
      <c r="A27" s="673" t="s">
        <v>109</v>
      </c>
      <c r="B27" s="772"/>
      <c r="C27" s="674">
        <f ca="1">C22+C16+C26</f>
        <v>89179.392238930581</v>
      </c>
      <c r="D27" s="674">
        <f t="shared" ref="D27:R27" ca="1" si="3">D22+D16+D26</f>
        <v>22.5</v>
      </c>
      <c r="E27" s="674">
        <f t="shared" ca="1" si="3"/>
        <v>118262.87072556061</v>
      </c>
      <c r="F27" s="674">
        <f t="shared" si="3"/>
        <v>3936.4587259906039</v>
      </c>
      <c r="G27" s="674">
        <f t="shared" ca="1" si="3"/>
        <v>99946.338498146491</v>
      </c>
      <c r="H27" s="674">
        <f t="shared" si="3"/>
        <v>77956.679754676399</v>
      </c>
      <c r="I27" s="674">
        <f t="shared" si="3"/>
        <v>16035.144311733906</v>
      </c>
      <c r="J27" s="674">
        <f t="shared" si="3"/>
        <v>0</v>
      </c>
      <c r="K27" s="674">
        <f t="shared" si="3"/>
        <v>2523.4918216523665</v>
      </c>
      <c r="L27" s="674">
        <f t="shared" si="3"/>
        <v>0</v>
      </c>
      <c r="M27" s="674">
        <f t="shared" ca="1" si="3"/>
        <v>0</v>
      </c>
      <c r="N27" s="674">
        <f t="shared" si="3"/>
        <v>5007.87556288204</v>
      </c>
      <c r="O27" s="674">
        <f t="shared" ca="1" si="3"/>
        <v>16675.174322067665</v>
      </c>
      <c r="P27" s="674">
        <f t="shared" si="3"/>
        <v>428.35333333333335</v>
      </c>
      <c r="Q27" s="674">
        <f t="shared" si="3"/>
        <v>686.4</v>
      </c>
      <c r="R27" s="674">
        <f t="shared" ca="1" si="3"/>
        <v>430660.67929497396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4945.1205780893224</v>
      </c>
      <c r="D40" s="983">
        <f ca="1">tertiair!C20</f>
        <v>0</v>
      </c>
      <c r="E40" s="983">
        <f ca="1">tertiair!D20</f>
        <v>5279.3078786360011</v>
      </c>
      <c r="F40" s="983">
        <f>tertiair!E20</f>
        <v>70.836800700094258</v>
      </c>
      <c r="G40" s="983">
        <f ca="1">tertiair!F20</f>
        <v>1234.7117280546136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11529.976985480031</v>
      </c>
    </row>
    <row r="41" spans="1:18">
      <c r="A41" s="789" t="s">
        <v>214</v>
      </c>
      <c r="B41" s="796"/>
      <c r="C41" s="983">
        <f ca="1">huishoudens!B12</f>
        <v>7344.7557315435688</v>
      </c>
      <c r="D41" s="983">
        <f ca="1">huishoudens!C12</f>
        <v>0</v>
      </c>
      <c r="E41" s="983">
        <f>huishoudens!D12</f>
        <v>14872.379088908001</v>
      </c>
      <c r="F41" s="983">
        <f>huishoudens!E12</f>
        <v>584.65821509470834</v>
      </c>
      <c r="G41" s="983">
        <f>huishoudens!F12</f>
        <v>21694.211858774146</v>
      </c>
      <c r="H41" s="983">
        <f>huishoudens!G12</f>
        <v>0</v>
      </c>
      <c r="I41" s="983">
        <f>huishoudens!H12</f>
        <v>0</v>
      </c>
      <c r="J41" s="983">
        <f>huishoudens!I12</f>
        <v>0</v>
      </c>
      <c r="K41" s="983">
        <f>huishoudens!J12</f>
        <v>670.75469348336651</v>
      </c>
      <c r="L41" s="983">
        <f>huishoudens!K12</f>
        <v>0</v>
      </c>
      <c r="M41" s="983">
        <f>huishoudens!L12</f>
        <v>0</v>
      </c>
      <c r="N41" s="983">
        <f>huishoudens!M12</f>
        <v>0</v>
      </c>
      <c r="O41" s="983">
        <f>huishoudens!N12</f>
        <v>0</v>
      </c>
      <c r="P41" s="983">
        <f>huishoudens!O12</f>
        <v>0</v>
      </c>
      <c r="Q41" s="741">
        <f>huishoudens!P12</f>
        <v>0</v>
      </c>
      <c r="R41" s="817">
        <f t="shared" ca="1" si="4"/>
        <v>45166.75958780379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1818.0407240909694</v>
      </c>
      <c r="D43" s="983">
        <f ca="1">industrie!C22</f>
        <v>0</v>
      </c>
      <c r="E43" s="983">
        <f>industrie!D22</f>
        <v>1943.0644519</v>
      </c>
      <c r="F43" s="983">
        <f>industrie!E22</f>
        <v>168.52064580191262</v>
      </c>
      <c r="G43" s="983">
        <f>industrie!F22</f>
        <v>1131.213453428318</v>
      </c>
      <c r="H43" s="983">
        <f>industrie!G22</f>
        <v>0</v>
      </c>
      <c r="I43" s="983">
        <f>industrie!H22</f>
        <v>0</v>
      </c>
      <c r="J43" s="983">
        <f>industrie!I22</f>
        <v>0</v>
      </c>
      <c r="K43" s="983">
        <f>industrie!J22</f>
        <v>12.217201399116613</v>
      </c>
      <c r="L43" s="983">
        <f>industrie!K22</f>
        <v>0</v>
      </c>
      <c r="M43" s="983">
        <f>industrie!L22</f>
        <v>0</v>
      </c>
      <c r="N43" s="983">
        <f>industrie!M22</f>
        <v>0</v>
      </c>
      <c r="O43" s="983">
        <f>industrie!N22</f>
        <v>0</v>
      </c>
      <c r="P43" s="983">
        <f>industrie!O22</f>
        <v>0</v>
      </c>
      <c r="Q43" s="741">
        <f>industrie!P22</f>
        <v>0</v>
      </c>
      <c r="R43" s="816">
        <f t="shared" ca="1" si="4"/>
        <v>5073.056476620317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14107.917033723861</v>
      </c>
      <c r="D46" s="699">
        <f t="shared" ref="D46:Q46" ca="1" si="5">SUM(D39:D45)</f>
        <v>0</v>
      </c>
      <c r="E46" s="699">
        <f t="shared" ca="1" si="5"/>
        <v>22094.751419444005</v>
      </c>
      <c r="F46" s="699">
        <f t="shared" si="5"/>
        <v>824.01566159671529</v>
      </c>
      <c r="G46" s="699">
        <f t="shared" ca="1" si="5"/>
        <v>24060.137040257076</v>
      </c>
      <c r="H46" s="699">
        <f t="shared" si="5"/>
        <v>0</v>
      </c>
      <c r="I46" s="699">
        <f t="shared" si="5"/>
        <v>0</v>
      </c>
      <c r="J46" s="699">
        <f t="shared" si="5"/>
        <v>0</v>
      </c>
      <c r="K46" s="699">
        <f t="shared" si="5"/>
        <v>682.97189488248307</v>
      </c>
      <c r="L46" s="699">
        <f t="shared" si="5"/>
        <v>0</v>
      </c>
      <c r="M46" s="699">
        <f t="shared" ca="1" si="5"/>
        <v>0</v>
      </c>
      <c r="N46" s="699">
        <f t="shared" si="5"/>
        <v>0</v>
      </c>
      <c r="O46" s="699">
        <f t="shared" ca="1" si="5"/>
        <v>0</v>
      </c>
      <c r="P46" s="699">
        <f t="shared" si="5"/>
        <v>0</v>
      </c>
      <c r="Q46" s="699">
        <f t="shared" si="5"/>
        <v>0</v>
      </c>
      <c r="R46" s="699">
        <f ca="1">SUM(R39:R45)</f>
        <v>61769.793049904139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2.0538398854486251</v>
      </c>
      <c r="D49" s="983">
        <f ca="1">transport!C58</f>
        <v>0</v>
      </c>
      <c r="E49" s="983">
        <f>transport!D58</f>
        <v>0</v>
      </c>
      <c r="F49" s="983">
        <f>transport!E58</f>
        <v>0</v>
      </c>
      <c r="G49" s="983">
        <f>transport!F58</f>
        <v>0</v>
      </c>
      <c r="H49" s="983">
        <f>transport!G58</f>
        <v>619.05058360345447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621.10442348890308</v>
      </c>
    </row>
    <row r="50" spans="1:18">
      <c r="A50" s="792" t="s">
        <v>296</v>
      </c>
      <c r="B50" s="802"/>
      <c r="C50" s="670">
        <f ca="1">transport!B18</f>
        <v>2.8340270006116839</v>
      </c>
      <c r="D50" s="670">
        <f>transport!C18</f>
        <v>0</v>
      </c>
      <c r="E50" s="670">
        <f>transport!D18</f>
        <v>5.6302154192412299</v>
      </c>
      <c r="F50" s="670">
        <f>transport!E18</f>
        <v>61.411478864886796</v>
      </c>
      <c r="G50" s="670">
        <f>transport!F18</f>
        <v>0</v>
      </c>
      <c r="H50" s="670">
        <f>transport!G18</f>
        <v>20195.382910895147</v>
      </c>
      <c r="I50" s="670">
        <f>transport!H18</f>
        <v>3992.7509336217427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24258.009565801629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4.8878668860603085</v>
      </c>
      <c r="D52" s="699">
        <f t="shared" ref="D52:Q52" ca="1" si="6">SUM(D48:D51)</f>
        <v>0</v>
      </c>
      <c r="E52" s="699">
        <f t="shared" si="6"/>
        <v>5.6302154192412299</v>
      </c>
      <c r="F52" s="699">
        <f t="shared" si="6"/>
        <v>61.411478864886796</v>
      </c>
      <c r="G52" s="699">
        <f t="shared" si="6"/>
        <v>0</v>
      </c>
      <c r="H52" s="699">
        <f t="shared" si="6"/>
        <v>20814.4334944986</v>
      </c>
      <c r="I52" s="699">
        <f t="shared" si="6"/>
        <v>3992.7509336217427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24879.11398929053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650.55528737516624</v>
      </c>
      <c r="D54" s="670">
        <f ca="1">+landbouw!C12</f>
        <v>5.0500000000000007</v>
      </c>
      <c r="E54" s="670">
        <f>+landbouw!D12</f>
        <v>1034.9033377000003</v>
      </c>
      <c r="F54" s="670">
        <f>+landbouw!E12</f>
        <v>8.1489903382651594</v>
      </c>
      <c r="G54" s="670">
        <f>+landbouw!F12</f>
        <v>2625.5353387480345</v>
      </c>
      <c r="H54" s="670">
        <f>+landbouw!G12</f>
        <v>0</v>
      </c>
      <c r="I54" s="670">
        <f>+landbouw!H12</f>
        <v>0</v>
      </c>
      <c r="J54" s="670">
        <f>+landbouw!I12</f>
        <v>0</v>
      </c>
      <c r="K54" s="670">
        <f>+landbouw!J12</f>
        <v>210.34420998245443</v>
      </c>
      <c r="L54" s="670">
        <f>+landbouw!K12</f>
        <v>0</v>
      </c>
      <c r="M54" s="670">
        <f>+landbouw!L12</f>
        <v>0</v>
      </c>
      <c r="N54" s="670">
        <f>+landbouw!M12</f>
        <v>0</v>
      </c>
      <c r="O54" s="670">
        <f>+landbouw!N12</f>
        <v>0</v>
      </c>
      <c r="P54" s="670">
        <f>+landbouw!O12</f>
        <v>0</v>
      </c>
      <c r="Q54" s="671">
        <f>+landbouw!P12</f>
        <v>0</v>
      </c>
      <c r="R54" s="698">
        <f ca="1">SUM(C54:Q54)</f>
        <v>4534.5371641439206</v>
      </c>
    </row>
    <row r="55" spans="1:18" ht="15" thickBot="1">
      <c r="A55" s="792" t="s">
        <v>829</v>
      </c>
      <c r="B55" s="802"/>
      <c r="C55" s="670">
        <f ca="1">C25*'EF ele_warmte'!B12</f>
        <v>205.72255691739051</v>
      </c>
      <c r="D55" s="670"/>
      <c r="E55" s="670">
        <f>E25*EF_CO2_aardgas</f>
        <v>753.81491400000004</v>
      </c>
      <c r="F55" s="670"/>
      <c r="G55" s="670"/>
      <c r="H55" s="670"/>
      <c r="I55" s="670"/>
      <c r="J55" s="670"/>
      <c r="K55" s="670"/>
      <c r="L55" s="670"/>
      <c r="M55" s="670"/>
      <c r="N55" s="670"/>
      <c r="O55" s="670"/>
      <c r="P55" s="670"/>
      <c r="Q55" s="671"/>
      <c r="R55" s="698">
        <f ca="1">SUM(C55:Q55)</f>
        <v>959.53747091739058</v>
      </c>
    </row>
    <row r="56" spans="1:18" ht="15.75" thickBot="1">
      <c r="A56" s="790" t="s">
        <v>830</v>
      </c>
      <c r="B56" s="803"/>
      <c r="C56" s="699">
        <f ca="1">SUM(C54:C55)</f>
        <v>856.27784429255678</v>
      </c>
      <c r="D56" s="699">
        <f t="shared" ref="D56:Q56" ca="1" si="7">SUM(D54:D55)</f>
        <v>5.0500000000000007</v>
      </c>
      <c r="E56" s="699">
        <f t="shared" si="7"/>
        <v>1788.7182517000003</v>
      </c>
      <c r="F56" s="699">
        <f t="shared" si="7"/>
        <v>8.1489903382651594</v>
      </c>
      <c r="G56" s="699">
        <f t="shared" si="7"/>
        <v>2625.5353387480345</v>
      </c>
      <c r="H56" s="699">
        <f t="shared" si="7"/>
        <v>0</v>
      </c>
      <c r="I56" s="699">
        <f t="shared" si="7"/>
        <v>0</v>
      </c>
      <c r="J56" s="699">
        <f t="shared" si="7"/>
        <v>0</v>
      </c>
      <c r="K56" s="699">
        <f t="shared" si="7"/>
        <v>210.34420998245443</v>
      </c>
      <c r="L56" s="699">
        <f t="shared" si="7"/>
        <v>0</v>
      </c>
      <c r="M56" s="699">
        <f t="shared" si="7"/>
        <v>0</v>
      </c>
      <c r="N56" s="699">
        <f t="shared" si="7"/>
        <v>0</v>
      </c>
      <c r="O56" s="699">
        <f t="shared" si="7"/>
        <v>0</v>
      </c>
      <c r="P56" s="699">
        <f t="shared" si="7"/>
        <v>0</v>
      </c>
      <c r="Q56" s="700">
        <f t="shared" si="7"/>
        <v>0</v>
      </c>
      <c r="R56" s="701">
        <f ca="1">SUM(R54:R55)</f>
        <v>5494.0746350613108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14969.082744902478</v>
      </c>
      <c r="D61" s="707">
        <f t="shared" ref="D61:Q61" ca="1" si="8">D46+D52+D56</f>
        <v>5.0500000000000007</v>
      </c>
      <c r="E61" s="707">
        <f t="shared" ca="1" si="8"/>
        <v>23889.099886563246</v>
      </c>
      <c r="F61" s="707">
        <f t="shared" si="8"/>
        <v>893.57613079986731</v>
      </c>
      <c r="G61" s="707">
        <f t="shared" ca="1" si="8"/>
        <v>26685.672379005111</v>
      </c>
      <c r="H61" s="707">
        <f t="shared" si="8"/>
        <v>20814.4334944986</v>
      </c>
      <c r="I61" s="707">
        <f t="shared" si="8"/>
        <v>3992.7509336217427</v>
      </c>
      <c r="J61" s="707">
        <f t="shared" si="8"/>
        <v>0</v>
      </c>
      <c r="K61" s="707">
        <f t="shared" si="8"/>
        <v>893.31610486493753</v>
      </c>
      <c r="L61" s="707">
        <f t="shared" si="8"/>
        <v>0</v>
      </c>
      <c r="M61" s="707">
        <f t="shared" ca="1" si="8"/>
        <v>0</v>
      </c>
      <c r="N61" s="707">
        <f t="shared" si="8"/>
        <v>0</v>
      </c>
      <c r="O61" s="707">
        <f t="shared" ca="1" si="8"/>
        <v>0</v>
      </c>
      <c r="P61" s="707">
        <f t="shared" si="8"/>
        <v>0</v>
      </c>
      <c r="Q61" s="707">
        <f t="shared" si="8"/>
        <v>0</v>
      </c>
      <c r="R61" s="707">
        <f ca="1">R46+R52+R56</f>
        <v>92142.981674255978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0.16785360798150673</v>
      </c>
      <c r="D63" s="748">
        <f t="shared" ca="1" si="9"/>
        <v>0.22444444444444447</v>
      </c>
      <c r="E63" s="994">
        <f t="shared" ca="1" si="9"/>
        <v>0.20200000000000001</v>
      </c>
      <c r="F63" s="748">
        <f t="shared" si="9"/>
        <v>0.22700000000000006</v>
      </c>
      <c r="G63" s="748">
        <f t="shared" ca="1" si="9"/>
        <v>0.26699999999999996</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10511.643767809548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10934.412521336077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4.5</v>
      </c>
      <c r="D76" s="1004">
        <f>'lokale energieproductie'!C8</f>
        <v>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21446.056289145625</v>
      </c>
      <c r="C78" s="722">
        <f>SUM(C72:C77)</f>
        <v>4.5</v>
      </c>
      <c r="D78" s="723">
        <f t="shared" ref="D78:H78" si="10">SUM(D76:D77)</f>
        <v>5</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1.01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22.5</v>
      </c>
      <c r="D87" s="744">
        <f>'lokale energieproductie'!C17</f>
        <v>25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5.0500000000000007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22.5</v>
      </c>
      <c r="D90" s="722">
        <f t="shared" ref="D90:H90" si="12">SUM(D87:D89)</f>
        <v>25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5.0500000000000007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43756.913061724459</v>
      </c>
      <c r="C4" s="444">
        <f>huishoudens!C8</f>
        <v>0</v>
      </c>
      <c r="D4" s="444">
        <f>huishoudens!D8</f>
        <v>73625.639053999999</v>
      </c>
      <c r="E4" s="444">
        <f>huishoudens!E8</f>
        <v>2575.5868506374813</v>
      </c>
      <c r="F4" s="444">
        <f>huishoudens!F8</f>
        <v>81251.72980814286</v>
      </c>
      <c r="G4" s="444">
        <f>huishoudens!G8</f>
        <v>0</v>
      </c>
      <c r="H4" s="444">
        <f>huishoudens!H8</f>
        <v>0</v>
      </c>
      <c r="I4" s="444">
        <f>huishoudens!I8</f>
        <v>0</v>
      </c>
      <c r="J4" s="444">
        <f>huishoudens!J8</f>
        <v>1894.7872697270243</v>
      </c>
      <c r="K4" s="444">
        <f>huishoudens!K8</f>
        <v>0</v>
      </c>
      <c r="L4" s="444">
        <f>huishoudens!L8</f>
        <v>0</v>
      </c>
      <c r="M4" s="444">
        <f>huishoudens!M8</f>
        <v>0</v>
      </c>
      <c r="N4" s="444">
        <f>huishoudens!N8</f>
        <v>12254.287022152446</v>
      </c>
      <c r="O4" s="444">
        <f>huishoudens!O8</f>
        <v>425.22666666666669</v>
      </c>
      <c r="P4" s="445">
        <f>huishoudens!P8</f>
        <v>648.26666666666665</v>
      </c>
      <c r="Q4" s="446">
        <f>SUM(B4:P4)</f>
        <v>216432.43639971761</v>
      </c>
    </row>
    <row r="5" spans="1:17">
      <c r="A5" s="443" t="s">
        <v>149</v>
      </c>
      <c r="B5" s="444">
        <f ca="1">tertiair!B16</f>
        <v>28046.094218106999</v>
      </c>
      <c r="C5" s="444">
        <f ca="1">tertiair!C16</f>
        <v>0</v>
      </c>
      <c r="D5" s="444">
        <f ca="1">tertiair!D16</f>
        <v>26135.187518000002</v>
      </c>
      <c r="E5" s="444">
        <f>tertiair!E16</f>
        <v>312.05639074931389</v>
      </c>
      <c r="F5" s="444">
        <f ca="1">tertiair!F16</f>
        <v>4624.3884945865675</v>
      </c>
      <c r="G5" s="444">
        <f>tertiair!G16</f>
        <v>0</v>
      </c>
      <c r="H5" s="444">
        <f>tertiair!H16</f>
        <v>0</v>
      </c>
      <c r="I5" s="444">
        <f>tertiair!I16</f>
        <v>0</v>
      </c>
      <c r="J5" s="444">
        <f>tertiair!J16</f>
        <v>0</v>
      </c>
      <c r="K5" s="444">
        <f>tertiair!K16</f>
        <v>0</v>
      </c>
      <c r="L5" s="444">
        <f ca="1">tertiair!L16</f>
        <v>0</v>
      </c>
      <c r="M5" s="444">
        <f>tertiair!M16</f>
        <v>0</v>
      </c>
      <c r="N5" s="444">
        <f ca="1">tertiair!N16</f>
        <v>3639.0946021451878</v>
      </c>
      <c r="O5" s="444">
        <f>tertiair!O16</f>
        <v>3.1266666666666669</v>
      </c>
      <c r="P5" s="445">
        <f>tertiair!P16</f>
        <v>38.133333333333333</v>
      </c>
      <c r="Q5" s="443">
        <f t="shared" ref="Q5:Q14" ca="1" si="0">SUM(B5:P5)</f>
        <v>62798.081223588066</v>
      </c>
    </row>
    <row r="6" spans="1:17">
      <c r="A6" s="443" t="s">
        <v>187</v>
      </c>
      <c r="B6" s="444">
        <f>'openbare verlichting'!B8</f>
        <v>1414.819</v>
      </c>
      <c r="C6" s="444"/>
      <c r="D6" s="444"/>
      <c r="E6" s="444"/>
      <c r="F6" s="444"/>
      <c r="G6" s="444"/>
      <c r="H6" s="444"/>
      <c r="I6" s="444"/>
      <c r="J6" s="444"/>
      <c r="K6" s="444"/>
      <c r="L6" s="444"/>
      <c r="M6" s="444"/>
      <c r="N6" s="444"/>
      <c r="O6" s="444"/>
      <c r="P6" s="445"/>
      <c r="Q6" s="443">
        <f t="shared" si="0"/>
        <v>1414.819</v>
      </c>
    </row>
    <row r="7" spans="1:17">
      <c r="A7" s="443" t="s">
        <v>105</v>
      </c>
      <c r="B7" s="444">
        <f>landbouw!B8</f>
        <v>3875.7301388888891</v>
      </c>
      <c r="C7" s="444">
        <f>landbouw!C8</f>
        <v>22.5</v>
      </c>
      <c r="D7" s="444">
        <f>landbouw!D8</f>
        <v>5123.2838500000007</v>
      </c>
      <c r="E7" s="444">
        <f>landbouw!E8</f>
        <v>35.89863585138837</v>
      </c>
      <c r="F7" s="444">
        <f>landbouw!F8</f>
        <v>9833.4656881948849</v>
      </c>
      <c r="G7" s="444">
        <f>landbouw!G8</f>
        <v>0</v>
      </c>
      <c r="H7" s="444">
        <f>landbouw!H8</f>
        <v>0</v>
      </c>
      <c r="I7" s="444">
        <f>landbouw!I8</f>
        <v>0</v>
      </c>
      <c r="J7" s="444">
        <f>landbouw!J8</f>
        <v>594.19268356625548</v>
      </c>
      <c r="K7" s="444">
        <f>landbouw!K8</f>
        <v>0</v>
      </c>
      <c r="L7" s="444">
        <f>landbouw!L8</f>
        <v>0</v>
      </c>
      <c r="M7" s="444">
        <f>landbouw!M8</f>
        <v>0</v>
      </c>
      <c r="N7" s="444">
        <f>landbouw!N8</f>
        <v>0</v>
      </c>
      <c r="O7" s="444">
        <f>landbouw!O8</f>
        <v>0</v>
      </c>
      <c r="P7" s="445">
        <f>landbouw!P8</f>
        <v>0</v>
      </c>
      <c r="Q7" s="443">
        <f t="shared" si="0"/>
        <v>19485.070996501421</v>
      </c>
    </row>
    <row r="8" spans="1:17">
      <c r="A8" s="443" t="s">
        <v>637</v>
      </c>
      <c r="B8" s="444">
        <f>industrie!B18</f>
        <v>10831.109</v>
      </c>
      <c r="C8" s="444">
        <f>industrie!C18</f>
        <v>0</v>
      </c>
      <c r="D8" s="444">
        <f>industrie!D18</f>
        <v>9619.1309499999988</v>
      </c>
      <c r="E8" s="444">
        <f>industrie!E18</f>
        <v>742.38169956789693</v>
      </c>
      <c r="F8" s="444">
        <f>industrie!F18</f>
        <v>4236.7545072221646</v>
      </c>
      <c r="G8" s="444">
        <f>industrie!G18</f>
        <v>0</v>
      </c>
      <c r="H8" s="444">
        <f>industrie!H18</f>
        <v>0</v>
      </c>
      <c r="I8" s="444">
        <f>industrie!I18</f>
        <v>0</v>
      </c>
      <c r="J8" s="444">
        <f>industrie!J18</f>
        <v>34.511868359086478</v>
      </c>
      <c r="K8" s="444">
        <f>industrie!K18</f>
        <v>0</v>
      </c>
      <c r="L8" s="444">
        <f>industrie!L18</f>
        <v>0</v>
      </c>
      <c r="M8" s="444">
        <f>industrie!M18</f>
        <v>0</v>
      </c>
      <c r="N8" s="444">
        <f>industrie!N18</f>
        <v>781.79269777003083</v>
      </c>
      <c r="O8" s="444">
        <f>industrie!O18</f>
        <v>0</v>
      </c>
      <c r="P8" s="445">
        <f>industrie!P18</f>
        <v>0</v>
      </c>
      <c r="Q8" s="443">
        <f t="shared" si="0"/>
        <v>26245.68072291918</v>
      </c>
    </row>
    <row r="9" spans="1:17" s="449" customFormat="1">
      <c r="A9" s="447" t="s">
        <v>558</v>
      </c>
      <c r="B9" s="448">
        <f>transport!B14</f>
        <v>16.88392066570248</v>
      </c>
      <c r="C9" s="448">
        <f>transport!C14</f>
        <v>0</v>
      </c>
      <c r="D9" s="448">
        <f>transport!D14</f>
        <v>27.872353560600146</v>
      </c>
      <c r="E9" s="448">
        <f>transport!E14</f>
        <v>270.53514918452333</v>
      </c>
      <c r="F9" s="448">
        <f>transport!F14</f>
        <v>0</v>
      </c>
      <c r="G9" s="448">
        <f>transport!G14</f>
        <v>75638.138243052977</v>
      </c>
      <c r="H9" s="448">
        <f>transport!H14</f>
        <v>16035.144311733906</v>
      </c>
      <c r="I9" s="448">
        <f>transport!I14</f>
        <v>0</v>
      </c>
      <c r="J9" s="448">
        <f>transport!J14</f>
        <v>0</v>
      </c>
      <c r="K9" s="448">
        <f>transport!K14</f>
        <v>0</v>
      </c>
      <c r="L9" s="448">
        <f>transport!L14</f>
        <v>0</v>
      </c>
      <c r="M9" s="448">
        <f>transport!M14</f>
        <v>4874.4016816299918</v>
      </c>
      <c r="N9" s="448">
        <f>transport!N14</f>
        <v>0</v>
      </c>
      <c r="O9" s="448">
        <f>transport!O14</f>
        <v>0</v>
      </c>
      <c r="P9" s="448">
        <f>transport!P14</f>
        <v>0</v>
      </c>
      <c r="Q9" s="447">
        <f>SUM(B9:P9)</f>
        <v>96862.975659827702</v>
      </c>
    </row>
    <row r="10" spans="1:17">
      <c r="A10" s="443" t="s">
        <v>548</v>
      </c>
      <c r="B10" s="444">
        <f>transport!B54</f>
        <v>12.235899544529939</v>
      </c>
      <c r="C10" s="444">
        <f>transport!C54</f>
        <v>0</v>
      </c>
      <c r="D10" s="444">
        <f>transport!D54</f>
        <v>0</v>
      </c>
      <c r="E10" s="444">
        <f>transport!E54</f>
        <v>0</v>
      </c>
      <c r="F10" s="444">
        <f>transport!F54</f>
        <v>0</v>
      </c>
      <c r="G10" s="444">
        <f>transport!G54</f>
        <v>2318.5415116234249</v>
      </c>
      <c r="H10" s="444">
        <f>transport!H54</f>
        <v>0</v>
      </c>
      <c r="I10" s="444">
        <f>transport!I54</f>
        <v>0</v>
      </c>
      <c r="J10" s="444">
        <f>transport!J54</f>
        <v>0</v>
      </c>
      <c r="K10" s="444">
        <f>transport!K54</f>
        <v>0</v>
      </c>
      <c r="L10" s="444">
        <f>transport!L54</f>
        <v>0</v>
      </c>
      <c r="M10" s="444">
        <f>transport!M54</f>
        <v>133.47388125204793</v>
      </c>
      <c r="N10" s="444">
        <f>transport!N54</f>
        <v>0</v>
      </c>
      <c r="O10" s="444">
        <f>transport!O54</f>
        <v>0</v>
      </c>
      <c r="P10" s="445">
        <f>transport!P54</f>
        <v>0</v>
      </c>
      <c r="Q10" s="443">
        <f t="shared" si="0"/>
        <v>2464.2512924200028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1225.607</v>
      </c>
      <c r="C14" s="451"/>
      <c r="D14" s="451">
        <f>'SEAP template'!E25</f>
        <v>3731.7570000000001</v>
      </c>
      <c r="E14" s="451"/>
      <c r="F14" s="451"/>
      <c r="G14" s="451"/>
      <c r="H14" s="451"/>
      <c r="I14" s="451"/>
      <c r="J14" s="451"/>
      <c r="K14" s="451"/>
      <c r="L14" s="451"/>
      <c r="M14" s="451"/>
      <c r="N14" s="451"/>
      <c r="O14" s="451"/>
      <c r="P14" s="452"/>
      <c r="Q14" s="443">
        <f t="shared" si="0"/>
        <v>4957.3639999999996</v>
      </c>
    </row>
    <row r="15" spans="1:17" s="453" customFormat="1">
      <c r="A15" s="1009" t="s">
        <v>552</v>
      </c>
      <c r="B15" s="949">
        <f ca="1">SUM(B4:B14)</f>
        <v>89179.392238930566</v>
      </c>
      <c r="C15" s="949">
        <f t="shared" ref="C15:Q15" ca="1" si="1">SUM(C4:C14)</f>
        <v>22.5</v>
      </c>
      <c r="D15" s="949">
        <f t="shared" ca="1" si="1"/>
        <v>118262.87072556061</v>
      </c>
      <c r="E15" s="949">
        <f t="shared" si="1"/>
        <v>3936.4587259906039</v>
      </c>
      <c r="F15" s="949">
        <f t="shared" ca="1" si="1"/>
        <v>99946.338498146491</v>
      </c>
      <c r="G15" s="949">
        <f t="shared" si="1"/>
        <v>77956.679754676399</v>
      </c>
      <c r="H15" s="949">
        <f t="shared" si="1"/>
        <v>16035.144311733906</v>
      </c>
      <c r="I15" s="949">
        <f t="shared" si="1"/>
        <v>0</v>
      </c>
      <c r="J15" s="949">
        <f t="shared" si="1"/>
        <v>2523.4918216523661</v>
      </c>
      <c r="K15" s="949">
        <f t="shared" si="1"/>
        <v>0</v>
      </c>
      <c r="L15" s="949">
        <f t="shared" ca="1" si="1"/>
        <v>0</v>
      </c>
      <c r="M15" s="949">
        <f t="shared" si="1"/>
        <v>5007.87556288204</v>
      </c>
      <c r="N15" s="949">
        <f t="shared" ca="1" si="1"/>
        <v>16675.174322067665</v>
      </c>
      <c r="O15" s="949">
        <f t="shared" si="1"/>
        <v>428.35333333333335</v>
      </c>
      <c r="P15" s="949">
        <f t="shared" si="1"/>
        <v>686.4</v>
      </c>
      <c r="Q15" s="949">
        <f t="shared" ca="1" si="1"/>
        <v>430660.67929497402</v>
      </c>
    </row>
    <row r="17" spans="1:17">
      <c r="A17" s="454" t="s">
        <v>553</v>
      </c>
      <c r="B17" s="753">
        <f ca="1">huishoudens!B10</f>
        <v>0.16785360798150673</v>
      </c>
      <c r="C17" s="753">
        <f ca="1">huishoudens!C10</f>
        <v>0.22444444444444447</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7344.7557315435688</v>
      </c>
      <c r="C22" s="444">
        <f t="shared" ref="C22:C32" ca="1" si="3">C4*$C$17</f>
        <v>0</v>
      </c>
      <c r="D22" s="444">
        <f t="shared" ref="D22:D32" si="4">D4*$D$17</f>
        <v>14872.379088908001</v>
      </c>
      <c r="E22" s="444">
        <f t="shared" ref="E22:E32" si="5">E4*$E$17</f>
        <v>584.65821509470834</v>
      </c>
      <c r="F22" s="444">
        <f t="shared" ref="F22:F32" si="6">F4*$F$17</f>
        <v>21694.211858774146</v>
      </c>
      <c r="G22" s="444">
        <f t="shared" ref="G22:G32" si="7">G4*$G$17</f>
        <v>0</v>
      </c>
      <c r="H22" s="444">
        <f t="shared" ref="H22:H32" si="8">H4*$H$17</f>
        <v>0</v>
      </c>
      <c r="I22" s="444">
        <f t="shared" ref="I22:I32" si="9">I4*$I$17</f>
        <v>0</v>
      </c>
      <c r="J22" s="444">
        <f t="shared" ref="J22:J32" si="10">J4*$J$17</f>
        <v>670.75469348336651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45166.75958780379</v>
      </c>
    </row>
    <row r="23" spans="1:17">
      <c r="A23" s="443" t="s">
        <v>149</v>
      </c>
      <c r="B23" s="444">
        <f t="shared" ca="1" si="2"/>
        <v>4707.6381042985349</v>
      </c>
      <c r="C23" s="444">
        <f t="shared" ca="1" si="3"/>
        <v>0</v>
      </c>
      <c r="D23" s="444">
        <f t="shared" ca="1" si="4"/>
        <v>5279.3078786360011</v>
      </c>
      <c r="E23" s="444">
        <f t="shared" si="5"/>
        <v>70.836800700094258</v>
      </c>
      <c r="F23" s="444">
        <f t="shared" ca="1" si="6"/>
        <v>1234.7117280546136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11292.494511689243</v>
      </c>
    </row>
    <row r="24" spans="1:17">
      <c r="A24" s="443" t="s">
        <v>187</v>
      </c>
      <c r="B24" s="444">
        <f t="shared" ca="1" si="2"/>
        <v>237.48247379078737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237.48247379078737</v>
      </c>
    </row>
    <row r="25" spans="1:17">
      <c r="A25" s="443" t="s">
        <v>105</v>
      </c>
      <c r="B25" s="444">
        <f t="shared" ca="1" si="2"/>
        <v>650.55528737516624</v>
      </c>
      <c r="C25" s="444">
        <f t="shared" ca="1" si="3"/>
        <v>5.0500000000000007</v>
      </c>
      <c r="D25" s="444">
        <f t="shared" si="4"/>
        <v>1034.9033377000003</v>
      </c>
      <c r="E25" s="444">
        <f t="shared" si="5"/>
        <v>8.1489903382651594</v>
      </c>
      <c r="F25" s="444">
        <f t="shared" si="6"/>
        <v>2625.5353387480345</v>
      </c>
      <c r="G25" s="444">
        <f t="shared" si="7"/>
        <v>0</v>
      </c>
      <c r="H25" s="444">
        <f t="shared" si="8"/>
        <v>0</v>
      </c>
      <c r="I25" s="444">
        <f t="shared" si="9"/>
        <v>0</v>
      </c>
      <c r="J25" s="444">
        <f t="shared" si="10"/>
        <v>210.34420998245443</v>
      </c>
      <c r="K25" s="444">
        <f t="shared" si="11"/>
        <v>0</v>
      </c>
      <c r="L25" s="444">
        <f t="shared" si="12"/>
        <v>0</v>
      </c>
      <c r="M25" s="444">
        <f t="shared" si="13"/>
        <v>0</v>
      </c>
      <c r="N25" s="444">
        <f t="shared" si="14"/>
        <v>0</v>
      </c>
      <c r="O25" s="444">
        <f t="shared" si="15"/>
        <v>0</v>
      </c>
      <c r="P25" s="445">
        <f t="shared" si="16"/>
        <v>0</v>
      </c>
      <c r="Q25" s="443">
        <f t="shared" ca="1" si="17"/>
        <v>4534.5371641439206</v>
      </c>
    </row>
    <row r="26" spans="1:17">
      <c r="A26" s="443" t="s">
        <v>637</v>
      </c>
      <c r="B26" s="444">
        <f t="shared" ca="1" si="2"/>
        <v>1818.0407240909694</v>
      </c>
      <c r="C26" s="444">
        <f t="shared" ca="1" si="3"/>
        <v>0</v>
      </c>
      <c r="D26" s="444">
        <f t="shared" si="4"/>
        <v>1943.0644519</v>
      </c>
      <c r="E26" s="444">
        <f t="shared" si="5"/>
        <v>168.52064580191262</v>
      </c>
      <c r="F26" s="444">
        <f t="shared" si="6"/>
        <v>1131.213453428318</v>
      </c>
      <c r="G26" s="444">
        <f t="shared" si="7"/>
        <v>0</v>
      </c>
      <c r="H26" s="444">
        <f t="shared" si="8"/>
        <v>0</v>
      </c>
      <c r="I26" s="444">
        <f t="shared" si="9"/>
        <v>0</v>
      </c>
      <c r="J26" s="444">
        <f t="shared" si="10"/>
        <v>12.217201399116613</v>
      </c>
      <c r="K26" s="444">
        <f t="shared" si="11"/>
        <v>0</v>
      </c>
      <c r="L26" s="444">
        <f t="shared" si="12"/>
        <v>0</v>
      </c>
      <c r="M26" s="444">
        <f t="shared" si="13"/>
        <v>0</v>
      </c>
      <c r="N26" s="444">
        <f t="shared" si="14"/>
        <v>0</v>
      </c>
      <c r="O26" s="444">
        <f t="shared" si="15"/>
        <v>0</v>
      </c>
      <c r="P26" s="445">
        <f t="shared" si="16"/>
        <v>0</v>
      </c>
      <c r="Q26" s="443">
        <f t="shared" ca="1" si="17"/>
        <v>5073.056476620317</v>
      </c>
    </row>
    <row r="27" spans="1:17" s="449" customFormat="1">
      <c r="A27" s="447" t="s">
        <v>558</v>
      </c>
      <c r="B27" s="747">
        <f t="shared" ca="1" si="2"/>
        <v>2.8340270006116839</v>
      </c>
      <c r="C27" s="448">
        <f t="shared" ca="1" si="3"/>
        <v>0</v>
      </c>
      <c r="D27" s="448">
        <f t="shared" si="4"/>
        <v>5.6302154192412299</v>
      </c>
      <c r="E27" s="448">
        <f t="shared" si="5"/>
        <v>61.411478864886796</v>
      </c>
      <c r="F27" s="448">
        <f t="shared" si="6"/>
        <v>0</v>
      </c>
      <c r="G27" s="448">
        <f t="shared" si="7"/>
        <v>20195.382910895147</v>
      </c>
      <c r="H27" s="448">
        <f t="shared" si="8"/>
        <v>3992.7509336217427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24258.009565801629</v>
      </c>
    </row>
    <row r="28" spans="1:17">
      <c r="A28" s="443" t="s">
        <v>548</v>
      </c>
      <c r="B28" s="444">
        <f t="shared" ca="1" si="2"/>
        <v>2.0538398854486251</v>
      </c>
      <c r="C28" s="444">
        <f t="shared" ca="1" si="3"/>
        <v>0</v>
      </c>
      <c r="D28" s="444">
        <f t="shared" si="4"/>
        <v>0</v>
      </c>
      <c r="E28" s="444">
        <f t="shared" si="5"/>
        <v>0</v>
      </c>
      <c r="F28" s="444">
        <f t="shared" si="6"/>
        <v>0</v>
      </c>
      <c r="G28" s="444">
        <f t="shared" si="7"/>
        <v>619.05058360345447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621.10442348890308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205.72255691739051</v>
      </c>
      <c r="C32" s="444">
        <f t="shared" ca="1" si="3"/>
        <v>0</v>
      </c>
      <c r="D32" s="444">
        <f t="shared" si="4"/>
        <v>753.81491400000004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959.53747091739058</v>
      </c>
    </row>
    <row r="33" spans="1:17" s="453" customFormat="1">
      <c r="A33" s="1009" t="s">
        <v>552</v>
      </c>
      <c r="B33" s="949">
        <f ca="1">SUM(B22:B32)</f>
        <v>14969.082744902476</v>
      </c>
      <c r="C33" s="949">
        <f t="shared" ref="C33:Q33" ca="1" si="18">SUM(C22:C32)</f>
        <v>5.0500000000000007</v>
      </c>
      <c r="D33" s="949">
        <f t="shared" ca="1" si="18"/>
        <v>23889.099886563246</v>
      </c>
      <c r="E33" s="949">
        <f t="shared" si="18"/>
        <v>893.5761307998672</v>
      </c>
      <c r="F33" s="949">
        <f t="shared" ca="1" si="18"/>
        <v>26685.672379005111</v>
      </c>
      <c r="G33" s="949">
        <f t="shared" si="18"/>
        <v>20814.4334944986</v>
      </c>
      <c r="H33" s="949">
        <f t="shared" si="18"/>
        <v>3992.7509336217427</v>
      </c>
      <c r="I33" s="949">
        <f t="shared" si="18"/>
        <v>0</v>
      </c>
      <c r="J33" s="949">
        <f t="shared" si="18"/>
        <v>893.31610486493753</v>
      </c>
      <c r="K33" s="949">
        <f t="shared" si="18"/>
        <v>0</v>
      </c>
      <c r="L33" s="949">
        <f t="shared" ca="1" si="18"/>
        <v>0</v>
      </c>
      <c r="M33" s="949">
        <f t="shared" si="18"/>
        <v>0</v>
      </c>
      <c r="N33" s="949">
        <f t="shared" ca="1" si="18"/>
        <v>0</v>
      </c>
      <c r="O33" s="949">
        <f t="shared" si="18"/>
        <v>0</v>
      </c>
      <c r="P33" s="949">
        <f t="shared" si="18"/>
        <v>0</v>
      </c>
      <c r="Q33" s="949">
        <f t="shared" ca="1" si="18"/>
        <v>92142.981674255978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10511.643767809548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10934.412521336077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4.5</v>
      </c>
      <c r="D8" s="1026">
        <f>'SEAP template'!D76</f>
        <v>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21446.056289145625</v>
      </c>
      <c r="C10" s="1030">
        <f>SUM(C4:C9)</f>
        <v>4.5</v>
      </c>
      <c r="D10" s="1030">
        <f t="shared" ref="D10:H10" si="0">SUM(D8:D9)</f>
        <v>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1.01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0.16785360798150673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22.5</v>
      </c>
      <c r="D17" s="1027">
        <f>'SEAP template'!D87</f>
        <v>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5.0500000000000007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22.5</v>
      </c>
      <c r="D20" s="1030">
        <f t="shared" ref="D20:H20" si="2">SUM(D17:D19)</f>
        <v>25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5.0500000000000007</v>
      </c>
    </row>
    <row r="22" spans="1:16">
      <c r="A22" s="454" t="s">
        <v>853</v>
      </c>
      <c r="B22" s="753" t="s">
        <v>847</v>
      </c>
      <c r="C22" s="753">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0.16785360798150673</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0.16785360798150673</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0.16785360798150673</v>
      </c>
      <c r="C29" s="492">
        <f ca="1">'EF ele_warmte'!B22</f>
        <v>0.22444444444444447</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10321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3591</v>
      </c>
      <c r="C14" s="324"/>
      <c r="D14" s="324"/>
      <c r="E14" s="324"/>
      <c r="F14" s="324"/>
    </row>
    <row r="15" spans="1:6">
      <c r="A15" s="1302" t="s">
        <v>177</v>
      </c>
      <c r="B15" s="1303">
        <v>660</v>
      </c>
      <c r="C15" s="324"/>
      <c r="D15" s="324"/>
      <c r="E15" s="324"/>
      <c r="F15" s="324"/>
    </row>
    <row r="16" spans="1:6">
      <c r="A16" s="1302" t="s">
        <v>6</v>
      </c>
      <c r="B16" s="1303">
        <v>1716</v>
      </c>
      <c r="C16" s="324"/>
      <c r="D16" s="324"/>
      <c r="E16" s="324"/>
      <c r="F16" s="324"/>
    </row>
    <row r="17" spans="1:6">
      <c r="A17" s="1302" t="s">
        <v>7</v>
      </c>
      <c r="B17" s="1303">
        <v>419</v>
      </c>
      <c r="C17" s="324"/>
      <c r="D17" s="324"/>
      <c r="E17" s="324"/>
      <c r="F17" s="324"/>
    </row>
    <row r="18" spans="1:6">
      <c r="A18" s="1302" t="s">
        <v>8</v>
      </c>
      <c r="B18" s="1303">
        <v>1099</v>
      </c>
      <c r="C18" s="324"/>
      <c r="D18" s="324"/>
      <c r="E18" s="324"/>
      <c r="F18" s="324"/>
    </row>
    <row r="19" spans="1:6">
      <c r="A19" s="1302" t="s">
        <v>9</v>
      </c>
      <c r="B19" s="1303">
        <v>889</v>
      </c>
      <c r="C19" s="324"/>
      <c r="D19" s="324"/>
      <c r="E19" s="324"/>
      <c r="F19" s="324"/>
    </row>
    <row r="20" spans="1:6">
      <c r="A20" s="1302" t="s">
        <v>10</v>
      </c>
      <c r="B20" s="1303">
        <v>554</v>
      </c>
      <c r="C20" s="324"/>
      <c r="D20" s="324"/>
      <c r="E20" s="324"/>
      <c r="F20" s="324"/>
    </row>
    <row r="21" spans="1:6">
      <c r="A21" s="1302" t="s">
        <v>11</v>
      </c>
      <c r="B21" s="1303">
        <v>5134</v>
      </c>
      <c r="C21" s="324"/>
      <c r="D21" s="324"/>
      <c r="E21" s="324"/>
      <c r="F21" s="324"/>
    </row>
    <row r="22" spans="1:6">
      <c r="A22" s="1302" t="s">
        <v>12</v>
      </c>
      <c r="B22" s="1303">
        <v>12548</v>
      </c>
      <c r="C22" s="324"/>
      <c r="D22" s="324"/>
      <c r="E22" s="324"/>
      <c r="F22" s="324"/>
    </row>
    <row r="23" spans="1:6">
      <c r="A23" s="1302" t="s">
        <v>13</v>
      </c>
      <c r="B23" s="1303">
        <v>269</v>
      </c>
      <c r="C23" s="324"/>
      <c r="D23" s="324"/>
      <c r="E23" s="324"/>
      <c r="F23" s="324"/>
    </row>
    <row r="24" spans="1:6">
      <c r="A24" s="1302" t="s">
        <v>14</v>
      </c>
      <c r="B24" s="1303">
        <v>10</v>
      </c>
      <c r="C24" s="324"/>
      <c r="D24" s="324"/>
      <c r="E24" s="324"/>
      <c r="F24" s="324"/>
    </row>
    <row r="25" spans="1:6">
      <c r="A25" s="1302" t="s">
        <v>15</v>
      </c>
      <c r="B25" s="1303">
        <v>1213</v>
      </c>
      <c r="C25" s="324"/>
      <c r="D25" s="324"/>
      <c r="E25" s="324"/>
      <c r="F25" s="324"/>
    </row>
    <row r="26" spans="1:6">
      <c r="A26" s="1302" t="s">
        <v>16</v>
      </c>
      <c r="B26" s="1303">
        <v>181</v>
      </c>
      <c r="C26" s="324"/>
      <c r="D26" s="324"/>
      <c r="E26" s="324"/>
      <c r="F26" s="324"/>
    </row>
    <row r="27" spans="1:6">
      <c r="A27" s="1302" t="s">
        <v>17</v>
      </c>
      <c r="B27" s="1303">
        <v>3</v>
      </c>
      <c r="C27" s="324"/>
      <c r="D27" s="324"/>
      <c r="E27" s="324"/>
      <c r="F27" s="324"/>
    </row>
    <row r="28" spans="1:6">
      <c r="A28" s="1302" t="s">
        <v>18</v>
      </c>
      <c r="B28" s="1304">
        <v>339735</v>
      </c>
      <c r="C28" s="324"/>
      <c r="D28" s="324"/>
      <c r="E28" s="324"/>
      <c r="F28" s="324"/>
    </row>
    <row r="29" spans="1:6">
      <c r="A29" s="1302" t="s">
        <v>918</v>
      </c>
      <c r="B29" s="1304">
        <v>283</v>
      </c>
      <c r="C29" s="324"/>
      <c r="D29" s="324"/>
      <c r="E29" s="324"/>
      <c r="F29" s="324"/>
    </row>
    <row r="30" spans="1:6">
      <c r="A30" s="1297" t="s">
        <v>919</v>
      </c>
      <c r="B30" s="1305">
        <v>40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17</v>
      </c>
      <c r="F36" s="1303">
        <v>62889</v>
      </c>
    </row>
    <row r="37" spans="1:6">
      <c r="A37" s="1302" t="s">
        <v>24</v>
      </c>
      <c r="B37" s="1302" t="s">
        <v>27</v>
      </c>
      <c r="C37" s="1303">
        <v>0</v>
      </c>
      <c r="D37" s="1303">
        <v>0</v>
      </c>
      <c r="E37" s="1303">
        <v>0</v>
      </c>
      <c r="F37" s="1303">
        <v>0</v>
      </c>
    </row>
    <row r="38" spans="1:6">
      <c r="A38" s="1302" t="s">
        <v>24</v>
      </c>
      <c r="B38" s="1302" t="s">
        <v>28</v>
      </c>
      <c r="C38" s="1303">
        <v>1</v>
      </c>
      <c r="D38" s="1303">
        <v>398741</v>
      </c>
      <c r="E38" s="1303">
        <v>1</v>
      </c>
      <c r="F38" s="1303">
        <v>1981</v>
      </c>
    </row>
    <row r="39" spans="1:6">
      <c r="A39" s="1302" t="s">
        <v>29</v>
      </c>
      <c r="B39" s="1302" t="s">
        <v>30</v>
      </c>
      <c r="C39" s="1303">
        <v>5442</v>
      </c>
      <c r="D39" s="1303">
        <v>81624877</v>
      </c>
      <c r="E39" s="1303">
        <v>10424</v>
      </c>
      <c r="F39" s="1303">
        <v>36513177</v>
      </c>
    </row>
    <row r="40" spans="1:6">
      <c r="A40" s="1302" t="s">
        <v>29</v>
      </c>
      <c r="B40" s="1302" t="s">
        <v>28</v>
      </c>
      <c r="C40" s="1303">
        <v>0</v>
      </c>
      <c r="D40" s="1303">
        <v>0</v>
      </c>
      <c r="E40" s="1303">
        <v>0</v>
      </c>
      <c r="F40" s="1303">
        <v>0</v>
      </c>
    </row>
    <row r="41" spans="1:6">
      <c r="A41" s="1302" t="s">
        <v>31</v>
      </c>
      <c r="B41" s="1302" t="s">
        <v>32</v>
      </c>
      <c r="C41" s="1303">
        <v>64</v>
      </c>
      <c r="D41" s="1303">
        <v>2498680</v>
      </c>
      <c r="E41" s="1303">
        <v>168</v>
      </c>
      <c r="F41" s="1303">
        <v>1953770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10</v>
      </c>
      <c r="D44" s="1303">
        <v>406343</v>
      </c>
      <c r="E44" s="1303">
        <v>32</v>
      </c>
      <c r="F44" s="1303">
        <v>1321281</v>
      </c>
    </row>
    <row r="45" spans="1:6">
      <c r="A45" s="1302" t="s">
        <v>31</v>
      </c>
      <c r="B45" s="1302" t="s">
        <v>36</v>
      </c>
      <c r="C45" s="1303">
        <v>5</v>
      </c>
      <c r="D45" s="1303">
        <v>6323382</v>
      </c>
      <c r="E45" s="1303">
        <v>9</v>
      </c>
      <c r="F45" s="1303">
        <v>2268768</v>
      </c>
    </row>
    <row r="46" spans="1:6">
      <c r="A46" s="1302" t="s">
        <v>31</v>
      </c>
      <c r="B46" s="1302" t="s">
        <v>37</v>
      </c>
      <c r="C46" s="1303">
        <v>0</v>
      </c>
      <c r="D46" s="1303">
        <v>0</v>
      </c>
      <c r="E46" s="1303">
        <v>0</v>
      </c>
      <c r="F46" s="1303">
        <v>0</v>
      </c>
    </row>
    <row r="47" spans="1:6">
      <c r="A47" s="1302" t="s">
        <v>31</v>
      </c>
      <c r="B47" s="1302" t="s">
        <v>38</v>
      </c>
      <c r="C47" s="1303">
        <v>0</v>
      </c>
      <c r="D47" s="1303">
        <v>0</v>
      </c>
      <c r="E47" s="1303">
        <v>5</v>
      </c>
      <c r="F47" s="1303">
        <v>90931</v>
      </c>
    </row>
    <row r="48" spans="1:6">
      <c r="A48" s="1302" t="s">
        <v>31</v>
      </c>
      <c r="B48" s="1302" t="s">
        <v>28</v>
      </c>
      <c r="C48" s="1303">
        <v>5</v>
      </c>
      <c r="D48" s="1303">
        <v>648448</v>
      </c>
      <c r="E48" s="1303">
        <v>2</v>
      </c>
      <c r="F48" s="1303">
        <v>3016142</v>
      </c>
    </row>
    <row r="49" spans="1:6">
      <c r="A49" s="1302" t="s">
        <v>31</v>
      </c>
      <c r="B49" s="1302" t="s">
        <v>39</v>
      </c>
      <c r="C49" s="1303">
        <v>0</v>
      </c>
      <c r="D49" s="1303">
        <v>0</v>
      </c>
      <c r="E49" s="1303">
        <v>4</v>
      </c>
      <c r="F49" s="1303">
        <v>1407482</v>
      </c>
    </row>
    <row r="50" spans="1:6">
      <c r="A50" s="1302" t="s">
        <v>31</v>
      </c>
      <c r="B50" s="1302" t="s">
        <v>40</v>
      </c>
      <c r="C50" s="1303">
        <v>8</v>
      </c>
      <c r="D50" s="1303">
        <v>787372</v>
      </c>
      <c r="E50" s="1303">
        <v>19</v>
      </c>
      <c r="F50" s="1303">
        <v>772735</v>
      </c>
    </row>
    <row r="51" spans="1:6">
      <c r="A51" s="1302" t="s">
        <v>41</v>
      </c>
      <c r="B51" s="1302" t="s">
        <v>42</v>
      </c>
      <c r="C51" s="1303">
        <v>32</v>
      </c>
      <c r="D51" s="1303">
        <v>5713175</v>
      </c>
      <c r="E51" s="1303">
        <v>100</v>
      </c>
      <c r="F51" s="1303">
        <v>3875730.138888889</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120</v>
      </c>
      <c r="F54" s="1303">
        <v>1414819</v>
      </c>
    </row>
    <row r="55" spans="1:6">
      <c r="A55" s="1302" t="s">
        <v>45</v>
      </c>
      <c r="B55" s="1302" t="s">
        <v>28</v>
      </c>
      <c r="C55" s="1303">
        <v>0</v>
      </c>
      <c r="D55" s="1303">
        <v>0</v>
      </c>
      <c r="E55" s="1303">
        <v>0</v>
      </c>
      <c r="F55" s="1303">
        <v>0</v>
      </c>
    </row>
    <row r="56" spans="1:6">
      <c r="A56" s="1302" t="s">
        <v>47</v>
      </c>
      <c r="B56" s="1302" t="s">
        <v>28</v>
      </c>
      <c r="C56" s="1303">
        <v>89</v>
      </c>
      <c r="D56" s="1303">
        <v>3731757</v>
      </c>
      <c r="E56" s="1303">
        <v>247</v>
      </c>
      <c r="F56" s="1303">
        <v>1225607</v>
      </c>
    </row>
    <row r="57" spans="1:6">
      <c r="A57" s="1302" t="s">
        <v>48</v>
      </c>
      <c r="B57" s="1302" t="s">
        <v>49</v>
      </c>
      <c r="C57" s="1303">
        <v>79</v>
      </c>
      <c r="D57" s="1303">
        <v>8409312</v>
      </c>
      <c r="E57" s="1303">
        <v>163</v>
      </c>
      <c r="F57" s="1303">
        <v>4955162</v>
      </c>
    </row>
    <row r="58" spans="1:6">
      <c r="A58" s="1302" t="s">
        <v>48</v>
      </c>
      <c r="B58" s="1302" t="s">
        <v>50</v>
      </c>
      <c r="C58" s="1303">
        <v>23</v>
      </c>
      <c r="D58" s="1303">
        <v>2837195</v>
      </c>
      <c r="E58" s="1303">
        <v>44</v>
      </c>
      <c r="F58" s="1303">
        <v>2814911</v>
      </c>
    </row>
    <row r="59" spans="1:6">
      <c r="A59" s="1302" t="s">
        <v>48</v>
      </c>
      <c r="B59" s="1302" t="s">
        <v>51</v>
      </c>
      <c r="C59" s="1303">
        <v>145</v>
      </c>
      <c r="D59" s="1303">
        <v>5388720</v>
      </c>
      <c r="E59" s="1303">
        <v>322</v>
      </c>
      <c r="F59" s="1303">
        <v>9180078</v>
      </c>
    </row>
    <row r="60" spans="1:6">
      <c r="A60" s="1302" t="s">
        <v>48</v>
      </c>
      <c r="B60" s="1302" t="s">
        <v>52</v>
      </c>
      <c r="C60" s="1303">
        <v>80</v>
      </c>
      <c r="D60" s="1303">
        <v>4291953</v>
      </c>
      <c r="E60" s="1303">
        <v>176</v>
      </c>
      <c r="F60" s="1303">
        <v>4260683.2181069963</v>
      </c>
    </row>
    <row r="61" spans="1:6">
      <c r="A61" s="1302" t="s">
        <v>48</v>
      </c>
      <c r="B61" s="1302" t="s">
        <v>53</v>
      </c>
      <c r="C61" s="1303">
        <v>152</v>
      </c>
      <c r="D61" s="1303">
        <v>5162908</v>
      </c>
      <c r="E61" s="1303">
        <v>437</v>
      </c>
      <c r="F61" s="1303">
        <v>4830585</v>
      </c>
    </row>
    <row r="62" spans="1:6">
      <c r="A62" s="1302" t="s">
        <v>48</v>
      </c>
      <c r="B62" s="1302" t="s">
        <v>54</v>
      </c>
      <c r="C62" s="1303">
        <v>17</v>
      </c>
      <c r="D62" s="1303">
        <v>2884621</v>
      </c>
      <c r="E62" s="1303">
        <v>35</v>
      </c>
      <c r="F62" s="1303">
        <v>2004675</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3</v>
      </c>
      <c r="D65" s="1303">
        <v>46341</v>
      </c>
      <c r="E65" s="1303">
        <v>0</v>
      </c>
      <c r="F65" s="1303">
        <v>0</v>
      </c>
    </row>
    <row r="66" spans="1:6">
      <c r="A66" s="1302" t="s">
        <v>55</v>
      </c>
      <c r="B66" s="1302" t="s">
        <v>57</v>
      </c>
      <c r="C66" s="1303">
        <v>0</v>
      </c>
      <c r="D66" s="1303">
        <v>0</v>
      </c>
      <c r="E66" s="1303">
        <v>4</v>
      </c>
      <c r="F66" s="1303">
        <v>332767</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38456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97119081</v>
      </c>
      <c r="E73" s="442"/>
      <c r="F73" s="324"/>
    </row>
    <row r="74" spans="1:6">
      <c r="A74" s="1302" t="s">
        <v>63</v>
      </c>
      <c r="B74" s="1302" t="s">
        <v>695</v>
      </c>
      <c r="C74" s="1315" t="s">
        <v>697</v>
      </c>
      <c r="D74" s="1303">
        <v>5238880.0431087427</v>
      </c>
      <c r="E74" s="442"/>
      <c r="F74" s="324"/>
    </row>
    <row r="75" spans="1:6">
      <c r="A75" s="1302" t="s">
        <v>64</v>
      </c>
      <c r="B75" s="1302" t="s">
        <v>694</v>
      </c>
      <c r="C75" s="1315" t="s">
        <v>698</v>
      </c>
      <c r="D75" s="1303">
        <v>25905322</v>
      </c>
      <c r="E75" s="442"/>
      <c r="F75" s="324"/>
    </row>
    <row r="76" spans="1:6">
      <c r="A76" s="1302" t="s">
        <v>64</v>
      </c>
      <c r="B76" s="1302" t="s">
        <v>695</v>
      </c>
      <c r="C76" s="1315" t="s">
        <v>699</v>
      </c>
      <c r="D76" s="1303">
        <v>444386.04310874274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661855.91378251452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10511.643767809548</v>
      </c>
      <c r="C90" s="324"/>
      <c r="D90" s="324"/>
      <c r="E90" s="324"/>
      <c r="F90" s="324"/>
    </row>
    <row r="91" spans="1:6">
      <c r="A91" s="1302" t="s">
        <v>67</v>
      </c>
      <c r="B91" s="1303">
        <v>7243.7360617244549</v>
      </c>
      <c r="C91" s="324"/>
      <c r="D91" s="324"/>
      <c r="E91" s="324"/>
      <c r="F91" s="324"/>
    </row>
    <row r="92" spans="1:6">
      <c r="A92" s="1297" t="s">
        <v>68</v>
      </c>
      <c r="B92" s="1298">
        <v>3690.6764596116222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2004</v>
      </c>
      <c r="C97" s="324"/>
      <c r="D97" s="324"/>
      <c r="E97" s="324"/>
      <c r="F97" s="324"/>
    </row>
    <row r="98" spans="1:6">
      <c r="A98" s="1302" t="s">
        <v>71</v>
      </c>
      <c r="B98" s="1303">
        <v>3</v>
      </c>
      <c r="C98" s="324"/>
      <c r="D98" s="324"/>
      <c r="E98" s="324"/>
      <c r="F98" s="324"/>
    </row>
    <row r="99" spans="1:6">
      <c r="A99" s="1302" t="s">
        <v>72</v>
      </c>
      <c r="B99" s="1303">
        <v>78</v>
      </c>
      <c r="C99" s="324"/>
      <c r="D99" s="324"/>
      <c r="E99" s="324"/>
      <c r="F99" s="324"/>
    </row>
    <row r="100" spans="1:6">
      <c r="A100" s="1302" t="s">
        <v>73</v>
      </c>
      <c r="B100" s="1303">
        <v>269</v>
      </c>
      <c r="C100" s="324"/>
      <c r="D100" s="324"/>
      <c r="E100" s="324"/>
      <c r="F100" s="324"/>
    </row>
    <row r="101" spans="1:6">
      <c r="A101" s="1302" t="s">
        <v>74</v>
      </c>
      <c r="B101" s="1303">
        <v>71</v>
      </c>
      <c r="C101" s="324"/>
      <c r="D101" s="324"/>
      <c r="E101" s="324"/>
      <c r="F101" s="324"/>
    </row>
    <row r="102" spans="1:6">
      <c r="A102" s="1302" t="s">
        <v>75</v>
      </c>
      <c r="B102" s="1303">
        <v>125</v>
      </c>
      <c r="C102" s="324"/>
      <c r="D102" s="324"/>
      <c r="E102" s="324"/>
      <c r="F102" s="324"/>
    </row>
    <row r="103" spans="1:6">
      <c r="A103" s="1302" t="s">
        <v>76</v>
      </c>
      <c r="B103" s="1303">
        <v>108</v>
      </c>
      <c r="C103" s="324"/>
      <c r="D103" s="324"/>
      <c r="E103" s="324"/>
      <c r="F103" s="324"/>
    </row>
    <row r="104" spans="1:6">
      <c r="A104" s="1302" t="s">
        <v>77</v>
      </c>
      <c r="B104" s="1303">
        <v>6016</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8</v>
      </c>
      <c r="C123" s="1303">
        <v>12</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259</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26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89179.392238930581</v>
      </c>
      <c r="C3" s="43" t="s">
        <v>163</v>
      </c>
      <c r="D3" s="43"/>
      <c r="E3" s="154"/>
      <c r="F3" s="43"/>
      <c r="G3" s="43"/>
      <c r="H3" s="43"/>
      <c r="I3" s="43"/>
      <c r="J3" s="43"/>
      <c r="K3" s="96"/>
    </row>
    <row r="4" spans="1:11">
      <c r="A4" s="351" t="s">
        <v>164</v>
      </c>
      <c r="B4" s="49">
        <f>IF(ISERROR('SEAP template'!B78+'SEAP template'!C78),0,'SEAP template'!B78+'SEAP template'!C78)</f>
        <v>21450.556289145625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0.16785360798150673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5.0500000000000007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0.22444444444444447</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1414.819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1414.819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0.16785360798150673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237.48247379078737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36513.177000000003</v>
      </c>
      <c r="C5" s="17">
        <f>IF(ISERROR('Eigen informatie GS &amp; warmtenet'!B57),0,'Eigen informatie GS &amp; warmtenet'!B57)</f>
        <v>0</v>
      </c>
      <c r="D5" s="30">
        <f>(SUM(HH_hh_gas_kWh,HH_rest_gas_kWh)/1000)*0.902</f>
        <v>73625.639053999999</v>
      </c>
      <c r="E5" s="17">
        <f>B32*B41</f>
        <v>2575.5868506374813</v>
      </c>
      <c r="F5" s="17">
        <f>B36*B45</f>
        <v>81251.72980814286</v>
      </c>
      <c r="G5" s="18"/>
      <c r="H5" s="17"/>
      <c r="I5" s="17"/>
      <c r="J5" s="17">
        <f>B35*B44+C35*C44</f>
        <v>1894.7872697270243</v>
      </c>
      <c r="K5" s="17"/>
      <c r="L5" s="17"/>
      <c r="M5" s="17"/>
      <c r="N5" s="17">
        <f>B34*B43+C34*C43</f>
        <v>12254.287022152446</v>
      </c>
      <c r="O5" s="17">
        <f>B52*B53*B54</f>
        <v>425.22666666666669</v>
      </c>
      <c r="P5" s="17">
        <f>B60*B61*B62/1000-B60*B61*B62/1000/B63</f>
        <v>648.26666666666665</v>
      </c>
    </row>
    <row r="6" spans="1:16">
      <c r="A6" s="16" t="s">
        <v>618</v>
      </c>
      <c r="B6" s="755">
        <f>kWh_PV_kleiner_dan_10kW</f>
        <v>7243.7360617244549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43756.913061724459</v>
      </c>
      <c r="C8" s="21">
        <f>C5</f>
        <v>0</v>
      </c>
      <c r="D8" s="21">
        <f>D5</f>
        <v>73625.639053999999</v>
      </c>
      <c r="E8" s="21">
        <f>E5</f>
        <v>2575.5868506374813</v>
      </c>
      <c r="F8" s="21">
        <f>F5</f>
        <v>81251.72980814286</v>
      </c>
      <c r="G8" s="21"/>
      <c r="H8" s="21"/>
      <c r="I8" s="21"/>
      <c r="J8" s="21">
        <f>J5</f>
        <v>1894.7872697270243</v>
      </c>
      <c r="K8" s="21"/>
      <c r="L8" s="21">
        <f>L5</f>
        <v>0</v>
      </c>
      <c r="M8" s="21">
        <f>M5</f>
        <v>0</v>
      </c>
      <c r="N8" s="21">
        <f>N5</f>
        <v>12254.287022152446</v>
      </c>
      <c r="O8" s="21">
        <f>O5</f>
        <v>425.22666666666669</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0.16785360798150673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7344.7557315435688</v>
      </c>
      <c r="C12" s="23">
        <f ca="1">C10*C8</f>
        <v>0</v>
      </c>
      <c r="D12" s="23">
        <f>D8*D10</f>
        <v>14872.379088908001</v>
      </c>
      <c r="E12" s="23">
        <f>E10*E8</f>
        <v>584.65821509470834</v>
      </c>
      <c r="F12" s="23">
        <f>F10*F8</f>
        <v>21694.211858774146</v>
      </c>
      <c r="G12" s="23"/>
      <c r="H12" s="23"/>
      <c r="I12" s="23"/>
      <c r="J12" s="23">
        <f>J10*J8</f>
        <v>670.75469348336651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10321</v>
      </c>
      <c r="C26" s="36"/>
      <c r="D26" s="225"/>
    </row>
    <row r="27" spans="1:5" s="15" customFormat="1">
      <c r="A27" s="227" t="s">
        <v>721</v>
      </c>
      <c r="B27" s="37">
        <f>SUM(HH_hh_gas_aantal,HH_rest_gas_aantal)</f>
        <v>5442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5169.8999999999996</v>
      </c>
      <c r="C31" s="34" t="s">
        <v>104</v>
      </c>
      <c r="D31" s="171"/>
    </row>
    <row r="32" spans="1:5">
      <c r="A32" s="168" t="s">
        <v>72</v>
      </c>
      <c r="B32" s="33">
        <f>IF((B21*($B$26-($B$27-0.05*$B$27)-$B$60))&lt;0,0,B21*($B$26-($B$27-0.05*$B$27)-$B$60))</f>
        <v>32.264443562672227</v>
      </c>
      <c r="C32" s="34" t="s">
        <v>104</v>
      </c>
      <c r="D32" s="171"/>
    </row>
    <row r="33" spans="1:6">
      <c r="A33" s="168" t="s">
        <v>73</v>
      </c>
      <c r="B33" s="33">
        <f>IF((B22*($B$26-($B$27-0.05*$B$27)-$B$60))&lt;0,0,B22*($B$26-($B$27-0.05*$B$27)-$B$60))</f>
        <v>1123.5651323642358</v>
      </c>
      <c r="C33" s="34" t="s">
        <v>104</v>
      </c>
      <c r="D33" s="171"/>
    </row>
    <row r="34" spans="1:6">
      <c r="A34" s="168" t="s">
        <v>74</v>
      </c>
      <c r="B34" s="33">
        <f>IF((B24*($B$26-($B$27-0.05*$B$27)-$B$60))&lt;0,0,B24*($B$26-($B$27-0.05*$B$27)-$B$60))</f>
        <v>223.02270820565622</v>
      </c>
      <c r="C34" s="33">
        <f>B26*C24</f>
        <v>2111.6733223032538</v>
      </c>
      <c r="D34" s="230"/>
    </row>
    <row r="35" spans="1:6">
      <c r="A35" s="168" t="s">
        <v>76</v>
      </c>
      <c r="B35" s="33">
        <f>IF((B19*($B$26-($B$27-0.05*$B$27)-$B$60))&lt;0,0,B19*($B$26-($B$27-0.05*$B$27)-$B$60))</f>
        <v>108.95927616586323</v>
      </c>
      <c r="C35" s="33">
        <f>B35/2</f>
        <v>54.479638082931615</v>
      </c>
      <c r="D35" s="230"/>
    </row>
    <row r="36" spans="1:6">
      <c r="A36" s="168" t="s">
        <v>77</v>
      </c>
      <c r="B36" s="33">
        <f>IF((B18*($B$26-($B$27-0.05*$B$27)-$B$60))&lt;0,0,B18*($B$26-($B$27-0.05*$B$27)-$B$60))</f>
        <v>3629.2884397015746</v>
      </c>
      <c r="C36" s="34" t="s">
        <v>104</v>
      </c>
      <c r="D36" s="171"/>
    </row>
    <row r="37" spans="1:6">
      <c r="A37" s="168" t="s">
        <v>78</v>
      </c>
      <c r="B37" s="33">
        <f>B60</f>
        <v>34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272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28046.094218106999</v>
      </c>
      <c r="C5" s="17">
        <f>IF(ISERROR('Eigen informatie GS &amp; warmtenet'!B58),0,'Eigen informatie GS &amp; warmtenet'!B58)</f>
        <v>0</v>
      </c>
      <c r="D5" s="30">
        <f>SUM(D6:D12)</f>
        <v>26135.187518000002</v>
      </c>
      <c r="E5" s="17">
        <f>SUM(E6:E12)</f>
        <v>312.05639074931389</v>
      </c>
      <c r="F5" s="17">
        <f>SUM(F6:F12)</f>
        <v>4624.3884945865675</v>
      </c>
      <c r="G5" s="18"/>
      <c r="H5" s="17"/>
      <c r="I5" s="17"/>
      <c r="J5" s="17">
        <f>SUM(J6:J12)</f>
        <v>0</v>
      </c>
      <c r="K5" s="17"/>
      <c r="L5" s="17"/>
      <c r="M5" s="17"/>
      <c r="N5" s="17">
        <f>SUM(N6:N12)</f>
        <v>3639.0946021451878</v>
      </c>
      <c r="O5" s="17">
        <f>B38*B39*B40</f>
        <v>3.1266666666666669</v>
      </c>
      <c r="P5" s="17">
        <f>B46*B47*B48/1000-B46*B47*B48/1000/B49</f>
        <v>38.133333333333333</v>
      </c>
      <c r="R5" s="32"/>
    </row>
    <row r="6" spans="1:18">
      <c r="A6" s="32" t="s">
        <v>53</v>
      </c>
      <c r="B6" s="37">
        <f>B26</f>
        <v>4830.585</v>
      </c>
      <c r="C6" s="33"/>
      <c r="D6" s="37">
        <f>IF(ISERROR(TER_kantoor_gas_kWh/1000),0,TER_kantoor_gas_kWh/1000)*0.902</f>
        <v>4656.9430160000002</v>
      </c>
      <c r="E6" s="33">
        <f>$C$26*'E Balans VL '!I12/100/3.6*1000000</f>
        <v>13.994913492314623</v>
      </c>
      <c r="F6" s="33">
        <f>$C$26*('E Balans VL '!L12+'E Balans VL '!N12)/100/3.6*1000000</f>
        <v>546.71579596098968</v>
      </c>
      <c r="G6" s="34"/>
      <c r="H6" s="33"/>
      <c r="I6" s="33"/>
      <c r="J6" s="33">
        <f>$C$26*('E Balans VL '!D12+'E Balans VL '!E12)/100/3.6*1000000</f>
        <v>0</v>
      </c>
      <c r="K6" s="33"/>
      <c r="L6" s="33"/>
      <c r="M6" s="33"/>
      <c r="N6" s="33">
        <f>$C$26*'E Balans VL '!Y12/100/3.6*1000000</f>
        <v>48.350596516052128</v>
      </c>
      <c r="O6" s="33"/>
      <c r="P6" s="33"/>
      <c r="R6" s="32"/>
    </row>
    <row r="7" spans="1:18">
      <c r="A7" s="32" t="s">
        <v>52</v>
      </c>
      <c r="B7" s="37">
        <f t="shared" ref="B7:B12" si="0">B27</f>
        <v>4260.6832181069967</v>
      </c>
      <c r="C7" s="33"/>
      <c r="D7" s="37">
        <f>IF(ISERROR(TER_horeca_gas_kWh/1000),0,TER_horeca_gas_kWh/1000)*0.902</f>
        <v>3871.3416060000004</v>
      </c>
      <c r="E7" s="33">
        <f>$C$27*'E Balans VL '!I9/100/3.6*1000000</f>
        <v>178.85157738249123</v>
      </c>
      <c r="F7" s="33">
        <f>$C$27*('E Balans VL '!L9+'E Balans VL '!N9)/100/3.6*1000000</f>
        <v>915.49516294877299</v>
      </c>
      <c r="G7" s="34"/>
      <c r="H7" s="33"/>
      <c r="I7" s="33"/>
      <c r="J7" s="33">
        <f>$C$27*('E Balans VL '!D9+'E Balans VL '!E9)/100/3.6*1000000</f>
        <v>0</v>
      </c>
      <c r="K7" s="33"/>
      <c r="L7" s="33"/>
      <c r="M7" s="33"/>
      <c r="N7" s="33">
        <f>$C$27*'E Balans VL '!Y9/100/3.6*1000000</f>
        <v>1.0979408042797008</v>
      </c>
      <c r="O7" s="33"/>
      <c r="P7" s="33"/>
      <c r="R7" s="32"/>
    </row>
    <row r="8" spans="1:18">
      <c r="A8" s="6" t="s">
        <v>51</v>
      </c>
      <c r="B8" s="37">
        <f t="shared" si="0"/>
        <v>9180.0779999999995</v>
      </c>
      <c r="C8" s="33"/>
      <c r="D8" s="37">
        <f>IF(ISERROR(TER_handel_gas_kWh/1000),0,TER_handel_gas_kWh/1000)*0.902</f>
        <v>4860.6254400000007</v>
      </c>
      <c r="E8" s="33">
        <f>$C$28*'E Balans VL '!I13/100/3.6*1000000</f>
        <v>98.601678081729986</v>
      </c>
      <c r="F8" s="33">
        <f>$C$28*('E Balans VL '!L13+'E Balans VL '!N13)/100/3.6*1000000</f>
        <v>1188.4369046213676</v>
      </c>
      <c r="G8" s="34"/>
      <c r="H8" s="33"/>
      <c r="I8" s="33"/>
      <c r="J8" s="33">
        <f>$C$28*('E Balans VL '!D13+'E Balans VL '!E13)/100/3.6*1000000</f>
        <v>0</v>
      </c>
      <c r="K8" s="33"/>
      <c r="L8" s="33"/>
      <c r="M8" s="33"/>
      <c r="N8" s="33">
        <f>$C$28*'E Balans VL '!Y13/100/3.6*1000000</f>
        <v>74.469293990053089</v>
      </c>
      <c r="O8" s="33"/>
      <c r="P8" s="33"/>
      <c r="R8" s="32"/>
    </row>
    <row r="9" spans="1:18">
      <c r="A9" s="32" t="s">
        <v>50</v>
      </c>
      <c r="B9" s="37">
        <f t="shared" si="0"/>
        <v>2814.9110000000001</v>
      </c>
      <c r="C9" s="33"/>
      <c r="D9" s="37">
        <f>IF(ISERROR(TER_gezond_gas_kWh/1000),0,TER_gezond_gas_kWh/1000)*0.902</f>
        <v>2559.1498900000001</v>
      </c>
      <c r="E9" s="33">
        <f>$C$29*'E Balans VL '!I10/100/3.6*1000000</f>
        <v>2.2408512195658532</v>
      </c>
      <c r="F9" s="33">
        <f>$C$29*('E Balans VL '!L10+'E Balans VL '!N10)/100/3.6*1000000</f>
        <v>342.19311117793558</v>
      </c>
      <c r="G9" s="34"/>
      <c r="H9" s="33"/>
      <c r="I9" s="33"/>
      <c r="J9" s="33">
        <f>$C$29*('E Balans VL '!D10+'E Balans VL '!E10)/100/3.6*1000000</f>
        <v>0</v>
      </c>
      <c r="K9" s="33"/>
      <c r="L9" s="33"/>
      <c r="M9" s="33"/>
      <c r="N9" s="33">
        <f>$C$29*'E Balans VL '!Y10/100/3.6*1000000</f>
        <v>22.738105296329852</v>
      </c>
      <c r="O9" s="33"/>
      <c r="P9" s="33"/>
      <c r="R9" s="32"/>
    </row>
    <row r="10" spans="1:18">
      <c r="A10" s="32" t="s">
        <v>49</v>
      </c>
      <c r="B10" s="37">
        <f t="shared" si="0"/>
        <v>4955.1620000000003</v>
      </c>
      <c r="C10" s="33"/>
      <c r="D10" s="37">
        <f>IF(ISERROR(TER_ander_gas_kWh/1000),0,TER_ander_gas_kWh/1000)*0.902</f>
        <v>7585.1994240000004</v>
      </c>
      <c r="E10" s="33">
        <f>$C$30*'E Balans VL '!I14/100/3.6*1000000</f>
        <v>16.981600484843284</v>
      </c>
      <c r="F10" s="33">
        <f>$C$30*('E Balans VL '!L14+'E Balans VL '!N14)/100/3.6*1000000</f>
        <v>1106.7818367351247</v>
      </c>
      <c r="G10" s="34"/>
      <c r="H10" s="33"/>
      <c r="I10" s="33"/>
      <c r="J10" s="33">
        <f>$C$30*('E Balans VL '!D14+'E Balans VL '!E14)/100/3.6*1000000</f>
        <v>0</v>
      </c>
      <c r="K10" s="33"/>
      <c r="L10" s="33"/>
      <c r="M10" s="33"/>
      <c r="N10" s="33">
        <f>$C$30*'E Balans VL '!Y14/100/3.6*1000000</f>
        <v>3490.4431823208697</v>
      </c>
      <c r="O10" s="33"/>
      <c r="P10" s="33"/>
      <c r="R10" s="32"/>
    </row>
    <row r="11" spans="1:18">
      <c r="A11" s="32" t="s">
        <v>54</v>
      </c>
      <c r="B11" s="37">
        <f t="shared" si="0"/>
        <v>2004.675</v>
      </c>
      <c r="C11" s="33"/>
      <c r="D11" s="37">
        <f>IF(ISERROR(TER_onderwijs_gas_kWh/1000),0,TER_onderwijs_gas_kWh/1000)*0.902</f>
        <v>2601.9281420000002</v>
      </c>
      <c r="E11" s="33">
        <f>$C$31*'E Balans VL '!I11/100/3.6*1000000</f>
        <v>1.3857700883689461</v>
      </c>
      <c r="F11" s="33">
        <f>$C$31*('E Balans VL '!L11+'E Balans VL '!N11)/100/3.6*1000000</f>
        <v>524.76568314237636</v>
      </c>
      <c r="G11" s="34"/>
      <c r="H11" s="33"/>
      <c r="I11" s="33"/>
      <c r="J11" s="33">
        <f>$C$31*('E Balans VL '!D11+'E Balans VL '!E11)/100/3.6*1000000</f>
        <v>0</v>
      </c>
      <c r="K11" s="33"/>
      <c r="L11" s="33"/>
      <c r="M11" s="33"/>
      <c r="N11" s="33">
        <f>$C$31*'E Balans VL '!Y11/100/3.6*1000000</f>
        <v>1.9954832176030122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28046.094218106999</v>
      </c>
      <c r="C16" s="21">
        <f t="shared" ca="1" si="1"/>
        <v>0</v>
      </c>
      <c r="D16" s="21">
        <f t="shared" ca="1" si="1"/>
        <v>26135.187518000002</v>
      </c>
      <c r="E16" s="21">
        <f t="shared" si="1"/>
        <v>312.05639074931389</v>
      </c>
      <c r="F16" s="21">
        <f t="shared" ca="1" si="1"/>
        <v>4624.3884945865675</v>
      </c>
      <c r="G16" s="21">
        <f t="shared" si="1"/>
        <v>0</v>
      </c>
      <c r="H16" s="21">
        <f t="shared" si="1"/>
        <v>0</v>
      </c>
      <c r="I16" s="21">
        <f t="shared" si="1"/>
        <v>0</v>
      </c>
      <c r="J16" s="21">
        <f t="shared" si="1"/>
        <v>0</v>
      </c>
      <c r="K16" s="21">
        <f t="shared" si="1"/>
        <v>0</v>
      </c>
      <c r="L16" s="21">
        <f t="shared" ca="1" si="1"/>
        <v>0</v>
      </c>
      <c r="M16" s="21">
        <f t="shared" si="1"/>
        <v>0</v>
      </c>
      <c r="N16" s="21">
        <f t="shared" ca="1" si="1"/>
        <v>3639.0946021451878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0.16785360798150673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4707.6381042985349</v>
      </c>
      <c r="C20" s="23">
        <f t="shared" ref="C20:P20" ca="1" si="2">C16*C18</f>
        <v>0</v>
      </c>
      <c r="D20" s="23">
        <f t="shared" ca="1" si="2"/>
        <v>5279.3078786360011</v>
      </c>
      <c r="E20" s="23">
        <f t="shared" si="2"/>
        <v>70.836800700094258</v>
      </c>
      <c r="F20" s="23">
        <f t="shared" ca="1" si="2"/>
        <v>1234.7117280546136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4830.585</v>
      </c>
      <c r="C26" s="39">
        <f>IF(ISERROR(B26*3.6/1000000/'E Balans VL '!Z12*100),0,B26*3.6/1000000/'E Balans VL '!Z12*100)</f>
        <v>0.10610938424049801</v>
      </c>
      <c r="D26" s="233" t="s">
        <v>676</v>
      </c>
      <c r="F26" s="6"/>
    </row>
    <row r="27" spans="1:18">
      <c r="A27" s="228" t="s">
        <v>52</v>
      </c>
      <c r="B27" s="33">
        <f>IF(ISERROR(TER_horeca_ele_kWh/1000),0,TER_horeca_ele_kWh/1000)</f>
        <v>4260.6832181069967</v>
      </c>
      <c r="C27" s="39">
        <f>IF(ISERROR(B27*3.6/1000000/'E Balans VL '!Z9*100),0,B27*3.6/1000000/'E Balans VL '!Z9*100)</f>
        <v>0.34238836756684354</v>
      </c>
      <c r="D27" s="233" t="s">
        <v>676</v>
      </c>
      <c r="F27" s="6"/>
    </row>
    <row r="28" spans="1:18">
      <c r="A28" s="168" t="s">
        <v>51</v>
      </c>
      <c r="B28" s="33">
        <f>IF(ISERROR(TER_handel_ele_kWh/1000),0,TER_handel_ele_kWh/1000)</f>
        <v>9180.0779999999995</v>
      </c>
      <c r="C28" s="39">
        <f>IF(ISERROR(B28*3.6/1000000/'E Balans VL '!Z13*100),0,B28*3.6/1000000/'E Balans VL '!Z13*100)</f>
        <v>0.27144849312285113</v>
      </c>
      <c r="D28" s="233" t="s">
        <v>676</v>
      </c>
      <c r="F28" s="6"/>
    </row>
    <row r="29" spans="1:18">
      <c r="A29" s="228" t="s">
        <v>50</v>
      </c>
      <c r="B29" s="33">
        <f>IF(ISERROR(TER_gezond_ele_kWh/1000),0,TER_gezond_ele_kWh/1000)</f>
        <v>2814.9110000000001</v>
      </c>
      <c r="C29" s="39">
        <f>IF(ISERROR(B29*3.6/1000000/'E Balans VL '!Z10*100),0,B29*3.6/1000000/'E Balans VL '!Z10*100)</f>
        <v>0.31716779510426185</v>
      </c>
      <c r="D29" s="233" t="s">
        <v>676</v>
      </c>
      <c r="F29" s="6"/>
    </row>
    <row r="30" spans="1:18">
      <c r="A30" s="228" t="s">
        <v>49</v>
      </c>
      <c r="B30" s="33">
        <f>IF(ISERROR(TER_ander_ele_kWh/1000),0,TER_ander_ele_kWh/1000)</f>
        <v>4955.1620000000003</v>
      </c>
      <c r="C30" s="39">
        <f>IF(ISERROR(B30*3.6/1000000/'E Balans VL '!Z14*100),0,B30*3.6/1000000/'E Balans VL '!Z14*100)</f>
        <v>0.37475043159317251</v>
      </c>
      <c r="D30" s="233" t="s">
        <v>676</v>
      </c>
      <c r="F30" s="6"/>
    </row>
    <row r="31" spans="1:18">
      <c r="A31" s="228" t="s">
        <v>54</v>
      </c>
      <c r="B31" s="33">
        <f>IF(ISERROR(TER_onderwijs_ele_kWh/1000),0,TER_onderwijs_ele_kWh/1000)</f>
        <v>2004.675</v>
      </c>
      <c r="C31" s="39">
        <f>IF(ISERROR(B31*3.6/1000000/'E Balans VL '!Z11*100),0,B31*3.6/1000000/'E Balans VL '!Z11*100)</f>
        <v>0.41612399346770801</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10831.109</v>
      </c>
      <c r="C5" s="17">
        <f>IF(ISERROR('Eigen informatie GS &amp; warmtenet'!B59),0,'Eigen informatie GS &amp; warmtenet'!B59)</f>
        <v>0</v>
      </c>
      <c r="D5" s="30">
        <f>SUM(D6:D15)</f>
        <v>9619.1309499999988</v>
      </c>
      <c r="E5" s="17">
        <f>SUM(E6:E15)</f>
        <v>742.38169956789693</v>
      </c>
      <c r="F5" s="17">
        <f>SUM(F6:F15)</f>
        <v>4236.7545072221646</v>
      </c>
      <c r="G5" s="18"/>
      <c r="H5" s="17"/>
      <c r="I5" s="17"/>
      <c r="J5" s="17">
        <f>SUM(J6:J15)</f>
        <v>34.511868359086478</v>
      </c>
      <c r="K5" s="17"/>
      <c r="L5" s="17"/>
      <c r="M5" s="17"/>
      <c r="N5" s="17">
        <f>SUM(N6:N15)</f>
        <v>781.79269777003083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1321.2809999999999</v>
      </c>
      <c r="C8" s="33"/>
      <c r="D8" s="37">
        <f>IF( ISERROR(IND_metaal_Gas_kWH/1000),0,IND_metaal_Gas_kWH/1000)*0.902</f>
        <v>366.52138600000001</v>
      </c>
      <c r="E8" s="33">
        <f>C30*'E Balans VL '!I18/100/3.6*1000000</f>
        <v>33.067039045570979</v>
      </c>
      <c r="F8" s="33">
        <f>C30*'E Balans VL '!L18/100/3.6*1000000+C30*'E Balans VL '!N18/100/3.6*1000000</f>
        <v>414.09603778969876</v>
      </c>
      <c r="G8" s="34"/>
      <c r="H8" s="33"/>
      <c r="I8" s="33"/>
      <c r="J8" s="40">
        <f>C30*'E Balans VL '!D18/100/3.6*1000000+C30*'E Balans VL '!E18/100/3.6*1000000</f>
        <v>0</v>
      </c>
      <c r="K8" s="33"/>
      <c r="L8" s="33"/>
      <c r="M8" s="33"/>
      <c r="N8" s="33">
        <f>C30*'E Balans VL '!Y18/100/3.6*1000000</f>
        <v>33.194007743208132</v>
      </c>
      <c r="O8" s="33"/>
      <c r="P8" s="33"/>
      <c r="R8" s="32"/>
    </row>
    <row r="9" spans="1:18">
      <c r="A9" s="6" t="s">
        <v>32</v>
      </c>
      <c r="B9" s="37">
        <f t="shared" si="0"/>
        <v>1953.77</v>
      </c>
      <c r="C9" s="33"/>
      <c r="D9" s="37">
        <f>IF( ISERROR(IND_andere_gas_kWh/1000),0,IND_andere_gas_kWh/1000)*0.902</f>
        <v>2253.8093599999997</v>
      </c>
      <c r="E9" s="33">
        <f>C31*'E Balans VL '!I19/100/3.6*1000000</f>
        <v>537.20661601483164</v>
      </c>
      <c r="F9" s="33">
        <f>C31*'E Balans VL '!L19/100/3.6*1000000+C31*'E Balans VL '!N19/100/3.6*1000000</f>
        <v>1539.9107403898984</v>
      </c>
      <c r="G9" s="34"/>
      <c r="H9" s="33"/>
      <c r="I9" s="33"/>
      <c r="J9" s="40">
        <f>C31*'E Balans VL '!D19/100/3.6*1000000+C31*'E Balans VL '!E19/100/3.6*1000000</f>
        <v>0</v>
      </c>
      <c r="K9" s="33"/>
      <c r="L9" s="33"/>
      <c r="M9" s="33"/>
      <c r="N9" s="33">
        <f>C31*'E Balans VL '!Y19/100/3.6*1000000</f>
        <v>157.39694237885865</v>
      </c>
      <c r="O9" s="33"/>
      <c r="P9" s="33"/>
      <c r="R9" s="32"/>
    </row>
    <row r="10" spans="1:18">
      <c r="A10" s="6" t="s">
        <v>40</v>
      </c>
      <c r="B10" s="37">
        <f t="shared" si="0"/>
        <v>772.73500000000001</v>
      </c>
      <c r="C10" s="33"/>
      <c r="D10" s="37">
        <f>IF( ISERROR(IND_voed_gas_kWh/1000),0,IND_voed_gas_kWh/1000)*0.902</f>
        <v>710.20954399999994</v>
      </c>
      <c r="E10" s="33">
        <f>C32*'E Balans VL '!I20/100/3.6*1000000</f>
        <v>7.8776076228594336</v>
      </c>
      <c r="F10" s="33">
        <f>C32*'E Balans VL '!L20/100/3.6*1000000+C32*'E Balans VL '!N20/100/3.6*1000000</f>
        <v>1459.6915820091081</v>
      </c>
      <c r="G10" s="34"/>
      <c r="H10" s="33"/>
      <c r="I10" s="33"/>
      <c r="J10" s="40">
        <f>C32*'E Balans VL '!D20/100/3.6*1000000+C32*'E Balans VL '!E20/100/3.6*1000000</f>
        <v>18.494076950367077</v>
      </c>
      <c r="K10" s="33"/>
      <c r="L10" s="33"/>
      <c r="M10" s="33"/>
      <c r="N10" s="33">
        <f>C32*'E Balans VL '!Y20/100/3.6*1000000</f>
        <v>407.32035315750238</v>
      </c>
      <c r="O10" s="33"/>
      <c r="P10" s="33"/>
      <c r="R10" s="32"/>
    </row>
    <row r="11" spans="1:18">
      <c r="A11" s="6" t="s">
        <v>39</v>
      </c>
      <c r="B11" s="37">
        <f t="shared" si="0"/>
        <v>1407.482</v>
      </c>
      <c r="C11" s="33"/>
      <c r="D11" s="37">
        <f>IF( ISERROR(IND_textiel_gas_kWh/1000),0,IND_textiel_gas_kWh/1000)*0.902</f>
        <v>0</v>
      </c>
      <c r="E11" s="33">
        <f>C33*'E Balans VL '!I21/100/3.6*1000000</f>
        <v>3.7305158648287686</v>
      </c>
      <c r="F11" s="33">
        <f>C33*'E Balans VL '!L21/100/3.6*1000000+C33*'E Balans VL '!N21/100/3.6*1000000</f>
        <v>62.859598045796261</v>
      </c>
      <c r="G11" s="34"/>
      <c r="H11" s="33"/>
      <c r="I11" s="33"/>
      <c r="J11" s="40">
        <f>C33*'E Balans VL '!D21/100/3.6*1000000+C33*'E Balans VL '!E21/100/3.6*1000000</f>
        <v>0</v>
      </c>
      <c r="K11" s="33"/>
      <c r="L11" s="33"/>
      <c r="M11" s="33"/>
      <c r="N11" s="33">
        <f>C33*'E Balans VL '!Y21/100/3.6*1000000</f>
        <v>13.264511722596399</v>
      </c>
      <c r="O11" s="33"/>
      <c r="P11" s="33"/>
      <c r="R11" s="32"/>
    </row>
    <row r="12" spans="1:18">
      <c r="A12" s="6" t="s">
        <v>36</v>
      </c>
      <c r="B12" s="37">
        <f t="shared" si="0"/>
        <v>2268.768</v>
      </c>
      <c r="C12" s="33"/>
      <c r="D12" s="37">
        <f>IF( ISERROR(IND_min_gas_kWh/1000),0,IND_min_gas_kWh/1000)*0.902</f>
        <v>5703.6905639999995</v>
      </c>
      <c r="E12" s="33">
        <f>C34*'E Balans VL '!I22/100/3.6*1000000</f>
        <v>6.8710719881411979</v>
      </c>
      <c r="F12" s="33">
        <f>C34*'E Balans VL '!L22/100/3.6*1000000+C34*'E Balans VL '!N22/100/3.6*1000000</f>
        <v>70.900950541763478</v>
      </c>
      <c r="G12" s="34"/>
      <c r="H12" s="33"/>
      <c r="I12" s="33"/>
      <c r="J12" s="40">
        <f>C34*'E Balans VL '!D22/100/3.6*1000000+C34*'E Balans VL '!E22/100/3.6*1000000</f>
        <v>3.3640793034561103</v>
      </c>
      <c r="K12" s="33"/>
      <c r="L12" s="33"/>
      <c r="M12" s="33"/>
      <c r="N12" s="33">
        <f>C34*'E Balans VL '!Y22/100/3.6*1000000</f>
        <v>0</v>
      </c>
      <c r="O12" s="33"/>
      <c r="P12" s="33"/>
      <c r="R12" s="32"/>
    </row>
    <row r="13" spans="1:18">
      <c r="A13" s="6" t="s">
        <v>38</v>
      </c>
      <c r="B13" s="37">
        <f t="shared" si="0"/>
        <v>90.930999999999997</v>
      </c>
      <c r="C13" s="33"/>
      <c r="D13" s="37">
        <f>IF( ISERROR(IND_papier_gas_kWh/1000),0,IND_papier_gas_kWh/1000)*0.902</f>
        <v>0</v>
      </c>
      <c r="E13" s="33">
        <f>C35*'E Balans VL '!I23/100/3.6*1000000</f>
        <v>0.18832423869470691</v>
      </c>
      <c r="F13" s="33">
        <f>C35*'E Balans VL '!L23/100/3.6*1000000+C35*'E Balans VL '!N23/100/3.6*1000000</f>
        <v>1.8033566705699713</v>
      </c>
      <c r="G13" s="34"/>
      <c r="H13" s="33"/>
      <c r="I13" s="33"/>
      <c r="J13" s="40">
        <f>C35*'E Balans VL '!D23/100/3.6*1000000+C35*'E Balans VL '!E23/100/3.6*1000000</f>
        <v>0</v>
      </c>
      <c r="K13" s="33"/>
      <c r="L13" s="33"/>
      <c r="M13" s="33"/>
      <c r="N13" s="33">
        <f>C35*'E Balans VL '!Y23/100/3.6*1000000</f>
        <v>6.3065244650014822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3016.1419999999998</v>
      </c>
      <c r="C15" s="33"/>
      <c r="D15" s="37">
        <f>IF( ISERROR(IND_rest_gas_kWh/1000),0,IND_rest_gas_kWh/1000)*0.902</f>
        <v>584.90009599999996</v>
      </c>
      <c r="E15" s="33">
        <f>C37*'E Balans VL '!I15/100/3.6*1000000</f>
        <v>153.44052479297019</v>
      </c>
      <c r="F15" s="33">
        <f>C37*'E Balans VL '!L15/100/3.6*1000000+C37*'E Balans VL '!N15/100/3.6*1000000</f>
        <v>687.49224177533029</v>
      </c>
      <c r="G15" s="34"/>
      <c r="H15" s="33"/>
      <c r="I15" s="33"/>
      <c r="J15" s="40">
        <f>C37*'E Balans VL '!D15/100/3.6*1000000+C37*'E Balans VL '!E15/100/3.6*1000000</f>
        <v>12.653712105263288</v>
      </c>
      <c r="K15" s="33"/>
      <c r="L15" s="33"/>
      <c r="M15" s="33"/>
      <c r="N15" s="33">
        <f>C37*'E Balans VL '!Y15/100/3.6*1000000</f>
        <v>164.31035830286379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10831.109</v>
      </c>
      <c r="C18" s="21">
        <f>C5+C16</f>
        <v>0</v>
      </c>
      <c r="D18" s="21">
        <f>MAX((D5+D16),0)</f>
        <v>9619.1309499999988</v>
      </c>
      <c r="E18" s="21">
        <f>MAX((E5+E16),0)</f>
        <v>742.38169956789693</v>
      </c>
      <c r="F18" s="21">
        <f>MAX((F5+F16),0)</f>
        <v>4236.7545072221646</v>
      </c>
      <c r="G18" s="21"/>
      <c r="H18" s="21"/>
      <c r="I18" s="21"/>
      <c r="J18" s="21">
        <f>MAX((J5+J16),0)</f>
        <v>34.511868359086478</v>
      </c>
      <c r="K18" s="21"/>
      <c r="L18" s="21">
        <f>MAX((L5+L16),0)</f>
        <v>0</v>
      </c>
      <c r="M18" s="21"/>
      <c r="N18" s="21">
        <f>MAX((N5+N16),0)</f>
        <v>781.79269777003083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0.16785360798150673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1818.0407240909694</v>
      </c>
      <c r="C22" s="23">
        <f ca="1">C18*C20</f>
        <v>0</v>
      </c>
      <c r="D22" s="23">
        <f>D18*D20</f>
        <v>1943.0644519</v>
      </c>
      <c r="E22" s="23">
        <f>E18*E20</f>
        <v>168.52064580191262</v>
      </c>
      <c r="F22" s="23">
        <f>F18*F20</f>
        <v>1131.213453428318</v>
      </c>
      <c r="G22" s="23"/>
      <c r="H22" s="23"/>
      <c r="I22" s="23"/>
      <c r="J22" s="23">
        <f>J18*J20</f>
        <v>12.217201399116613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1321.2809999999999</v>
      </c>
      <c r="C30" s="39">
        <f>IF(ISERROR(B30*3.6/1000000/'E Balans VL '!Z18*100),0,B30*3.6/1000000/'E Balans VL '!Z18*100)</f>
        <v>0.18493530782423814</v>
      </c>
      <c r="D30" s="233" t="s">
        <v>676</v>
      </c>
    </row>
    <row r="31" spans="1:18">
      <c r="A31" s="6" t="s">
        <v>32</v>
      </c>
      <c r="B31" s="37">
        <f>IF( ISERROR(IND_ander_ele_kWh/1000),0,IND_ander_ele_kWh/1000)</f>
        <v>1953.77</v>
      </c>
      <c r="C31" s="39">
        <f>IF(ISERROR(B31*3.6/1000000/'E Balans VL '!Z19*100),0,B31*3.6/1000000/'E Balans VL '!Z19*100)</f>
        <v>8.5516195953476024E-2</v>
      </c>
      <c r="D31" s="233" t="s">
        <v>676</v>
      </c>
    </row>
    <row r="32" spans="1:18">
      <c r="A32" s="168" t="s">
        <v>40</v>
      </c>
      <c r="B32" s="37">
        <f>IF( ISERROR(IND_voed_ele_kWh/1000),0,IND_voed_ele_kWh/1000)</f>
        <v>772.73500000000001</v>
      </c>
      <c r="C32" s="39">
        <f>IF(ISERROR(B32*3.6/1000000/'E Balans VL '!Z20*100),0,B32*3.6/1000000/'E Balans VL '!Z20*100)</f>
        <v>0.19130352473640416</v>
      </c>
      <c r="D32" s="233" t="s">
        <v>676</v>
      </c>
    </row>
    <row r="33" spans="1:5">
      <c r="A33" s="168" t="s">
        <v>39</v>
      </c>
      <c r="B33" s="37">
        <f>IF( ISERROR(IND_textiel_ele_kWh/1000),0,IND_textiel_ele_kWh/1000)</f>
        <v>1407.482</v>
      </c>
      <c r="C33" s="39">
        <f>IF(ISERROR(B33*3.6/1000000/'E Balans VL '!Z21*100),0,B33*3.6/1000000/'E Balans VL '!Z21*100)</f>
        <v>0.15859842837615135</v>
      </c>
      <c r="D33" s="233" t="s">
        <v>676</v>
      </c>
    </row>
    <row r="34" spans="1:5">
      <c r="A34" s="168" t="s">
        <v>36</v>
      </c>
      <c r="B34" s="37">
        <f>IF( ISERROR(IND_min_ele_kWh/1000),0,IND_min_ele_kWh/1000)</f>
        <v>2268.768</v>
      </c>
      <c r="C34" s="39">
        <f>IF(ISERROR(B34*3.6/1000000/'E Balans VL '!Z22*100),0,B34*3.6/1000000/'E Balans VL '!Z22*100)</f>
        <v>6.4378379764022761E-2</v>
      </c>
      <c r="D34" s="233" t="s">
        <v>676</v>
      </c>
    </row>
    <row r="35" spans="1:5">
      <c r="A35" s="168" t="s">
        <v>38</v>
      </c>
      <c r="B35" s="37">
        <f>IF( ISERROR(IND_papier_ele_kWh/1000),0,IND_papier_ele_kWh/1000)</f>
        <v>90.930999999999997</v>
      </c>
      <c r="C35" s="39">
        <f>IF(ISERROR(B35*3.6/1000000/'E Balans VL '!Z22*100),0,B35*3.6/1000000/'E Balans VL '!Z22*100)</f>
        <v>2.5802508014580398E-3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3016.1419999999998</v>
      </c>
      <c r="C37" s="39">
        <f>IF(ISERROR(B37*3.6/1000000/'E Balans VL '!Z15*100),0,B37*3.6/1000000/'E Balans VL '!Z15*100)</f>
        <v>2.2364176544638008E-2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3875.7301388888891</v>
      </c>
      <c r="C5" s="17">
        <f>'Eigen informatie GS &amp; warmtenet'!B60</f>
        <v>0</v>
      </c>
      <c r="D5" s="30">
        <f>IF(ISERROR(SUM(LB_lb_gas_kWh,LB_rest_gas_kWh)/1000),0,SUM(LB_lb_gas_kWh,LB_rest_gas_kWh)/1000)*0.902</f>
        <v>5153.2838500000007</v>
      </c>
      <c r="E5" s="17">
        <f>B17*'E Balans VL '!I25/3.6*1000000/100</f>
        <v>35.89863585138837</v>
      </c>
      <c r="F5" s="17">
        <f>B17*('E Balans VL '!L25/3.6*1000000+'E Balans VL '!N25/3.6*1000000)/100</f>
        <v>9833.4656881948849</v>
      </c>
      <c r="G5" s="18"/>
      <c r="H5" s="17"/>
      <c r="I5" s="17"/>
      <c r="J5" s="17">
        <f>('E Balans VL '!D25+'E Balans VL '!E25)/3.6*1000000*landbouw!B17/100</f>
        <v>594.19268356625548</v>
      </c>
      <c r="K5" s="17"/>
      <c r="L5" s="17">
        <f>L6*(-1)</f>
        <v>0</v>
      </c>
      <c r="M5" s="17"/>
      <c r="N5" s="17">
        <f>N6*(-1)</f>
        <v>0</v>
      </c>
      <c r="O5" s="17"/>
      <c r="P5" s="17"/>
      <c r="R5" s="32"/>
    </row>
    <row r="6" spans="1:18">
      <c r="A6" s="16" t="s">
        <v>481</v>
      </c>
      <c r="B6" s="17" t="s">
        <v>204</v>
      </c>
      <c r="C6" s="17">
        <f>'lokale energieproductie'!O39+'lokale energieproductie'!O32</f>
        <v>22.5</v>
      </c>
      <c r="D6" s="302">
        <f>('lokale energieproductie'!P32+'lokale energieproductie'!P39)*(-1)</f>
        <v>-30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3875.7301388888891</v>
      </c>
      <c r="C8" s="21">
        <f>C5+C6</f>
        <v>22.5</v>
      </c>
      <c r="D8" s="21">
        <f>MAX((D5+D6),0)</f>
        <v>5123.2838500000007</v>
      </c>
      <c r="E8" s="21">
        <f>MAX((E5+E6),0)</f>
        <v>35.89863585138837</v>
      </c>
      <c r="F8" s="21">
        <f>MAX((F5+F6),0)</f>
        <v>9833.4656881948849</v>
      </c>
      <c r="G8" s="21"/>
      <c r="H8" s="21"/>
      <c r="I8" s="21"/>
      <c r="J8" s="21">
        <f>MAX((J5+J6),0)</f>
        <v>594.19268356625548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0.16785360798150673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650.55528737516624</v>
      </c>
      <c r="C12" s="23">
        <f ca="1">C8*C10</f>
        <v>5.0500000000000007</v>
      </c>
      <c r="D12" s="23">
        <f>D8*D10</f>
        <v>1034.9033377000003</v>
      </c>
      <c r="E12" s="23">
        <f>E8*E10</f>
        <v>8.1489903382651594</v>
      </c>
      <c r="F12" s="23">
        <f>F8*F10</f>
        <v>2625.5353387480345</v>
      </c>
      <c r="G12" s="23"/>
      <c r="H12" s="23"/>
      <c r="I12" s="23"/>
      <c r="J12" s="23">
        <f>J8*J10</f>
        <v>210.34420998245443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0.55104664606637366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376.90253427798757</v>
      </c>
      <c r="C26" s="243">
        <f>B26*'GWP N2O_CH4'!B5</f>
        <v>7914.9532198377392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157.14567087475797</v>
      </c>
      <c r="C27" s="243">
        <f>B27*'GWP N2O_CH4'!B5</f>
        <v>3300.0590883699174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5.813311714215442</v>
      </c>
      <c r="C28" s="243">
        <f>B28*'GWP N2O_CH4'!B4</f>
        <v>1802.1266314067871</v>
      </c>
      <c r="D28" s="50"/>
    </row>
    <row r="29" spans="1:4">
      <c r="A29" s="41" t="s">
        <v>266</v>
      </c>
      <c r="B29" s="243">
        <f>B34*'ha_N2O bodem landbouw'!B4</f>
        <v>23.771655646993455</v>
      </c>
      <c r="C29" s="243">
        <f>B29*'GWP N2O_CH4'!B4</f>
        <v>7369.213250567971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5.3315635689851768E-3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6.078211439652892E-5</v>
      </c>
      <c r="C5" s="430" t="s">
        <v>204</v>
      </c>
      <c r="D5" s="415">
        <f>SUM(D6:D11)</f>
        <v>1.0034047281816054E-4</v>
      </c>
      <c r="E5" s="415">
        <f>SUM(E6:E11)</f>
        <v>9.7392653706428395E-4</v>
      </c>
      <c r="F5" s="428" t="s">
        <v>204</v>
      </c>
      <c r="G5" s="415">
        <f>SUM(G6:G11)</f>
        <v>0.27229729767499072</v>
      </c>
      <c r="H5" s="415">
        <f>SUM(H6:H11)</f>
        <v>5.7726519522242059E-2</v>
      </c>
      <c r="I5" s="430" t="s">
        <v>204</v>
      </c>
      <c r="J5" s="430" t="s">
        <v>204</v>
      </c>
      <c r="K5" s="430" t="s">
        <v>204</v>
      </c>
      <c r="L5" s="430" t="s">
        <v>204</v>
      </c>
      <c r="M5" s="415">
        <f>SUM(M6:M11)</f>
        <v>1.7547846053867968E-2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4.555364027959325E-5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6.8801397577245276E-5</v>
      </c>
      <c r="E6" s="858">
        <f>vkm_GW_PW*SUMIFS(TableVerdeelsleutelVkm[LPG],TableVerdeelsleutelVkm[Voertuigtype],"Lichte voertuigen")*SUMIFS(TableECFTransport[EnergieConsumptieFactor (PJ per km)],TableECFTransport[Index],CONCATENATE($A6,"_LPG_LPG"))</f>
        <v>6.7766002219850721E-4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0.15503437745512472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4.0008597856912909E-2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1.0208828675069954E-2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1.2770420094048212E-6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4.9013404295323464E-2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9.2676645470881213E-7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2.841685648847546E-3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1.3843107496015923E-5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3.1539075240915262E-5</v>
      </c>
      <c r="E8" s="418">
        <f>vkm_NGW_PW*SUMIFS(TableVerdeelsleutelVkm[LPG],TableVerdeelsleutelVkm[Voertuigtype],"Lichte voertuigen")*SUMIFS(TableECFTransport[EnergieConsumptieFactor (PJ per km)],TableECFTransport[Index],CONCATENATE($A8,"_LPG_LPG"))</f>
        <v>2.9626651486577675E-4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6.2907844487375519E-2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1.771690001143918E-2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4.1876339617665341E-3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1.0832461151492467E-7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5.341671437167018E-3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9.4887435253929027E-8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3.0969776818393346E-4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16.88392066570248</v>
      </c>
      <c r="C14" s="21"/>
      <c r="D14" s="21">
        <f t="shared" ref="D14:M14" si="0">((D5)*10^9/3600)+D12</f>
        <v>27.872353560600146</v>
      </c>
      <c r="E14" s="21">
        <f t="shared" si="0"/>
        <v>270.53514918452333</v>
      </c>
      <c r="F14" s="21"/>
      <c r="G14" s="21">
        <f t="shared" si="0"/>
        <v>75638.138243052977</v>
      </c>
      <c r="H14" s="21">
        <f t="shared" si="0"/>
        <v>16035.144311733906</v>
      </c>
      <c r="I14" s="21"/>
      <c r="J14" s="21"/>
      <c r="K14" s="21"/>
      <c r="L14" s="21"/>
      <c r="M14" s="21">
        <f t="shared" si="0"/>
        <v>4874.4016816299918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0.16785360798150673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2.8340270006116839</v>
      </c>
      <c r="C18" s="23"/>
      <c r="D18" s="23">
        <f t="shared" ref="D18:M18" si="1">D14*D16</f>
        <v>5.6302154192412299</v>
      </c>
      <c r="E18" s="23">
        <f t="shared" si="1"/>
        <v>61.411478864886796</v>
      </c>
      <c r="F18" s="23"/>
      <c r="G18" s="23">
        <f t="shared" si="1"/>
        <v>20195.382910895147</v>
      </c>
      <c r="H18" s="23">
        <f t="shared" si="1"/>
        <v>3992.7509336217427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4.4049238360307781E-5</v>
      </c>
      <c r="C50" s="313">
        <f t="shared" ref="C50:P50" si="2">SUM(C51:C52)</f>
        <v>0</v>
      </c>
      <c r="D50" s="313">
        <f t="shared" si="2"/>
        <v>0</v>
      </c>
      <c r="E50" s="313">
        <f t="shared" si="2"/>
        <v>0</v>
      </c>
      <c r="F50" s="313">
        <f t="shared" si="2"/>
        <v>0</v>
      </c>
      <c r="G50" s="313">
        <f t="shared" si="2"/>
        <v>8.346749441844329E-3</v>
      </c>
      <c r="H50" s="313">
        <f t="shared" si="2"/>
        <v>0</v>
      </c>
      <c r="I50" s="313">
        <f t="shared" si="2"/>
        <v>0</v>
      </c>
      <c r="J50" s="313">
        <f t="shared" si="2"/>
        <v>0</v>
      </c>
      <c r="K50" s="313">
        <f t="shared" si="2"/>
        <v>0</v>
      </c>
      <c r="L50" s="313">
        <f t="shared" si="2"/>
        <v>0</v>
      </c>
      <c r="M50" s="313">
        <f t="shared" si="2"/>
        <v>4.8050597250737253E-4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4.4049238360307781E-5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8.346749441844329E-3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4.8050597250737253E-4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12.235899544529939</v>
      </c>
      <c r="C54" s="21">
        <f t="shared" ref="C54:P54" si="3">(C50)*10^9/3600</f>
        <v>0</v>
      </c>
      <c r="D54" s="21">
        <f t="shared" si="3"/>
        <v>0</v>
      </c>
      <c r="E54" s="21">
        <f t="shared" si="3"/>
        <v>0</v>
      </c>
      <c r="F54" s="21">
        <f t="shared" si="3"/>
        <v>0</v>
      </c>
      <c r="G54" s="21">
        <f t="shared" si="3"/>
        <v>2318.5415116234249</v>
      </c>
      <c r="H54" s="21">
        <f t="shared" si="3"/>
        <v>0</v>
      </c>
      <c r="I54" s="21">
        <f t="shared" si="3"/>
        <v>0</v>
      </c>
      <c r="J54" s="21">
        <f t="shared" si="3"/>
        <v>0</v>
      </c>
      <c r="K54" s="21">
        <f t="shared" si="3"/>
        <v>0</v>
      </c>
      <c r="L54" s="21">
        <f t="shared" si="3"/>
        <v>0</v>
      </c>
      <c r="M54" s="21">
        <f t="shared" si="3"/>
        <v>133.47388125204793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0.16785360798150673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2.0538398854486251</v>
      </c>
      <c r="C58" s="23">
        <f t="shared" ref="C58:P58" ca="1" si="4">C54*C56</f>
        <v>0</v>
      </c>
      <c r="D58" s="23">
        <f t="shared" si="4"/>
        <v>0</v>
      </c>
      <c r="E58" s="23">
        <f t="shared" si="4"/>
        <v>0</v>
      </c>
      <c r="F58" s="23">
        <f t="shared" si="4"/>
        <v>0</v>
      </c>
      <c r="G58" s="23">
        <f t="shared" si="4"/>
        <v>619.05058360345447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10511.643767809548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10934.412521336077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4.5</v>
      </c>
      <c r="C8" s="537">
        <f>B48</f>
        <v>5</v>
      </c>
      <c r="D8" s="1014"/>
      <c r="E8" s="1014">
        <f>E48</f>
        <v>0</v>
      </c>
      <c r="F8" s="1015"/>
      <c r="G8" s="538"/>
      <c r="H8" s="1014">
        <f>I48</f>
        <v>0</v>
      </c>
      <c r="I8" s="1014">
        <f>G48+F48</f>
        <v>0</v>
      </c>
      <c r="J8" s="1014">
        <f>H48+D48+C48</f>
        <v>0</v>
      </c>
      <c r="K8" s="1014"/>
      <c r="L8" s="1014"/>
      <c r="M8" s="1014"/>
      <c r="N8" s="539"/>
      <c r="O8" s="540">
        <f>C8*$C$12+D8*$D$12+E8*$E$12+F8*$F$12+G8*$G$12+H8*$H$12+I8*$I$12+J8*$J$12</f>
        <v>1.01</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21450.556289145625</v>
      </c>
      <c r="C10" s="550">
        <f t="shared" ref="C10:L10" si="0">SUM(C8:C9)</f>
        <v>5</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1.01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22.5</v>
      </c>
      <c r="C17" s="562">
        <f>B49</f>
        <v>25</v>
      </c>
      <c r="D17" s="563"/>
      <c r="E17" s="563">
        <f>E49</f>
        <v>0</v>
      </c>
      <c r="F17" s="1020"/>
      <c r="G17" s="564"/>
      <c r="H17" s="562">
        <f>I49</f>
        <v>0</v>
      </c>
      <c r="I17" s="563">
        <f>G49+F49</f>
        <v>0</v>
      </c>
      <c r="J17" s="563">
        <f>H49+D49+C49</f>
        <v>0</v>
      </c>
      <c r="K17" s="563"/>
      <c r="L17" s="563"/>
      <c r="M17" s="563"/>
      <c r="N17" s="1021"/>
      <c r="O17" s="565">
        <f>C17*$C$22+E17*$E$22+H17*$H$22+I17*$I$22+J17*$J$22+D17*$D$22+F17*$F$22+G17*$G$22+K17*$K$22+L17*$L$22</f>
        <v>5.0500000000000007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22.5</v>
      </c>
      <c r="C20" s="549">
        <f>SUM(C17:C19)</f>
        <v>25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5.0500000000000007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v>72021</v>
      </c>
      <c r="C28" s="763">
        <v>3680</v>
      </c>
      <c r="D28" s="620"/>
      <c r="E28" s="619"/>
      <c r="F28" s="619"/>
      <c r="G28" s="619" t="s">
        <v>922</v>
      </c>
      <c r="H28" s="619" t="s">
        <v>922</v>
      </c>
      <c r="I28" s="619"/>
      <c r="J28" s="762"/>
      <c r="K28" s="762"/>
      <c r="L28" s="619" t="s">
        <v>923</v>
      </c>
      <c r="M28" s="619">
        <v>1</v>
      </c>
      <c r="N28" s="619">
        <v>4.5</v>
      </c>
      <c r="O28" s="619">
        <v>22.5</v>
      </c>
      <c r="P28" s="619">
        <v>30</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v>
      </c>
      <c r="N29" s="577">
        <f>SUM(N28:N28)</f>
        <v>4.5</v>
      </c>
      <c r="O29" s="577">
        <f>SUM(O28:O28)</f>
        <v>22.5</v>
      </c>
      <c r="P29" s="577">
        <f>SUM(P28:P28)</f>
        <v>30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v>
      </c>
      <c r="N32" s="582">
        <f>SUMIF($Z$28:$Z$28,"landbouw",N28:N28)</f>
        <v>4.5</v>
      </c>
      <c r="O32" s="582">
        <f>SUMIF($Z$28:$Z$28,"landbouw",O28:O28)</f>
        <v>22.5</v>
      </c>
      <c r="P32" s="582">
        <f>SUMIF($Z$28:$Z$28,"landbouw",P28:P28)</f>
        <v>30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0.83333333333333337</v>
      </c>
      <c r="C45" s="602">
        <f>IF(ISERROR(N29/(O29+N29)),0,N29/(N29+O29))</f>
        <v>0.16666666666666666</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5</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2021-11-11T13:16:46Z</dcterms:modified>
</cp:coreProperties>
</file>