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B0B6BFEE-3A5C-4DD0-A692-915D84E4CE0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F20" i="18" l="1"/>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D8" i="22" l="1"/>
  <c r="A3" i="23"/>
  <c r="D10" i="22" s="1"/>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3"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E8" i="48"/>
  <c r="E26" i="48" s="1"/>
  <c r="F13" i="14"/>
  <c r="F16" i="14" s="1"/>
  <c r="F27" i="14" s="1"/>
  <c r="F63" i="14" s="1"/>
  <c r="E23" i="48"/>
  <c r="E15" i="48"/>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<sst xmlns="http://schemas.openxmlformats.org/spreadsheetml/2006/main" count="2506" uniqueCount="925">
  <si>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</si>
  <si>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</si>
  <si>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</si>
  <si>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</si>
  <si>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</si>
  <si>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</si>
  <si>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</si>
  <si>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</si>
  <si>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</si>
  <si>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</si>
  <si>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</si>
  <si>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</si>
  <si>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</si>
  <si>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</si>
  <si>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</si>
  <si>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</si>
  <si>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</si>
  <si>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</si>
  <si>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</si>
  <si>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</si>
  <si>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</si>
  <si>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</si>
  <si>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</si>
  <si>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</si>
  <si>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</si>
  <si>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</si>
  <si>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</si>
  <si>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</si>
  <si>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</si>
  <si>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</si>
  <si>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</si>
  <si>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</si>
  <si>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</si>
  <si>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</si>
  <si>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</si>
  <si>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</si>
  <si>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</si>
  <si>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</si>
  <si>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</si>
  <si>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</si>
  <si>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</si>
  <si>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</si>
  <si>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</si>
  <si>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</si>
  <si>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</si>
  <si>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</si>
  <si>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</si>
  <si>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</si>
  <si>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</si>
  <si>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</si>
  <si>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</si>
  <si>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</si>
  <si>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</si>
  <si>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</si>
  <si>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</si>
  <si>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</si>
  <si>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</si>
  <si>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</si>
  <si>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</si>
  <si>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</si>
  <si>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</si>
  <si>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</si>
  <si>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</si>
  <si>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</si>
  <si>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</si>
  <si>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</si>
  <si>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</si>
  <si>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</si>
  <si>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</si>
  <si>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</si>
  <si>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</si>
  <si>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</si>
  <si>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</si>
  <si>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</si>
  <si>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</si>
  <si>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</si>
  <si>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</si>
  <si>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</si>
  <si>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</si>
  <si>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</si>
  <si>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</si>
  <si>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</si>
  <si>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</si>
  <si>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</si>
  <si>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</si>
  <si>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</si>
  <si>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</si>
  <si>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</si>
  <si>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</si>
  <si>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</si>
  <si>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</si>
  <si>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</si>
  <si>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</si>
  <si>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</si>
  <si>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</si>
  <si>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</si>
  <si>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</si>
  <si>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</si>
  <si>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</si>
  <si>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</si>
  <si>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</si>
  <si>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</si>
  <si>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</si>
  <si>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</si>
  <si>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</si>
  <si>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</si>
  <si>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</si>
  <si>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</si>
  <si>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</si>
  <si>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</si>
  <si>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</si>
  <si>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</si>
  <si>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</si>
  <si>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</si>
  <si>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</si>
  <si>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</si>
  <si>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</si>
  <si>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</si>
  <si>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</si>
  <si>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</si>
  <si>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</si>
  <si>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</si>
  <si>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</si>
  <si>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</si>
  <si>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</si>
  <si>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</si>
  <si>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</si>
  <si>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</si>
  <si>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</si>
  <si>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</si>
  <si>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</si>
  <si>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</si>
  <si>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</si>
  <si>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</si>
  <si>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</si>
  <si>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</si>
  <si>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</si>
  <si>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</si>
  <si>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</si>
  <si>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</si>
  <si>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</si>
  <si>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</si>
  <si>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</si>
  <si>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</si>
  <si>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</si>
  <si>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</si>
  <si>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</si>
  <si>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</si>
  <si>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</si>
  <si>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</si>
  <si>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</si>
  <si>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</si>
  <si>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</si>
  <si>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</si>
  <si>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</si>
  <si>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</si>
  <si>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</si>
  <si>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</si>
  <si>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</si>
  <si>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</si>
  <si>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</si>
  <si>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</si>
  <si>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</si>
  <si>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</si>
  <si>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</si>
  <si>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</si>
  <si>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</si>
  <si>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</si>
  <si>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</si>
  <si>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</si>
  <si>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</si>
  <si>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</si>
  <si>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</si>
  <si>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</si>
  <si>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</si>
  <si>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</si>
  <si>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</si>
  <si>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</si>
  <si>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</si>
  <si>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</si>
  <si>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</si>
  <si>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</si>
  <si>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</si>
  <si>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</si>
  <si>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</si>
  <si>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</si>
  <si>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</si>
  <si>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</si>
  <si>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</si>
  <si>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</si>
  <si>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</si>
  <si>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</si>
  <si>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</si>
  <si>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</si>
  <si>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</si>
  <si>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</si>
  <si>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</si>
  <si>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</si>
  <si>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</si>
  <si>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</si>
  <si>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</si>
  <si>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</si>
  <si>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</si>
  <si>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</si>
  <si>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</si>
  <si>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</si>
  <si>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</si>
  <si>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</si>
  <si>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</si>
  <si>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</si>
  <si>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</si>
  <si>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</si>
  <si>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</si>
  <si>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</si>
  <si>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</si>
  <si>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</si>
  <si>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</si>
  <si>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</si>
  <si>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</si>
  <si>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</si>
  <si>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</si>
  <si>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</si>
  <si>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</si>
  <si>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</si>
  <si>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</si>
  <si>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</si>
  <si>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</si>
  <si>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</si>
  <si>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</si>
  <si>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</si>
  <si>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</si>
  <si>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</si>
  <si>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</si>
  <si>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</si>
  <si>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</si>
  <si>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</si>
  <si>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</si>
  <si>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</si>
  <si>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</si>
  <si>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</si>
  <si>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</si>
  <si>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</si>
  <si>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</si>
  <si>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</si>
  <si>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</si>
  <si>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</si>
  <si>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</si>
  <si>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</si>
  <si>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</si>
  <si>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</si>
  <si>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</si>
  <si>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</si>
  <si>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</si>
  <si>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</si>
  <si>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</si>
  <si>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</si>
  <si>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</si>
  <si>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</si>
  <si>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</si>
  <si>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</si>
  <si>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</si>
  <si>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</si>
  <si>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</si>
  <si>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</si>
  <si>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</si>
  <si>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</si>
  <si>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</si>
  <si>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</si>
  <si>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</si>
  <si>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</si>
  <si>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</si>
  <si>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</si>
  <si>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</si>
  <si>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</si>
  <si>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</si>
  <si>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</si>
  <si>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</si>
  <si>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</si>
  <si>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</si>
  <si>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</si>
  <si>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</si>
  <si>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</si>
  <si>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</si>
  <si>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</si>
  <si>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</si>
  <si>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</si>
  <si>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</si>
  <si>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</si>
  <si>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</si>
  <si>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</si>
  <si>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</si>
  <si>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</si>
  <si>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</si>
  <si>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</si>
  <si>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</si>
  <si>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</si>
  <si>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</si>
  <si>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</si>
  <si>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</si>
  <si>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</si>
  <si>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</si>
  <si>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</si>
  <si>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</si>
  <si>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</si>
  <si>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</si>
  <si>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</si>
  <si>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</si>
  <si>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</si>
  <si>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</si>
  <si>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</si>
  <si>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</si>
  <si>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</si>
  <si>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</si>
  <si>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</si>
  <si>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</si>
  <si>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</si>
  <si>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</si>
  <si>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</si>
  <si>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</si>
  <si>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</si>
  <si>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</si>
  <si>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</si>
  <si>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</si>
  <si>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</si>
  <si>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</si>
  <si>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</si>
  <si>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</si>
  <si>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</si>
  <si>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</si>
  <si>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</si>
  <si>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</si>
  <si>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</si>
  <si>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</si>
  <si>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</si>
  <si>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</si>
  <si>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</si>
  <si>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</si>
  <si>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</si>
  <si>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</si>
  <si>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</si>
  <si>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</si>
  <si>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</si>
  <si>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</si>
  <si>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</si>
  <si>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</si>
  <si>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</si>
  <si>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</si>
  <si>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</si>
  <si>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</si>
  <si>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</si>
  <si>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</si>
  <si>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</si>
  <si>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</si>
  <si>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</si>
  <si>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</si>
  <si>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</si>
  <si>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</si>
  <si>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</si>
  <si>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</si>
  <si>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</si>
  <si>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</si>
  <si>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</si>
  <si>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</si>
  <si>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</si>
  <si>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</si>
  <si>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</si>
  <si>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</si>
  <si>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</si>
  <si>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</si>
  <si>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</si>
  <si>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</si>
  <si>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</si>
  <si>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</si>
  <si>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</si>
  <si>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</si>
  <si>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</si>
  <si>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</si>
  <si>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</si>
  <si>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</si>
  <si>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</si>
  <si>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</si>
  <si>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</si>
  <si>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</si>
  <si>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</si>
  <si>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</si>
  <si>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</si>
  <si>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</si>
  <si>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</si>
  <si>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</si>
  <si>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</si>
  <si>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</si>
  <si>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</si>
  <si>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</si>
  <si>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</si>
  <si>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</si>
  <si>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</si>
  <si>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</si>
  <si>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</si>
  <si>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</si>
  <si>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</si>
  <si>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</si>
  <si>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</si>
  <si>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</si>
  <si>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</si>
  <si>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</si>
  <si>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</si>
  <si>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</si>
  <si>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</si>
  <si>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</si>
  <si>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</si>
  <si>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</si>
  <si>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</si>
  <si>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</si>
  <si>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</si>
  <si>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</si>
  <si>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</si>
  <si>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</si>
  <si>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</si>
  <si>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</si>
  <si>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</si>
  <si>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</si>
  <si>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</si>
  <si>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</si>
  <si>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</si>
  <si>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</si>
  <si>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</si>
  <si>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</si>
  <si>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</si>
  <si>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</si>
  <si>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</si>
  <si>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</si>
  <si>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</si>
  <si>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</si>
  <si>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</si>
  <si>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</si>
  <si>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</si>
  <si>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</si>
  <si>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</si>
  <si>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</si>
  <si>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</si>
  <si>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</si>
  <si>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</si>
  <si>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</si>
  <si>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</si>
  <si>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</si>
  <si>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</si>
  <si>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</si>
  <si>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</si>
  <si>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</si>
  <si>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</si>
  <si>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</si>
  <si>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</si>
  <si>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</si>
  <si>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</si>
  <si>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</si>
  <si>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</si>
  <si>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</si>
  <si>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</si>
  <si>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</si>
  <si>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</si>
  <si>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</si>
  <si>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</si>
  <si>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</si>
  <si>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</si>
  <si>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</si>
  <si>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</si>
  <si>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</si>
  <si>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</si>
  <si>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</si>
  <si>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</si>
  <si>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</si>
  <si>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</si>
  <si>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</si>
  <si>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</si>
  <si>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</si>
  <si>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</si>
  <si>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</si>
  <si>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</si>
  <si>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</si>
  <si>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</si>
  <si>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</si>
  <si>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</si>
  <si>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</si>
  <si>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</si>
  <si>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</si>
  <si>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</si>
  <si>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</si>
  <si>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</si>
  <si>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</si>
  <si>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</si>
  <si>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</si>
  <si>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</si>
  <si>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</si>
  <si>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</si>
  <si>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</si>
  <si>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</si>
  <si>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</si>
  <si>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</si>
  <si>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</si>
  <si>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</si>
  <si>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</si>
  <si>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</si>
  <si>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</si>
  <si>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</si>
  <si>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</si>
  <si>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</si>
  <si>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</si>
  <si>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</si>
  <si>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</si>
  <si>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</si>
  <si>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</si>
  <si>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</si>
  <si>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</si>
  <si>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</si>
  <si>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</si>
  <si>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</si>
  <si>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</si>
  <si>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</si>
  <si>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</si>
  <si>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</si>
  <si>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</si>
  <si>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</si>
  <si>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</si>
  <si>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</si>
  <si>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</si>
  <si>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</si>
  <si>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</si>
  <si>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</si>
  <si>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</si>
  <si>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</si>
  <si>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</si>
  <si>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</si>
  <si>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</si>
  <si>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</si>
  <si>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</si>
  <si>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</si>
  <si>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</si>
  <si>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</si>
  <si>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</si>
  <si>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</si>
  <si>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</si>
  <si>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</si>
  <si>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</si>
  <si>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</si>
  <si>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</si>
  <si>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</si>
  <si>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</si>
  <si>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</si>
  <si>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</si>
  <si>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</si>
  <si>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</si>
  <si>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</si>
  <si>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</si>
  <si>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</si>
  <si>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</si>
  <si>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</si>
  <si>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</si>
  <si>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</si>
  <si>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</si>
  <si>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</si>
  <si>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</si>
  <si>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</si>
  <si>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</si>
  <si>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</si>
  <si>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</si>
  <si>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</si>
  <si>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</si>
  <si>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</si>
  <si>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</si>
  <si>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</si>
  <si>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</si>
  <si>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</si>
  <si>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</si>
  <si>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</si>
  <si>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</si>
  <si>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</si>
  <si>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</si>
  <si>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</si>
  <si>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</si>
  <si>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</si>
  <si>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</si>
  <si>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</si>
  <si>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</si>
  <si>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</si>
  <si>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</si>
  <si>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</si>
  <si>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</si>
  <si>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</si>
  <si>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</si>
  <si>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</si>
  <si>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</si>
  <si>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</si>
  <si>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</si>
  <si>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</si>
  <si>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</si>
  <si>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</si>
  <si>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</si>
  <si>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</si>
  <si>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</si>
  <si>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</si>
  <si>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</si>
  <si>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</si>
  <si>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</si>
  <si>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</si>
  <si>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</si>
  <si>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</si>
  <si>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</si>
  <si>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</si>
  <si>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</si>
  <si>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</si>
  <si>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</si>
  <si>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</si>
  <si>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</si>
  <si>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</si>
  <si>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</si>
  <si>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</si>
  <si>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</si>
  <si>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</si>
  <si>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</si>
  <si>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</si>
  <si>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</si>
  <si>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</si>
  <si>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</si>
  <si>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</si>
  <si>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</si>
  <si>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</si>
  <si>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</si>
  <si>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</si>
  <si>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</si>
  <si>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</si>
  <si>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</si>
  <si>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</si>
  <si>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</si>
  <si>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</si>
  <si>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</si>
  <si>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</si>
  <si>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</si>
  <si>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</si>
  <si>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</si>
  <si>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</si>
  <si>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</si>
  <si>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</si>
  <si>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</si>
  <si>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</si>
  <si>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</si>
  <si>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</si>
  <si>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</si>
  <si>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</si>
  <si>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</si>
  <si>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</si>
  <si>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</si>
  <si>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</si>
  <si>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</si>
  <si>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</si>
  <si>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</si>
  <si>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</si>
  <si>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</si>
  <si>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</si>
  <si>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</si>
  <si>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</si>
  <si>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</si>
  <si>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</si>
  <si>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</si>
  <si>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</si>
  <si>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</si>
  <si>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</si>
  <si>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</si>
  <si>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</si>
  <si>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</si>
  <si>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</si>
  <si>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</si>
  <si>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</si>
  <si>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</si>
  <si>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</si>
  <si>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</si>
  <si>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</si>
  <si>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</si>
  <si>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</si>
  <si>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</si>
  <si>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</si>
  <si>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</si>
  <si>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</si>
  <si>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</si>
  <si>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</si>
  <si>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</si>
  <si>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</si>
  <si>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</si>
  <si>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</si>
  <si>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</si>
  <si>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</si>
  <si>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</si>
  <si>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</si>
  <si>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</si>
  <si>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</si>
  <si>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</si>
  <si>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</si>
  <si>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</si>
  <si>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</si>
  <si>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</si>
  <si>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</si>
  <si>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</si>
  <si>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</si>
  <si>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</si>
  <si>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</si>
  <si>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</si>
  <si>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</si>
  <si>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</si>
  <si>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</si>
  <si>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</si>
  <si>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</si>
  <si>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</si>
  <si>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</si>
  <si>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</si>
  <si>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</si>
  <si>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</si>
  <si>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</si>
  <si>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</si>
  <si>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</si>
  <si>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</si>
  <si>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</si>
  <si>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</si>
  <si>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</si>
  <si>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</si>
  <si>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</si>
  <si>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</si>
  <si>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</si>
  <si>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</si>
  <si>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</si>
  <si>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</si>
  <si>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</si>
  <si>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</si>
  <si>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</si>
  <si>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</si>
  <si>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</si>
  <si>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</si>
  <si>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</si>
  <si>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</si>
  <si>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</si>
  <si>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</si>
  <si>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</si>
  <si>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</si>
  <si>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</si>
  <si>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</si>
  <si>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</si>
  <si>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</si>
  <si>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</si>
  <si>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</si>
  <si>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</si>
  <si>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</si>
  <si>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</si>
  <si>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</si>
  <si>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</si>
  <si>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</si>
  <si>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</si>
  <si>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</si>
  <si>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</si>
  <si>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</si>
  <si>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</si>
  <si>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</si>
  <si>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</si>
  <si>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</si>
  <si>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</si>
  <si>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</si>
  <si>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</si>
  <si>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</si>
  <si>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</si>
  <si>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</si>
  <si>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</si>
  <si>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</si>
  <si>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</si>
  <si>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</si>
  <si>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</si>
  <si>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</si>
  <si>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</si>
  <si>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</si>
  <si>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</si>
  <si>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</si>
  <si>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</si>
  <si>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</si>
  <si>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</si>
  <si>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</si>
  <si>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</si>
  <si>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</si>
  <si>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</si>
  <si>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</si>
  <si>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</si>
  <si>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</si>
  <si>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</si>
  <si>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</si>
  <si>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</si>
  <si>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</si>
  <si>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</si>
  <si>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</si>
  <si>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</si>
  <si>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</si>
  <si>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</si>
  <si>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</si>
  <si>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</si>
  <si>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</si>
  <si>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</si>
  <si>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</si>
  <si>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</si>
  <si>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</si>
  <si>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</si>
  <si>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</si>
  <si>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</si>
  <si>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</si>
  <si>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</si>
  <si>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</si>
  <si>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</si>
  <si>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</si>
  <si>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</si>
  <si>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</si>
  <si>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</si>
  <si>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</si>
  <si>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</si>
  <si>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</si>
  <si>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</si>
  <si>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</si>
  <si>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</si>
  <si>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</si>
  <si>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</si>
  <si>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</si>
  <si>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</si>
  <si>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</si>
  <si>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</si>
  <si>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</si>
  <si>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</si>
  <si>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</si>
  <si>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</si>
  <si>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</si>
  <si>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</si>
  <si>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</si>
  <si>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</si>
  <si>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</si>
  <si>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</si>
  <si>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</si>
  <si>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</si>
  <si>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</si>
  <si>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</si>
  <si>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</si>
  <si>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</si>
  <si>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</si>
  <si>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</si>
  <si>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</si>
  <si>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</si>
  <si>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</si>
  <si>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</si>
  <si>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</si>
  <si>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</si>
  <si>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</si>
  <si>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</si>
  <si>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</si>
  <si>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</si>
  <si>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</si>
  <si>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</si>
  <si>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</si>
  <si>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</si>
  <si>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</si>
  <si>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</si>
  <si>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</si>
  <si>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</si>
  <si>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</si>
  <si>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</si>
  <si>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</si>
  <si>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</si>
  <si>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</si>
  <si>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</si>
  <si>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</si>
  <si>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</si>
  <si>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</si>
  <si>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</si>
  <si>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</si>
  <si>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</si>
  <si>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</si>
  <si>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</si>
  <si>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</si>
  <si>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</si>
  <si>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</si>
  <si>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</si>
  <si>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</si>
  <si>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</si>
  <si>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</si>
  <si>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</si>
  <si>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</si>
  <si>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</si>
  <si>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</si>
  <si>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</si>
  <si>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</si>
  <si>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</si>
  <si>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</si>
  <si>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</si>
  <si>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</si>
  <si>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</si>
  <si>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</si>
  <si>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</si>
  <si>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</si>
  <si>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</si>
  <si>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</si>
  <si>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</si>
  <si>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</si>
  <si>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</si>
  <si>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</si>
  <si>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</si>
  <si>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</si>
  <si>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</si>
  <si>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</si>
  <si>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</si>
  <si>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</si>
  <si>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</si>
  <si>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</si>
  <si>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</si>
  <si>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</si>
  <si>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</si>
  <si>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</si>
  <si>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</si>
  <si>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71011</t>
  </si>
  <si>
    <t>DIEPENBEEK</t>
  </si>
  <si>
    <t>Paarden&amp;pony's 200 - 600 kg</t>
  </si>
  <si>
    <t>Paarden&amp;pony's &lt; 200 kg</t>
  </si>
  <si>
    <t>Fluvius</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</si>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</sst>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A2D58430-E411-45F0-AFE0-560786760A90}"/>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161134.84707554779</c:v>
                </c:pt>
                <c:pt idx="1">
                  <c:v>53253.274877138872</c:v>
                </c:pt>
                <c:pt idx="2">
                  <c:v>805.12900000000002</c:v>
                </c:pt>
                <c:pt idx="3">
                  <c:v>3214.7478231409091</c:v>
                </c:pt>
                <c:pt idx="4">
                  <c:v>26296.074011682584</c:v>
                </c:pt>
                <c:pt idx="5">
                  <c:v>189866.56061536321</c:v>
                </c:pt>
                <c:pt idx="6">
                  <c:v>3874.7988125407892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161134.84707554779</c:v>
                </c:pt>
                <c:pt idx="1">
                  <c:v>53253.274877138872</c:v>
                </c:pt>
                <c:pt idx="2">
                  <c:v>805.12900000000002</c:v>
                </c:pt>
                <c:pt idx="3">
                  <c:v>3214.7478231409091</c:v>
                </c:pt>
                <c:pt idx="4">
                  <c:v>26296.074011682584</c:v>
                </c:pt>
                <c:pt idx="5">
                  <c:v>189866.56061536321</c:v>
                </c:pt>
                <c:pt idx="6">
                  <c:v>3874.7988125407892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34538.510106448091</c:v>
                </c:pt>
                <c:pt idx="2">
                  <c:v>10453.839530262023</c:v>
                </c:pt>
                <c:pt idx="3">
                  <c:v>156.42824128883643</c:v>
                </c:pt>
                <c:pt idx="4">
                  <c:v>803.47526751606597</c:v>
                </c:pt>
                <c:pt idx="5">
                  <c:v>5433.4552054509904</c:v>
                </c:pt>
                <c:pt idx="6">
                  <c:v>47609.926743648037</c:v>
                </c:pt>
                <c:pt idx="7">
                  <c:v>977.13576002609648</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34538.510106448091</c:v>
                </c:pt>
                <c:pt idx="2">
                  <c:v>10453.839530262023</c:v>
                </c:pt>
                <c:pt idx="3">
                  <c:v>156.42824128883643</c:v>
                </c:pt>
                <c:pt idx="4">
                  <c:v>803.47526751606597</c:v>
                </c:pt>
                <c:pt idx="5">
                  <c:v>5433.4552054509904</c:v>
                </c:pt>
                <c:pt idx="6">
                  <c:v>47609.926743648037</c:v>
                </c:pt>
                <c:pt idx="7">
                  <c:v>977.13576002609648</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71011</v>
      </c>
      <c r="B6" s="383"/>
      <c r="C6" s="384"/>
    </row>
    <row r="7" spans="1:7" s="381" customFormat="1" ht="15.75" customHeight="1">
      <c r="A7" s="385" t="str">
        <f>txtMunicipality</f>
        <v>DIEPENBEEK</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23825.487852873033</v>
      </c>
      <c r="D10" s="983">
        <f ca="1">tertiair!C16</f>
        <v>321.42857142857144</v>
      </c>
      <c r="E10" s="983">
        <f ca="1">tertiair!D16</f>
        <v>24125.507225142854</v>
      </c>
      <c r="F10" s="983">
        <f>tertiair!E16</f>
        <v>164.28487946558934</v>
      </c>
      <c r="G10" s="983">
        <f ca="1">tertiair!F16</f>
        <v>3723.558455144489</v>
      </c>
      <c r="H10" s="983">
        <f>tertiair!G16</f>
        <v>0</v>
      </c>
      <c r="I10" s="983">
        <f>tertiair!H16</f>
        <v>0</v>
      </c>
      <c r="J10" s="983">
        <f>tertiair!I16</f>
        <v>0</v>
      </c>
      <c r="K10" s="983">
        <f>tertiair!J16</f>
        <v>0</v>
      </c>
      <c r="L10" s="983">
        <f>tertiair!K16</f>
        <v>0</v>
      </c>
      <c r="M10" s="983">
        <f ca="1">tertiair!L16</f>
        <v>0</v>
      </c>
      <c r="N10" s="983">
        <f>tertiair!M16</f>
        <v>0</v>
      </c>
      <c r="O10" s="983">
        <f ca="1">tertiair!N16</f>
        <v>1831.556893084339</v>
      </c>
      <c r="P10" s="983">
        <f>tertiair!O16</f>
        <v>9.3800000000000008</v>
      </c>
      <c r="Q10" s="984">
        <f>tertiair!P16</f>
        <v>57.2</v>
      </c>
      <c r="R10" s="667">
        <f ca="1">SUM(C10:Q10)</f>
        <v>54058.403877138873</v>
      </c>
      <c r="S10" s="67"/>
    </row>
    <row r="11" spans="1:19" s="440" customFormat="1">
      <c r="A11" s="776" t="s">
        <v>214</v>
      </c>
      <c r="B11" s="781"/>
      <c r="C11" s="983">
        <f>huishoudens!B8</f>
        <v>34041.81413968878</v>
      </c>
      <c r="D11" s="983">
        <f>huishoudens!C8</f>
        <v>0</v>
      </c>
      <c r="E11" s="983">
        <f>huishoudens!D8</f>
        <v>49749.209268000006</v>
      </c>
      <c r="F11" s="983">
        <f>huishoudens!E8</f>
        <v>2006.0948058946037</v>
      </c>
      <c r="G11" s="983">
        <f>huishoudens!F8</f>
        <v>63286.032500796267</v>
      </c>
      <c r="H11" s="983">
        <f>huishoudens!G8</f>
        <v>0</v>
      </c>
      <c r="I11" s="983">
        <f>huishoudens!H8</f>
        <v>0</v>
      </c>
      <c r="J11" s="983">
        <f>huishoudens!I8</f>
        <v>0</v>
      </c>
      <c r="K11" s="983">
        <f>huishoudens!J8</f>
        <v>1475.8278871992952</v>
      </c>
      <c r="L11" s="983">
        <f>huishoudens!K8</f>
        <v>0</v>
      </c>
      <c r="M11" s="983">
        <f>huishoudens!L8</f>
        <v>0</v>
      </c>
      <c r="N11" s="983">
        <f>huishoudens!M8</f>
        <v>0</v>
      </c>
      <c r="O11" s="983">
        <f>huishoudens!N8</f>
        <v>9129.5018073021456</v>
      </c>
      <c r="P11" s="983">
        <f>huishoudens!O8</f>
        <v>359.56666666666666</v>
      </c>
      <c r="Q11" s="984">
        <f>huishoudens!P8</f>
        <v>1086.8</v>
      </c>
      <c r="R11" s="667">
        <f>SUM(C11:Q11)</f>
        <v>161134.84707554779</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12525.824000000001</v>
      </c>
      <c r="D13" s="983">
        <f>industrie!C18</f>
        <v>0</v>
      </c>
      <c r="E13" s="983">
        <f>industrie!D18</f>
        <v>5320.1069459999999</v>
      </c>
      <c r="F13" s="983">
        <f>industrie!E18</f>
        <v>764.4485543752628</v>
      </c>
      <c r="G13" s="983">
        <f>industrie!F18</f>
        <v>6504.4399887345271</v>
      </c>
      <c r="H13" s="983">
        <f>industrie!G18</f>
        <v>0</v>
      </c>
      <c r="I13" s="983">
        <f>industrie!H18</f>
        <v>0</v>
      </c>
      <c r="J13" s="983">
        <f>industrie!I18</f>
        <v>0</v>
      </c>
      <c r="K13" s="983">
        <f>industrie!J18</f>
        <v>42.203932482169805</v>
      </c>
      <c r="L13" s="983">
        <f>industrie!K18</f>
        <v>0</v>
      </c>
      <c r="M13" s="983">
        <f>industrie!L18</f>
        <v>0</v>
      </c>
      <c r="N13" s="983">
        <f>industrie!M18</f>
        <v>0</v>
      </c>
      <c r="O13" s="983">
        <f>industrie!N18</f>
        <v>1139.0505900906223</v>
      </c>
      <c r="P13" s="983">
        <f>industrie!O18</f>
        <v>0</v>
      </c>
      <c r="Q13" s="984">
        <f>industrie!P18</f>
        <v>0</v>
      </c>
      <c r="R13" s="667">
        <f>SUM(C13:Q13)</f>
        <v>26296.074011682584</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70393.125992561807</v>
      </c>
      <c r="D16" s="699">
        <f t="shared" ref="D16:R16" ca="1" si="0">SUM(D9:D15)</f>
        <v>321.42857142857144</v>
      </c>
      <c r="E16" s="699">
        <f t="shared" ca="1" si="0"/>
        <v>79194.823439142856</v>
      </c>
      <c r="F16" s="699">
        <f t="shared" si="0"/>
        <v>2934.828239735456</v>
      </c>
      <c r="G16" s="699">
        <f t="shared" ca="1" si="0"/>
        <v>73514.03094467528</v>
      </c>
      <c r="H16" s="699">
        <f t="shared" si="0"/>
        <v>0</v>
      </c>
      <c r="I16" s="699">
        <f t="shared" si="0"/>
        <v>0</v>
      </c>
      <c r="J16" s="699">
        <f t="shared" si="0"/>
        <v>0</v>
      </c>
      <c r="K16" s="699">
        <f t="shared" si="0"/>
        <v>1518.0318196814651</v>
      </c>
      <c r="L16" s="699">
        <f t="shared" si="0"/>
        <v>0</v>
      </c>
      <c r="M16" s="699">
        <f t="shared" ca="1" si="0"/>
        <v>0</v>
      </c>
      <c r="N16" s="699">
        <f t="shared" si="0"/>
        <v>0</v>
      </c>
      <c r="O16" s="699">
        <f t="shared" ca="1" si="0"/>
        <v>12100.109290477107</v>
      </c>
      <c r="P16" s="699">
        <f t="shared" si="0"/>
        <v>368.94666666666666</v>
      </c>
      <c r="Q16" s="699">
        <f t="shared" si="0"/>
        <v>1144</v>
      </c>
      <c r="R16" s="699">
        <f t="shared" ca="1" si="0"/>
        <v>241489.32496436924</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19.239778496353217</v>
      </c>
      <c r="D19" s="983">
        <f>transport!C54</f>
        <v>0</v>
      </c>
      <c r="E19" s="983">
        <f>transport!D54</f>
        <v>0</v>
      </c>
      <c r="F19" s="983">
        <f>transport!E54</f>
        <v>0</v>
      </c>
      <c r="G19" s="983">
        <f>transport!F54</f>
        <v>0</v>
      </c>
      <c r="H19" s="983">
        <f>transport!G54</f>
        <v>3645.6841571714904</v>
      </c>
      <c r="I19" s="983">
        <f>transport!H54</f>
        <v>0</v>
      </c>
      <c r="J19" s="983">
        <f>transport!I54</f>
        <v>0</v>
      </c>
      <c r="K19" s="983">
        <f>transport!J54</f>
        <v>0</v>
      </c>
      <c r="L19" s="983">
        <f>transport!K54</f>
        <v>0</v>
      </c>
      <c r="M19" s="983">
        <f>transport!L54</f>
        <v>0</v>
      </c>
      <c r="N19" s="983">
        <f>transport!M54</f>
        <v>209.8748768729458</v>
      </c>
      <c r="O19" s="983">
        <f>transport!N54</f>
        <v>0</v>
      </c>
      <c r="P19" s="983">
        <f>transport!O54</f>
        <v>0</v>
      </c>
      <c r="Q19" s="984">
        <f>transport!P54</f>
        <v>0</v>
      </c>
      <c r="R19" s="667">
        <f>SUM(C19:Q19)</f>
        <v>3874.7988125407892</v>
      </c>
      <c r="S19" s="67"/>
    </row>
    <row r="20" spans="1:19" s="440" customFormat="1">
      <c r="A20" s="776" t="s">
        <v>296</v>
      </c>
      <c r="B20" s="781"/>
      <c r="C20" s="983">
        <f>transport!B14</f>
        <v>29.704269059773797</v>
      </c>
      <c r="D20" s="983">
        <f>transport!C14</f>
        <v>0</v>
      </c>
      <c r="E20" s="983">
        <f>transport!D14</f>
        <v>44.835430570829985</v>
      </c>
      <c r="F20" s="983">
        <f>transport!E14</f>
        <v>467.93194081840022</v>
      </c>
      <c r="G20" s="983">
        <f>transport!F14</f>
        <v>0</v>
      </c>
      <c r="H20" s="983">
        <f>transport!G14</f>
        <v>153376.65678774714</v>
      </c>
      <c r="I20" s="983">
        <f>transport!H14</f>
        <v>26254.260407158316</v>
      </c>
      <c r="J20" s="983">
        <f>transport!I14</f>
        <v>0</v>
      </c>
      <c r="K20" s="983">
        <f>transport!J14</f>
        <v>0</v>
      </c>
      <c r="L20" s="983">
        <f>transport!K14</f>
        <v>0</v>
      </c>
      <c r="M20" s="983">
        <f>transport!L14</f>
        <v>0</v>
      </c>
      <c r="N20" s="983">
        <f>transport!M14</f>
        <v>9693.171780008739</v>
      </c>
      <c r="O20" s="983">
        <f>transport!N14</f>
        <v>0</v>
      </c>
      <c r="P20" s="983">
        <f>transport!O14</f>
        <v>0</v>
      </c>
      <c r="Q20" s="984">
        <f>transport!P14</f>
        <v>0</v>
      </c>
      <c r="R20" s="667">
        <f>SUM(C20:Q20)</f>
        <v>189866.56061536321</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48.944047556127018</v>
      </c>
      <c r="D22" s="779">
        <f t="shared" ref="D22:R22" si="1">SUM(D18:D21)</f>
        <v>0</v>
      </c>
      <c r="E22" s="779">
        <f t="shared" si="1"/>
        <v>44.835430570829985</v>
      </c>
      <c r="F22" s="779">
        <f t="shared" si="1"/>
        <v>467.93194081840022</v>
      </c>
      <c r="G22" s="779">
        <f t="shared" si="1"/>
        <v>0</v>
      </c>
      <c r="H22" s="779">
        <f t="shared" si="1"/>
        <v>157022.34094491863</v>
      </c>
      <c r="I22" s="779">
        <f t="shared" si="1"/>
        <v>26254.260407158316</v>
      </c>
      <c r="J22" s="779">
        <f t="shared" si="1"/>
        <v>0</v>
      </c>
      <c r="K22" s="779">
        <f t="shared" si="1"/>
        <v>0</v>
      </c>
      <c r="L22" s="779">
        <f t="shared" si="1"/>
        <v>0</v>
      </c>
      <c r="M22" s="779">
        <f t="shared" si="1"/>
        <v>0</v>
      </c>
      <c r="N22" s="779">
        <f t="shared" si="1"/>
        <v>9903.0466568816846</v>
      </c>
      <c r="O22" s="779">
        <f t="shared" si="1"/>
        <v>0</v>
      </c>
      <c r="P22" s="779">
        <f t="shared" si="1"/>
        <v>0</v>
      </c>
      <c r="Q22" s="779">
        <f t="shared" si="1"/>
        <v>0</v>
      </c>
      <c r="R22" s="779">
        <f t="shared" si="1"/>
        <v>193741.35942790401</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852.57600000000002</v>
      </c>
      <c r="D24" s="983">
        <f>+landbouw!C8</f>
        <v>0</v>
      </c>
      <c r="E24" s="983">
        <f>+landbouw!D8</f>
        <v>60.417763999999998</v>
      </c>
      <c r="F24" s="983">
        <f>+landbouw!E8</f>
        <v>7.8969160036533514</v>
      </c>
      <c r="G24" s="983">
        <f>+landbouw!F8</f>
        <v>2163.1477275613261</v>
      </c>
      <c r="H24" s="983">
        <f>+landbouw!G8</f>
        <v>0</v>
      </c>
      <c r="I24" s="983">
        <f>+landbouw!H8</f>
        <v>0</v>
      </c>
      <c r="J24" s="983">
        <f>+landbouw!I8</f>
        <v>0</v>
      </c>
      <c r="K24" s="983">
        <f>+landbouw!J8</f>
        <v>130.70941557592977</v>
      </c>
      <c r="L24" s="983">
        <f>+landbouw!K8</f>
        <v>0</v>
      </c>
      <c r="M24" s="983">
        <f>+landbouw!L8</f>
        <v>0</v>
      </c>
      <c r="N24" s="983">
        <f>+landbouw!M8</f>
        <v>0</v>
      </c>
      <c r="O24" s="983">
        <f>+landbouw!N8</f>
        <v>0</v>
      </c>
      <c r="P24" s="983">
        <f>+landbouw!O8</f>
        <v>0</v>
      </c>
      <c r="Q24" s="984">
        <f>+landbouw!P8</f>
        <v>0</v>
      </c>
      <c r="R24" s="667">
        <f>SUM(C24:Q24)</f>
        <v>3214.7478231409091</v>
      </c>
      <c r="S24" s="67"/>
    </row>
    <row r="25" spans="1:19" s="440" customFormat="1" ht="15" thickBot="1">
      <c r="A25" s="798" t="s">
        <v>829</v>
      </c>
      <c r="B25" s="986"/>
      <c r="C25" s="987">
        <f>IF(Onbekend_ele_kWh="---",0,Onbekend_ele_kWh)/1000+IF(REST_rest_ele_kWh="---",0,REST_rest_ele_kWh)/1000</f>
        <v>870.77</v>
      </c>
      <c r="D25" s="987"/>
      <c r="E25" s="987">
        <f>IF(onbekend_gas_kWh="---",0,onbekend_gas_kWh)/1000+IF(REST_rest_gas_kWh="---",0,REST_rest_gas_kWh)/1000</f>
        <v>713.16</v>
      </c>
      <c r="F25" s="987"/>
      <c r="G25" s="987"/>
      <c r="H25" s="987"/>
      <c r="I25" s="987"/>
      <c r="J25" s="987"/>
      <c r="K25" s="987"/>
      <c r="L25" s="987"/>
      <c r="M25" s="987"/>
      <c r="N25" s="987"/>
      <c r="O25" s="987"/>
      <c r="P25" s="987"/>
      <c r="Q25" s="988"/>
      <c r="R25" s="667">
        <f>SUM(C25:Q25)</f>
        <v>1583.9299999999998</v>
      </c>
      <c r="S25" s="67"/>
    </row>
    <row r="26" spans="1:19" s="440" customFormat="1" ht="15.75" thickBot="1">
      <c r="A26" s="672" t="s">
        <v>830</v>
      </c>
      <c r="B26" s="784"/>
      <c r="C26" s="779">
        <f>SUM(C24:C25)</f>
        <v>1723.346</v>
      </c>
      <c r="D26" s="779">
        <f t="shared" ref="D26:R26" si="2">SUM(D24:D25)</f>
        <v>0</v>
      </c>
      <c r="E26" s="779">
        <f t="shared" si="2"/>
        <v>773.577764</v>
      </c>
      <c r="F26" s="779">
        <f t="shared" si="2"/>
        <v>7.8969160036533514</v>
      </c>
      <c r="G26" s="779">
        <f t="shared" si="2"/>
        <v>2163.1477275613261</v>
      </c>
      <c r="H26" s="779">
        <f t="shared" si="2"/>
        <v>0</v>
      </c>
      <c r="I26" s="779">
        <f t="shared" si="2"/>
        <v>0</v>
      </c>
      <c r="J26" s="779">
        <f t="shared" si="2"/>
        <v>0</v>
      </c>
      <c r="K26" s="779">
        <f t="shared" si="2"/>
        <v>130.70941557592977</v>
      </c>
      <c r="L26" s="779">
        <f t="shared" si="2"/>
        <v>0</v>
      </c>
      <c r="M26" s="779">
        <f t="shared" si="2"/>
        <v>0</v>
      </c>
      <c r="N26" s="779">
        <f t="shared" si="2"/>
        <v>0</v>
      </c>
      <c r="O26" s="779">
        <f t="shared" si="2"/>
        <v>0</v>
      </c>
      <c r="P26" s="779">
        <f t="shared" si="2"/>
        <v>0</v>
      </c>
      <c r="Q26" s="779">
        <f t="shared" si="2"/>
        <v>0</v>
      </c>
      <c r="R26" s="779">
        <f t="shared" si="2"/>
        <v>4798.6778231409089</v>
      </c>
      <c r="S26" s="67"/>
    </row>
    <row r="27" spans="1:19" s="440" customFormat="1" ht="17.25" thickTop="1" thickBot="1">
      <c r="A27" s="673" t="s">
        <v>109</v>
      </c>
      <c r="B27" s="772"/>
      <c r="C27" s="674">
        <f ca="1">C22+C16+C26</f>
        <v>72165.41604011794</v>
      </c>
      <c r="D27" s="674">
        <f t="shared" ref="D27:R27" ca="1" si="3">D22+D16+D26</f>
        <v>321.42857142857144</v>
      </c>
      <c r="E27" s="674">
        <f t="shared" ca="1" si="3"/>
        <v>80013.236633713692</v>
      </c>
      <c r="F27" s="674">
        <f t="shared" si="3"/>
        <v>3410.6570965575092</v>
      </c>
      <c r="G27" s="674">
        <f t="shared" ca="1" si="3"/>
        <v>75677.178672236609</v>
      </c>
      <c r="H27" s="674">
        <f t="shared" si="3"/>
        <v>157022.34094491863</v>
      </c>
      <c r="I27" s="674">
        <f t="shared" si="3"/>
        <v>26254.260407158316</v>
      </c>
      <c r="J27" s="674">
        <f t="shared" si="3"/>
        <v>0</v>
      </c>
      <c r="K27" s="674">
        <f t="shared" si="3"/>
        <v>1648.7412352573949</v>
      </c>
      <c r="L27" s="674">
        <f t="shared" si="3"/>
        <v>0</v>
      </c>
      <c r="M27" s="674">
        <f t="shared" ca="1" si="3"/>
        <v>0</v>
      </c>
      <c r="N27" s="674">
        <f t="shared" si="3"/>
        <v>9903.0466568816846</v>
      </c>
      <c r="O27" s="674">
        <f t="shared" ca="1" si="3"/>
        <v>12100.109290477107</v>
      </c>
      <c r="P27" s="674">
        <f t="shared" si="3"/>
        <v>368.94666666666666</v>
      </c>
      <c r="Q27" s="674">
        <f t="shared" si="3"/>
        <v>1144</v>
      </c>
      <c r="R27" s="674">
        <f t="shared" ca="1" si="3"/>
        <v>440029.36221541418</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4629.0459822878865</v>
      </c>
      <c r="D40" s="983">
        <f ca="1">tertiair!C20</f>
        <v>76.386554621848759</v>
      </c>
      <c r="E40" s="983">
        <f ca="1">tertiair!D20</f>
        <v>4873.3524594788569</v>
      </c>
      <c r="F40" s="983">
        <f>tertiair!E20</f>
        <v>37.292667638688783</v>
      </c>
      <c r="G40" s="983">
        <f ca="1">tertiair!F20</f>
        <v>994.1901075235786</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10610.26777155086</v>
      </c>
    </row>
    <row r="41" spans="1:18">
      <c r="A41" s="789" t="s">
        <v>214</v>
      </c>
      <c r="B41" s="796"/>
      <c r="C41" s="983">
        <f ca="1">huishoudens!B12</f>
        <v>6613.9725635928653</v>
      </c>
      <c r="D41" s="983">
        <f ca="1">huishoudens!C12</f>
        <v>0</v>
      </c>
      <c r="E41" s="983">
        <f>huishoudens!D12</f>
        <v>10049.340272136002</v>
      </c>
      <c r="F41" s="983">
        <f>huishoudens!E12</f>
        <v>455.38352093807504</v>
      </c>
      <c r="G41" s="983">
        <f>huishoudens!F12</f>
        <v>16897.370677712603</v>
      </c>
      <c r="H41" s="983">
        <f>huishoudens!G12</f>
        <v>0</v>
      </c>
      <c r="I41" s="983">
        <f>huishoudens!H12</f>
        <v>0</v>
      </c>
      <c r="J41" s="983">
        <f>huishoudens!I12</f>
        <v>0</v>
      </c>
      <c r="K41" s="983">
        <f>huishoudens!J12</f>
        <v>522.44307206855046</v>
      </c>
      <c r="L41" s="983">
        <f>huishoudens!K12</f>
        <v>0</v>
      </c>
      <c r="M41" s="983">
        <f>huishoudens!L12</f>
        <v>0</v>
      </c>
      <c r="N41" s="983">
        <f>huishoudens!M12</f>
        <v>0</v>
      </c>
      <c r="O41" s="983">
        <f>huishoudens!N12</f>
        <v>0</v>
      </c>
      <c r="P41" s="983">
        <f>huishoudens!O12</f>
        <v>0</v>
      </c>
      <c r="Q41" s="741">
        <f>huishoudens!P12</f>
        <v>0</v>
      </c>
      <c r="R41" s="817">
        <f t="shared" ca="1" si="4"/>
        <v>34538.510106448091</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2433.6381114249994</v>
      </c>
      <c r="D43" s="983">
        <f ca="1">industrie!C22</f>
        <v>0</v>
      </c>
      <c r="E43" s="983">
        <f>industrie!D22</f>
        <v>1074.661603092</v>
      </c>
      <c r="F43" s="983">
        <f>industrie!E22</f>
        <v>173.52982184318466</v>
      </c>
      <c r="G43" s="983">
        <f>industrie!F22</f>
        <v>1736.6854769921188</v>
      </c>
      <c r="H43" s="983">
        <f>industrie!G22</f>
        <v>0</v>
      </c>
      <c r="I43" s="983">
        <f>industrie!H22</f>
        <v>0</v>
      </c>
      <c r="J43" s="983">
        <f>industrie!I22</f>
        <v>0</v>
      </c>
      <c r="K43" s="983">
        <f>industrie!J22</f>
        <v>14.94019209868811</v>
      </c>
      <c r="L43" s="983">
        <f>industrie!K22</f>
        <v>0</v>
      </c>
      <c r="M43" s="983">
        <f>industrie!L22</f>
        <v>0</v>
      </c>
      <c r="N43" s="983">
        <f>industrie!M22</f>
        <v>0</v>
      </c>
      <c r="O43" s="983">
        <f>industrie!N22</f>
        <v>0</v>
      </c>
      <c r="P43" s="983">
        <f>industrie!O22</f>
        <v>0</v>
      </c>
      <c r="Q43" s="741">
        <f>industrie!P22</f>
        <v>0</v>
      </c>
      <c r="R43" s="816">
        <f t="shared" ca="1" si="4"/>
        <v>5433.4552054509904</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13676.656657305752</v>
      </c>
      <c r="D46" s="699">
        <f t="shared" ref="D46:Q46" ca="1" si="5">SUM(D39:D45)</f>
        <v>76.386554621848759</v>
      </c>
      <c r="E46" s="699">
        <f t="shared" ca="1" si="5"/>
        <v>15997.354334706857</v>
      </c>
      <c r="F46" s="699">
        <f t="shared" si="5"/>
        <v>666.20601041994848</v>
      </c>
      <c r="G46" s="699">
        <f t="shared" ca="1" si="5"/>
        <v>19628.246262228302</v>
      </c>
      <c r="H46" s="699">
        <f t="shared" si="5"/>
        <v>0</v>
      </c>
      <c r="I46" s="699">
        <f t="shared" si="5"/>
        <v>0</v>
      </c>
      <c r="J46" s="699">
        <f t="shared" si="5"/>
        <v>0</v>
      </c>
      <c r="K46" s="699">
        <f t="shared" si="5"/>
        <v>537.38326416723862</v>
      </c>
      <c r="L46" s="699">
        <f t="shared" si="5"/>
        <v>0</v>
      </c>
      <c r="M46" s="699">
        <f t="shared" ca="1" si="5"/>
        <v>0</v>
      </c>
      <c r="N46" s="699">
        <f t="shared" si="5"/>
        <v>0</v>
      </c>
      <c r="O46" s="699">
        <f t="shared" ca="1" si="5"/>
        <v>0</v>
      </c>
      <c r="P46" s="699">
        <f t="shared" si="5"/>
        <v>0</v>
      </c>
      <c r="Q46" s="699">
        <f t="shared" si="5"/>
        <v>0</v>
      </c>
      <c r="R46" s="699">
        <f ca="1">SUM(R39:R45)</f>
        <v>50582.233083449944</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3.7380900613085699</v>
      </c>
      <c r="D49" s="983">
        <f ca="1">transport!C58</f>
        <v>0</v>
      </c>
      <c r="E49" s="983">
        <f>transport!D58</f>
        <v>0</v>
      </c>
      <c r="F49" s="983">
        <f>transport!E58</f>
        <v>0</v>
      </c>
      <c r="G49" s="983">
        <f>transport!F58</f>
        <v>0</v>
      </c>
      <c r="H49" s="983">
        <f>transport!G58</f>
        <v>973.39766996478795</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977.13576002609648</v>
      </c>
    </row>
    <row r="50" spans="1:18">
      <c r="A50" s="792" t="s">
        <v>296</v>
      </c>
      <c r="B50" s="802"/>
      <c r="C50" s="670">
        <f ca="1">transport!B18</f>
        <v>5.7712323960394096</v>
      </c>
      <c r="D50" s="670">
        <f>transport!C18</f>
        <v>0</v>
      </c>
      <c r="E50" s="670">
        <f>transport!D18</f>
        <v>9.0567569753076569</v>
      </c>
      <c r="F50" s="670">
        <f>transport!E18</f>
        <v>106.22055056577685</v>
      </c>
      <c r="G50" s="670">
        <f>transport!F18</f>
        <v>0</v>
      </c>
      <c r="H50" s="670">
        <f>transport!G18</f>
        <v>40951.567362328489</v>
      </c>
      <c r="I50" s="670">
        <f>transport!H18</f>
        <v>6537.3108413824202</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47609.926743648037</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9.5093224573479791</v>
      </c>
      <c r="D52" s="699">
        <f t="shared" ref="D52:Q52" ca="1" si="6">SUM(D48:D51)</f>
        <v>0</v>
      </c>
      <c r="E52" s="699">
        <f t="shared" si="6"/>
        <v>9.0567569753076569</v>
      </c>
      <c r="F52" s="699">
        <f t="shared" si="6"/>
        <v>106.22055056577685</v>
      </c>
      <c r="G52" s="699">
        <f t="shared" si="6"/>
        <v>0</v>
      </c>
      <c r="H52" s="699">
        <f t="shared" si="6"/>
        <v>41924.965032293279</v>
      </c>
      <c r="I52" s="699">
        <f t="shared" si="6"/>
        <v>6537.3108413824202</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48587.062503674133</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165.64670288248342</v>
      </c>
      <c r="D54" s="670">
        <f ca="1">+landbouw!C12</f>
        <v>0</v>
      </c>
      <c r="E54" s="670">
        <f>+landbouw!D12</f>
        <v>12.204388328</v>
      </c>
      <c r="F54" s="670">
        <f>+landbouw!E12</f>
        <v>1.7925999328293107</v>
      </c>
      <c r="G54" s="670">
        <f>+landbouw!F12</f>
        <v>577.5604432588741</v>
      </c>
      <c r="H54" s="670">
        <f>+landbouw!G12</f>
        <v>0</v>
      </c>
      <c r="I54" s="670">
        <f>+landbouw!H12</f>
        <v>0</v>
      </c>
      <c r="J54" s="670">
        <f>+landbouw!I12</f>
        <v>0</v>
      </c>
      <c r="K54" s="670">
        <f>+landbouw!J12</f>
        <v>46.271133113879138</v>
      </c>
      <c r="L54" s="670">
        <f>+landbouw!K12</f>
        <v>0</v>
      </c>
      <c r="M54" s="670">
        <f>+landbouw!L12</f>
        <v>0</v>
      </c>
      <c r="N54" s="670">
        <f>+landbouw!M12</f>
        <v>0</v>
      </c>
      <c r="O54" s="670">
        <f>+landbouw!N12</f>
        <v>0</v>
      </c>
      <c r="P54" s="670">
        <f>+landbouw!O12</f>
        <v>0</v>
      </c>
      <c r="Q54" s="671">
        <f>+landbouw!P12</f>
        <v>0</v>
      </c>
      <c r="R54" s="698">
        <f ca="1">SUM(C54:Q54)</f>
        <v>803.47526751606597</v>
      </c>
    </row>
    <row r="55" spans="1:18" ht="15" thickBot="1">
      <c r="A55" s="792" t="s">
        <v>829</v>
      </c>
      <c r="B55" s="802"/>
      <c r="C55" s="670">
        <f ca="1">C25*'EF ele_warmte'!B12</f>
        <v>169.1816089931925</v>
      </c>
      <c r="D55" s="670"/>
      <c r="E55" s="670">
        <f>E25*EF_CO2_aardgas</f>
        <v>144.05832000000001</v>
      </c>
      <c r="F55" s="670"/>
      <c r="G55" s="670"/>
      <c r="H55" s="670"/>
      <c r="I55" s="670"/>
      <c r="J55" s="670"/>
      <c r="K55" s="670"/>
      <c r="L55" s="670"/>
      <c r="M55" s="670"/>
      <c r="N55" s="670"/>
      <c r="O55" s="670"/>
      <c r="P55" s="670"/>
      <c r="Q55" s="671"/>
      <c r="R55" s="698">
        <f ca="1">SUM(C55:Q55)</f>
        <v>313.23992899319251</v>
      </c>
    </row>
    <row r="56" spans="1:18" ht="15.75" thickBot="1">
      <c r="A56" s="790" t="s">
        <v>830</v>
      </c>
      <c r="B56" s="803"/>
      <c r="C56" s="699">
        <f ca="1">SUM(C54:C55)</f>
        <v>334.82831187567592</v>
      </c>
      <c r="D56" s="699">
        <f t="shared" ref="D56:Q56" ca="1" si="7">SUM(D54:D55)</f>
        <v>0</v>
      </c>
      <c r="E56" s="699">
        <f t="shared" si="7"/>
        <v>156.262708328</v>
      </c>
      <c r="F56" s="699">
        <f t="shared" si="7"/>
        <v>1.7925999328293107</v>
      </c>
      <c r="G56" s="699">
        <f t="shared" si="7"/>
        <v>577.5604432588741</v>
      </c>
      <c r="H56" s="699">
        <f t="shared" si="7"/>
        <v>0</v>
      </c>
      <c r="I56" s="699">
        <f t="shared" si="7"/>
        <v>0</v>
      </c>
      <c r="J56" s="699">
        <f t="shared" si="7"/>
        <v>0</v>
      </c>
      <c r="K56" s="699">
        <f t="shared" si="7"/>
        <v>46.271133113879138</v>
      </c>
      <c r="L56" s="699">
        <f t="shared" si="7"/>
        <v>0</v>
      </c>
      <c r="M56" s="699">
        <f t="shared" si="7"/>
        <v>0</v>
      </c>
      <c r="N56" s="699">
        <f t="shared" si="7"/>
        <v>0</v>
      </c>
      <c r="O56" s="699">
        <f t="shared" si="7"/>
        <v>0</v>
      </c>
      <c r="P56" s="699">
        <f t="shared" si="7"/>
        <v>0</v>
      </c>
      <c r="Q56" s="700">
        <f t="shared" si="7"/>
        <v>0</v>
      </c>
      <c r="R56" s="701">
        <f ca="1">SUM(R54:R55)</f>
        <v>1116.7151965092585</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14020.994291638775</v>
      </c>
      <c r="D61" s="707">
        <f t="shared" ref="D61:Q61" ca="1" si="8">D46+D52+D56</f>
        <v>76.386554621848759</v>
      </c>
      <c r="E61" s="707">
        <f t="shared" ca="1" si="8"/>
        <v>16162.673800010165</v>
      </c>
      <c r="F61" s="707">
        <f t="shared" si="8"/>
        <v>774.21916091855462</v>
      </c>
      <c r="G61" s="707">
        <f t="shared" ca="1" si="8"/>
        <v>20205.806705487175</v>
      </c>
      <c r="H61" s="707">
        <f t="shared" si="8"/>
        <v>41924.965032293279</v>
      </c>
      <c r="I61" s="707">
        <f t="shared" si="8"/>
        <v>6537.3108413824202</v>
      </c>
      <c r="J61" s="707">
        <f t="shared" si="8"/>
        <v>0</v>
      </c>
      <c r="K61" s="707">
        <f t="shared" si="8"/>
        <v>583.65439728111778</v>
      </c>
      <c r="L61" s="707">
        <f t="shared" si="8"/>
        <v>0</v>
      </c>
      <c r="M61" s="707">
        <f t="shared" ca="1" si="8"/>
        <v>0</v>
      </c>
      <c r="N61" s="707">
        <f t="shared" si="8"/>
        <v>0</v>
      </c>
      <c r="O61" s="707">
        <f t="shared" ca="1" si="8"/>
        <v>0</v>
      </c>
      <c r="P61" s="707">
        <f t="shared" si="8"/>
        <v>0</v>
      </c>
      <c r="Q61" s="707">
        <f t="shared" si="8"/>
        <v>0</v>
      </c>
      <c r="R61" s="707">
        <f ca="1">R46+R52+R56</f>
        <v>100286.01078363333</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0.19428966201544898</v>
      </c>
      <c r="D63" s="748">
        <f t="shared" ca="1" si="9"/>
        <v>0.23764705882352946</v>
      </c>
      <c r="E63" s="994">
        <f t="shared" ca="1" si="9"/>
        <v>0.20199999999999999</v>
      </c>
      <c r="F63" s="748">
        <f t="shared" si="9"/>
        <v>0.22700000000000001</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8738.9513188352175</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225</v>
      </c>
      <c r="D76" s="1004">
        <f>'lokale energieproductie'!C8</f>
        <v>264.70588235294116</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53.470588235294116</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8738.9513188352175</v>
      </c>
      <c r="C78" s="722">
        <f>SUM(C72:C77)</f>
        <v>225</v>
      </c>
      <c r="D78" s="723">
        <f t="shared" ref="D78:H78" si="10">SUM(D76:D77)</f>
        <v>264.70588235294116</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53.470588235294116</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321.42857142857144</v>
      </c>
      <c r="D87" s="744">
        <f>'lokale energieproductie'!C17</f>
        <v>378.15126050420173</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76.386554621848759</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321.42857142857144</v>
      </c>
      <c r="D90" s="722">
        <f t="shared" ref="D90:H90" si="12">SUM(D87:D89)</f>
        <v>378.15126050420173</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76.386554621848759</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34041.81413968878</v>
      </c>
      <c r="C4" s="444">
        <f>huishoudens!C8</f>
        <v>0</v>
      </c>
      <c r="D4" s="444">
        <f>huishoudens!D8</f>
        <v>49749.209268000006</v>
      </c>
      <c r="E4" s="444">
        <f>huishoudens!E8</f>
        <v>2006.0948058946037</v>
      </c>
      <c r="F4" s="444">
        <f>huishoudens!F8</f>
        <v>63286.032500796267</v>
      </c>
      <c r="G4" s="444">
        <f>huishoudens!G8</f>
        <v>0</v>
      </c>
      <c r="H4" s="444">
        <f>huishoudens!H8</f>
        <v>0</v>
      </c>
      <c r="I4" s="444">
        <f>huishoudens!I8</f>
        <v>0</v>
      </c>
      <c r="J4" s="444">
        <f>huishoudens!J8</f>
        <v>1475.8278871992952</v>
      </c>
      <c r="K4" s="444">
        <f>huishoudens!K8</f>
        <v>0</v>
      </c>
      <c r="L4" s="444">
        <f>huishoudens!L8</f>
        <v>0</v>
      </c>
      <c r="M4" s="444">
        <f>huishoudens!M8</f>
        <v>0</v>
      </c>
      <c r="N4" s="444">
        <f>huishoudens!N8</f>
        <v>9129.5018073021456</v>
      </c>
      <c r="O4" s="444">
        <f>huishoudens!O8</f>
        <v>359.56666666666666</v>
      </c>
      <c r="P4" s="445">
        <f>huishoudens!P8</f>
        <v>1086.8</v>
      </c>
      <c r="Q4" s="446">
        <f>SUM(B4:P4)</f>
        <v>161134.84707554779</v>
      </c>
    </row>
    <row r="5" spans="1:17">
      <c r="A5" s="443" t="s">
        <v>149</v>
      </c>
      <c r="B5" s="444">
        <f ca="1">tertiair!B16</f>
        <v>23020.358852873032</v>
      </c>
      <c r="C5" s="444">
        <f ca="1">tertiair!C16</f>
        <v>321.42857142857144</v>
      </c>
      <c r="D5" s="444">
        <f ca="1">tertiair!D16</f>
        <v>24125.507225142854</v>
      </c>
      <c r="E5" s="444">
        <f>tertiair!E16</f>
        <v>164.28487946558934</v>
      </c>
      <c r="F5" s="444">
        <f ca="1">tertiair!F16</f>
        <v>3723.558455144489</v>
      </c>
      <c r="G5" s="444">
        <f>tertiair!G16</f>
        <v>0</v>
      </c>
      <c r="H5" s="444">
        <f>tertiair!H16</f>
        <v>0</v>
      </c>
      <c r="I5" s="444">
        <f>tertiair!I16</f>
        <v>0</v>
      </c>
      <c r="J5" s="444">
        <f>tertiair!J16</f>
        <v>0</v>
      </c>
      <c r="K5" s="444">
        <f>tertiair!K16</f>
        <v>0</v>
      </c>
      <c r="L5" s="444">
        <f ca="1">tertiair!L16</f>
        <v>0</v>
      </c>
      <c r="M5" s="444">
        <f>tertiair!M16</f>
        <v>0</v>
      </c>
      <c r="N5" s="444">
        <f ca="1">tertiair!N16</f>
        <v>1831.556893084339</v>
      </c>
      <c r="O5" s="444">
        <f>tertiair!O16</f>
        <v>9.3800000000000008</v>
      </c>
      <c r="P5" s="445">
        <f>tertiair!P16</f>
        <v>57.2</v>
      </c>
      <c r="Q5" s="443">
        <f t="shared" ref="Q5:Q14" ca="1" si="0">SUM(B5:P5)</f>
        <v>53253.274877138872</v>
      </c>
    </row>
    <row r="6" spans="1:17">
      <c r="A6" s="443" t="s">
        <v>187</v>
      </c>
      <c r="B6" s="444">
        <f>'openbare verlichting'!B8</f>
        <v>805.12900000000002</v>
      </c>
      <c r="C6" s="444"/>
      <c r="D6" s="444"/>
      <c r="E6" s="444"/>
      <c r="F6" s="444"/>
      <c r="G6" s="444"/>
      <c r="H6" s="444"/>
      <c r="I6" s="444"/>
      <c r="J6" s="444"/>
      <c r="K6" s="444"/>
      <c r="L6" s="444"/>
      <c r="M6" s="444"/>
      <c r="N6" s="444"/>
      <c r="O6" s="444"/>
      <c r="P6" s="445"/>
      <c r="Q6" s="443">
        <f t="shared" si="0"/>
        <v>805.12900000000002</v>
      </c>
    </row>
    <row r="7" spans="1:17">
      <c r="A7" s="443" t="s">
        <v>105</v>
      </c>
      <c r="B7" s="444">
        <f>landbouw!B8</f>
        <v>852.57600000000002</v>
      </c>
      <c r="C7" s="444">
        <f>landbouw!C8</f>
        <v>0</v>
      </c>
      <c r="D7" s="444">
        <f>landbouw!D8</f>
        <v>60.417763999999998</v>
      </c>
      <c r="E7" s="444">
        <f>landbouw!E8</f>
        <v>7.8969160036533514</v>
      </c>
      <c r="F7" s="444">
        <f>landbouw!F8</f>
        <v>2163.1477275613261</v>
      </c>
      <c r="G7" s="444">
        <f>landbouw!G8</f>
        <v>0</v>
      </c>
      <c r="H7" s="444">
        <f>landbouw!H8</f>
        <v>0</v>
      </c>
      <c r="I7" s="444">
        <f>landbouw!I8</f>
        <v>0</v>
      </c>
      <c r="J7" s="444">
        <f>landbouw!J8</f>
        <v>130.70941557592977</v>
      </c>
      <c r="K7" s="444">
        <f>landbouw!K8</f>
        <v>0</v>
      </c>
      <c r="L7" s="444">
        <f>landbouw!L8</f>
        <v>0</v>
      </c>
      <c r="M7" s="444">
        <f>landbouw!M8</f>
        <v>0</v>
      </c>
      <c r="N7" s="444">
        <f>landbouw!N8</f>
        <v>0</v>
      </c>
      <c r="O7" s="444">
        <f>landbouw!O8</f>
        <v>0</v>
      </c>
      <c r="P7" s="445">
        <f>landbouw!P8</f>
        <v>0</v>
      </c>
      <c r="Q7" s="443">
        <f t="shared" si="0"/>
        <v>3214.7478231409091</v>
      </c>
    </row>
    <row r="8" spans="1:17">
      <c r="A8" s="443" t="s">
        <v>637</v>
      </c>
      <c r="B8" s="444">
        <f>industrie!B18</f>
        <v>12525.824000000001</v>
      </c>
      <c r="C8" s="444">
        <f>industrie!C18</f>
        <v>0</v>
      </c>
      <c r="D8" s="444">
        <f>industrie!D18</f>
        <v>5320.1069459999999</v>
      </c>
      <c r="E8" s="444">
        <f>industrie!E18</f>
        <v>764.4485543752628</v>
      </c>
      <c r="F8" s="444">
        <f>industrie!F18</f>
        <v>6504.4399887345271</v>
      </c>
      <c r="G8" s="444">
        <f>industrie!G18</f>
        <v>0</v>
      </c>
      <c r="H8" s="444">
        <f>industrie!H18</f>
        <v>0</v>
      </c>
      <c r="I8" s="444">
        <f>industrie!I18</f>
        <v>0</v>
      </c>
      <c r="J8" s="444">
        <f>industrie!J18</f>
        <v>42.203932482169805</v>
      </c>
      <c r="K8" s="444">
        <f>industrie!K18</f>
        <v>0</v>
      </c>
      <c r="L8" s="444">
        <f>industrie!L18</f>
        <v>0</v>
      </c>
      <c r="M8" s="444">
        <f>industrie!M18</f>
        <v>0</v>
      </c>
      <c r="N8" s="444">
        <f>industrie!N18</f>
        <v>1139.0505900906223</v>
      </c>
      <c r="O8" s="444">
        <f>industrie!O18</f>
        <v>0</v>
      </c>
      <c r="P8" s="445">
        <f>industrie!P18</f>
        <v>0</v>
      </c>
      <c r="Q8" s="443">
        <f t="shared" si="0"/>
        <v>26296.074011682584</v>
      </c>
    </row>
    <row r="9" spans="1:17" s="449" customFormat="1">
      <c r="A9" s="447" t="s">
        <v>558</v>
      </c>
      <c r="B9" s="448">
        <f>transport!B14</f>
        <v>29.704269059773797</v>
      </c>
      <c r="C9" s="448">
        <f>transport!C14</f>
        <v>0</v>
      </c>
      <c r="D9" s="448">
        <f>transport!D14</f>
        <v>44.835430570829985</v>
      </c>
      <c r="E9" s="448">
        <f>transport!E14</f>
        <v>467.93194081840022</v>
      </c>
      <c r="F9" s="448">
        <f>transport!F14</f>
        <v>0</v>
      </c>
      <c r="G9" s="448">
        <f>transport!G14</f>
        <v>153376.65678774714</v>
      </c>
      <c r="H9" s="448">
        <f>transport!H14</f>
        <v>26254.260407158316</v>
      </c>
      <c r="I9" s="448">
        <f>transport!I14</f>
        <v>0</v>
      </c>
      <c r="J9" s="448">
        <f>transport!J14</f>
        <v>0</v>
      </c>
      <c r="K9" s="448">
        <f>transport!K14</f>
        <v>0</v>
      </c>
      <c r="L9" s="448">
        <f>transport!L14</f>
        <v>0</v>
      </c>
      <c r="M9" s="448">
        <f>transport!M14</f>
        <v>9693.171780008739</v>
      </c>
      <c r="N9" s="448">
        <f>transport!N14</f>
        <v>0</v>
      </c>
      <c r="O9" s="448">
        <f>transport!O14</f>
        <v>0</v>
      </c>
      <c r="P9" s="448">
        <f>transport!P14</f>
        <v>0</v>
      </c>
      <c r="Q9" s="447">
        <f>SUM(B9:P9)</f>
        <v>189866.56061536321</v>
      </c>
    </row>
    <row r="10" spans="1:17">
      <c r="A10" s="443" t="s">
        <v>548</v>
      </c>
      <c r="B10" s="444">
        <f>transport!B54</f>
        <v>19.239778496353217</v>
      </c>
      <c r="C10" s="444">
        <f>transport!C54</f>
        <v>0</v>
      </c>
      <c r="D10" s="444">
        <f>transport!D54</f>
        <v>0</v>
      </c>
      <c r="E10" s="444">
        <f>transport!E54</f>
        <v>0</v>
      </c>
      <c r="F10" s="444">
        <f>transport!F54</f>
        <v>0</v>
      </c>
      <c r="G10" s="444">
        <f>transport!G54</f>
        <v>3645.6841571714904</v>
      </c>
      <c r="H10" s="444">
        <f>transport!H54</f>
        <v>0</v>
      </c>
      <c r="I10" s="444">
        <f>transport!I54</f>
        <v>0</v>
      </c>
      <c r="J10" s="444">
        <f>transport!J54</f>
        <v>0</v>
      </c>
      <c r="K10" s="444">
        <f>transport!K54</f>
        <v>0</v>
      </c>
      <c r="L10" s="444">
        <f>transport!L54</f>
        <v>0</v>
      </c>
      <c r="M10" s="444">
        <f>transport!M54</f>
        <v>209.8748768729458</v>
      </c>
      <c r="N10" s="444">
        <f>transport!N54</f>
        <v>0</v>
      </c>
      <c r="O10" s="444">
        <f>transport!O54</f>
        <v>0</v>
      </c>
      <c r="P10" s="445">
        <f>transport!P54</f>
        <v>0</v>
      </c>
      <c r="Q10" s="443">
        <f t="shared" si="0"/>
        <v>3874.7988125407892</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870.77</v>
      </c>
      <c r="C14" s="451"/>
      <c r="D14" s="451">
        <f>'SEAP template'!E25</f>
        <v>713.16</v>
      </c>
      <c r="E14" s="451"/>
      <c r="F14" s="451"/>
      <c r="G14" s="451"/>
      <c r="H14" s="451"/>
      <c r="I14" s="451"/>
      <c r="J14" s="451"/>
      <c r="K14" s="451"/>
      <c r="L14" s="451"/>
      <c r="M14" s="451"/>
      <c r="N14" s="451"/>
      <c r="O14" s="451"/>
      <c r="P14" s="452"/>
      <c r="Q14" s="443">
        <f t="shared" si="0"/>
        <v>1583.9299999999998</v>
      </c>
    </row>
    <row r="15" spans="1:17" s="453" customFormat="1">
      <c r="A15" s="1009" t="s">
        <v>552</v>
      </c>
      <c r="B15" s="949">
        <f ca="1">SUM(B4:B14)</f>
        <v>72165.41604011794</v>
      </c>
      <c r="C15" s="949">
        <f t="shared" ref="C15:Q15" ca="1" si="1">SUM(C4:C14)</f>
        <v>321.42857142857144</v>
      </c>
      <c r="D15" s="949">
        <f t="shared" ca="1" si="1"/>
        <v>80013.236633713692</v>
      </c>
      <c r="E15" s="949">
        <f t="shared" si="1"/>
        <v>3410.6570965575092</v>
      </c>
      <c r="F15" s="949">
        <f t="shared" ca="1" si="1"/>
        <v>75677.178672236609</v>
      </c>
      <c r="G15" s="949">
        <f t="shared" si="1"/>
        <v>157022.34094491863</v>
      </c>
      <c r="H15" s="949">
        <f t="shared" si="1"/>
        <v>26254.260407158316</v>
      </c>
      <c r="I15" s="949">
        <f t="shared" si="1"/>
        <v>0</v>
      </c>
      <c r="J15" s="949">
        <f t="shared" si="1"/>
        <v>1648.7412352573949</v>
      </c>
      <c r="K15" s="949">
        <f t="shared" si="1"/>
        <v>0</v>
      </c>
      <c r="L15" s="949">
        <f t="shared" ca="1" si="1"/>
        <v>0</v>
      </c>
      <c r="M15" s="949">
        <f t="shared" si="1"/>
        <v>9903.0466568816846</v>
      </c>
      <c r="N15" s="949">
        <f t="shared" ca="1" si="1"/>
        <v>12100.109290477107</v>
      </c>
      <c r="O15" s="949">
        <f t="shared" si="1"/>
        <v>368.94666666666666</v>
      </c>
      <c r="P15" s="949">
        <f t="shared" si="1"/>
        <v>1144</v>
      </c>
      <c r="Q15" s="949">
        <f t="shared" ca="1" si="1"/>
        <v>440029.36221541412</v>
      </c>
    </row>
    <row r="17" spans="1:17">
      <c r="A17" s="454" t="s">
        <v>553</v>
      </c>
      <c r="B17" s="753">
        <f ca="1">huishoudens!B10</f>
        <v>0.19428966201544898</v>
      </c>
      <c r="C17" s="753">
        <f ca="1">huishoudens!C10</f>
        <v>0.23764705882352946</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6613.9725635928653</v>
      </c>
      <c r="C22" s="444">
        <f t="shared" ref="C22:C32" ca="1" si="3">C4*$C$17</f>
        <v>0</v>
      </c>
      <c r="D22" s="444">
        <f t="shared" ref="D22:D32" si="4">D4*$D$17</f>
        <v>10049.340272136002</v>
      </c>
      <c r="E22" s="444">
        <f t="shared" ref="E22:E32" si="5">E4*$E$17</f>
        <v>455.38352093807504</v>
      </c>
      <c r="F22" s="444">
        <f t="shared" ref="F22:F32" si="6">F4*$F$17</f>
        <v>16897.370677712603</v>
      </c>
      <c r="G22" s="444">
        <f t="shared" ref="G22:G32" si="7">G4*$G$17</f>
        <v>0</v>
      </c>
      <c r="H22" s="444">
        <f t="shared" ref="H22:H32" si="8">H4*$H$17</f>
        <v>0</v>
      </c>
      <c r="I22" s="444">
        <f t="shared" ref="I22:I32" si="9">I4*$I$17</f>
        <v>0</v>
      </c>
      <c r="J22" s="444">
        <f t="shared" ref="J22:J32" si="10">J4*$J$17</f>
        <v>522.44307206855046</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34538.510106448091</v>
      </c>
    </row>
    <row r="23" spans="1:17">
      <c r="A23" s="443" t="s">
        <v>149</v>
      </c>
      <c r="B23" s="444">
        <f t="shared" ca="1" si="2"/>
        <v>4472.6177409990505</v>
      </c>
      <c r="C23" s="444">
        <f t="shared" ca="1" si="3"/>
        <v>76.386554621848759</v>
      </c>
      <c r="D23" s="444">
        <f t="shared" ca="1" si="4"/>
        <v>4873.3524594788569</v>
      </c>
      <c r="E23" s="444">
        <f t="shared" si="5"/>
        <v>37.292667638688783</v>
      </c>
      <c r="F23" s="444">
        <f t="shared" ca="1" si="6"/>
        <v>994.1901075235786</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10453.839530262023</v>
      </c>
    </row>
    <row r="24" spans="1:17">
      <c r="A24" s="443" t="s">
        <v>187</v>
      </c>
      <c r="B24" s="444">
        <f t="shared" ca="1" si="2"/>
        <v>156.42824128883643</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156.42824128883643</v>
      </c>
    </row>
    <row r="25" spans="1:17">
      <c r="A25" s="443" t="s">
        <v>105</v>
      </c>
      <c r="B25" s="444">
        <f t="shared" ca="1" si="2"/>
        <v>165.64670288248342</v>
      </c>
      <c r="C25" s="444">
        <f t="shared" ca="1" si="3"/>
        <v>0</v>
      </c>
      <c r="D25" s="444">
        <f t="shared" si="4"/>
        <v>12.204388328</v>
      </c>
      <c r="E25" s="444">
        <f t="shared" si="5"/>
        <v>1.7925999328293107</v>
      </c>
      <c r="F25" s="444">
        <f t="shared" si="6"/>
        <v>577.5604432588741</v>
      </c>
      <c r="G25" s="444">
        <f t="shared" si="7"/>
        <v>0</v>
      </c>
      <c r="H25" s="444">
        <f t="shared" si="8"/>
        <v>0</v>
      </c>
      <c r="I25" s="444">
        <f t="shared" si="9"/>
        <v>0</v>
      </c>
      <c r="J25" s="444">
        <f t="shared" si="10"/>
        <v>46.271133113879138</v>
      </c>
      <c r="K25" s="444">
        <f t="shared" si="11"/>
        <v>0</v>
      </c>
      <c r="L25" s="444">
        <f t="shared" si="12"/>
        <v>0</v>
      </c>
      <c r="M25" s="444">
        <f t="shared" si="13"/>
        <v>0</v>
      </c>
      <c r="N25" s="444">
        <f t="shared" si="14"/>
        <v>0</v>
      </c>
      <c r="O25" s="444">
        <f t="shared" si="15"/>
        <v>0</v>
      </c>
      <c r="P25" s="445">
        <f t="shared" si="16"/>
        <v>0</v>
      </c>
      <c r="Q25" s="443">
        <f t="shared" ca="1" si="17"/>
        <v>803.47526751606597</v>
      </c>
    </row>
    <row r="26" spans="1:17">
      <c r="A26" s="443" t="s">
        <v>637</v>
      </c>
      <c r="B26" s="444">
        <f t="shared" ca="1" si="2"/>
        <v>2433.6381114249994</v>
      </c>
      <c r="C26" s="444">
        <f t="shared" ca="1" si="3"/>
        <v>0</v>
      </c>
      <c r="D26" s="444">
        <f t="shared" si="4"/>
        <v>1074.661603092</v>
      </c>
      <c r="E26" s="444">
        <f t="shared" si="5"/>
        <v>173.52982184318466</v>
      </c>
      <c r="F26" s="444">
        <f t="shared" si="6"/>
        <v>1736.6854769921188</v>
      </c>
      <c r="G26" s="444">
        <f t="shared" si="7"/>
        <v>0</v>
      </c>
      <c r="H26" s="444">
        <f t="shared" si="8"/>
        <v>0</v>
      </c>
      <c r="I26" s="444">
        <f t="shared" si="9"/>
        <v>0</v>
      </c>
      <c r="J26" s="444">
        <f t="shared" si="10"/>
        <v>14.94019209868811</v>
      </c>
      <c r="K26" s="444">
        <f t="shared" si="11"/>
        <v>0</v>
      </c>
      <c r="L26" s="444">
        <f t="shared" si="12"/>
        <v>0</v>
      </c>
      <c r="M26" s="444">
        <f t="shared" si="13"/>
        <v>0</v>
      </c>
      <c r="N26" s="444">
        <f t="shared" si="14"/>
        <v>0</v>
      </c>
      <c r="O26" s="444">
        <f t="shared" si="15"/>
        <v>0</v>
      </c>
      <c r="P26" s="445">
        <f t="shared" si="16"/>
        <v>0</v>
      </c>
      <c r="Q26" s="443">
        <f t="shared" ca="1" si="17"/>
        <v>5433.4552054509904</v>
      </c>
    </row>
    <row r="27" spans="1:17" s="449" customFormat="1">
      <c r="A27" s="447" t="s">
        <v>558</v>
      </c>
      <c r="B27" s="747">
        <f t="shared" ca="1" si="2"/>
        <v>5.7712323960394096</v>
      </c>
      <c r="C27" s="448">
        <f t="shared" ca="1" si="3"/>
        <v>0</v>
      </c>
      <c r="D27" s="448">
        <f t="shared" si="4"/>
        <v>9.0567569753076569</v>
      </c>
      <c r="E27" s="448">
        <f t="shared" si="5"/>
        <v>106.22055056577685</v>
      </c>
      <c r="F27" s="448">
        <f t="shared" si="6"/>
        <v>0</v>
      </c>
      <c r="G27" s="448">
        <f t="shared" si="7"/>
        <v>40951.567362328489</v>
      </c>
      <c r="H27" s="448">
        <f t="shared" si="8"/>
        <v>6537.3108413824202</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47609.926743648037</v>
      </c>
    </row>
    <row r="28" spans="1:17">
      <c r="A28" s="443" t="s">
        <v>548</v>
      </c>
      <c r="B28" s="444">
        <f t="shared" ca="1" si="2"/>
        <v>3.7380900613085699</v>
      </c>
      <c r="C28" s="444">
        <f t="shared" ca="1" si="3"/>
        <v>0</v>
      </c>
      <c r="D28" s="444">
        <f t="shared" si="4"/>
        <v>0</v>
      </c>
      <c r="E28" s="444">
        <f t="shared" si="5"/>
        <v>0</v>
      </c>
      <c r="F28" s="444">
        <f t="shared" si="6"/>
        <v>0</v>
      </c>
      <c r="G28" s="444">
        <f t="shared" si="7"/>
        <v>973.39766996478795</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977.13576002609648</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169.1816089931925</v>
      </c>
      <c r="C32" s="444">
        <f t="shared" ca="1" si="3"/>
        <v>0</v>
      </c>
      <c r="D32" s="444">
        <f t="shared" si="4"/>
        <v>144.05832000000001</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313.23992899319251</v>
      </c>
    </row>
    <row r="33" spans="1:17" s="453" customFormat="1">
      <c r="A33" s="1009" t="s">
        <v>552</v>
      </c>
      <c r="B33" s="949">
        <f ca="1">SUM(B22:B32)</f>
        <v>14020.994291638774</v>
      </c>
      <c r="C33" s="949">
        <f t="shared" ref="C33:Q33" ca="1" si="18">SUM(C22:C32)</f>
        <v>76.386554621848759</v>
      </c>
      <c r="D33" s="949">
        <f t="shared" ca="1" si="18"/>
        <v>16162.673800010165</v>
      </c>
      <c r="E33" s="949">
        <f t="shared" si="18"/>
        <v>774.21916091855473</v>
      </c>
      <c r="F33" s="949">
        <f t="shared" ca="1" si="18"/>
        <v>20205.806705487175</v>
      </c>
      <c r="G33" s="949">
        <f t="shared" si="18"/>
        <v>41924.965032293279</v>
      </c>
      <c r="H33" s="949">
        <f t="shared" si="18"/>
        <v>6537.3108413824202</v>
      </c>
      <c r="I33" s="949">
        <f t="shared" si="18"/>
        <v>0</v>
      </c>
      <c r="J33" s="949">
        <f t="shared" si="18"/>
        <v>583.65439728111778</v>
      </c>
      <c r="K33" s="949">
        <f t="shared" si="18"/>
        <v>0</v>
      </c>
      <c r="L33" s="949">
        <f t="shared" ca="1" si="18"/>
        <v>0</v>
      </c>
      <c r="M33" s="949">
        <f t="shared" si="18"/>
        <v>0</v>
      </c>
      <c r="N33" s="949">
        <f t="shared" ca="1" si="18"/>
        <v>0</v>
      </c>
      <c r="O33" s="949">
        <f t="shared" si="18"/>
        <v>0</v>
      </c>
      <c r="P33" s="949">
        <f t="shared" si="18"/>
        <v>0</v>
      </c>
      <c r="Q33" s="949">
        <f t="shared" ca="1" si="18"/>
        <v>100286.01078363333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8738.9513188352175</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225</v>
      </c>
      <c r="D8" s="1026">
        <f>'SEAP template'!D76</f>
        <v>264.70588235294116</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53.470588235294116</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8738.9513188352175</v>
      </c>
      <c r="C10" s="1030">
        <f>SUM(C4:C9)</f>
        <v>225</v>
      </c>
      <c r="D10" s="1030">
        <f t="shared" ref="D10:H10" si="0">SUM(D8:D9)</f>
        <v>264.70588235294116</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53.470588235294116</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0.19428966201544898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321.42857142857144</v>
      </c>
      <c r="D17" s="1027">
        <f>'SEAP template'!D87</f>
        <v>378.15126050420173</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76.386554621848759</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321.42857142857144</v>
      </c>
      <c r="D20" s="1030">
        <f t="shared" ref="D20:H20" si="2">SUM(D17:D19)</f>
        <v>378.15126050420173</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76.386554621848759</v>
      </c>
    </row>
    <row r="22" spans="1:16">
      <c r="A22" s="454" t="s">
        <v>853</v>
      </c>
      <c r="B22" s="753" t="s">
        <v>847</v>
      </c>
      <c r="C22" s="753">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0.19428966201544898</v>
      </c>
      <c r="C17" s="491">
        <f ca="1">'EF ele_warmte'!B22</f>
        <v>0.23764705882352946</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0.19428966201544898</v>
      </c>
      <c r="C17" s="491">
        <f ca="1">'EF ele_warmte'!B22</f>
        <v>0.23764705882352946</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0.19428966201544898</v>
      </c>
      <c r="C29" s="492">
        <f ca="1">'EF ele_warmte'!B22</f>
        <v>0.23764705882352946</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7627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1435</v>
      </c>
      <c r="C14" s="324"/>
      <c r="D14" s="324"/>
      <c r="E14" s="324"/>
      <c r="F14" s="324"/>
    </row>
    <row r="15" spans="1:6">
      <c r="A15" s="1302" t="s">
        <v>177</v>
      </c>
      <c r="B15" s="1303">
        <v>12</v>
      </c>
      <c r="C15" s="324"/>
      <c r="D15" s="324"/>
      <c r="E15" s="324"/>
      <c r="F15" s="324"/>
    </row>
    <row r="16" spans="1:6">
      <c r="A16" s="1302" t="s">
        <v>6</v>
      </c>
      <c r="B16" s="1303">
        <v>575</v>
      </c>
      <c r="C16" s="324"/>
      <c r="D16" s="324"/>
      <c r="E16" s="324"/>
      <c r="F16" s="324"/>
    </row>
    <row r="17" spans="1:6">
      <c r="A17" s="1302" t="s">
        <v>7</v>
      </c>
      <c r="B17" s="1303">
        <v>262</v>
      </c>
      <c r="C17" s="324"/>
      <c r="D17" s="324"/>
      <c r="E17" s="324"/>
      <c r="F17" s="324"/>
    </row>
    <row r="18" spans="1:6">
      <c r="A18" s="1302" t="s">
        <v>8</v>
      </c>
      <c r="B18" s="1303">
        <v>509</v>
      </c>
      <c r="C18" s="324"/>
      <c r="D18" s="324"/>
      <c r="E18" s="324"/>
      <c r="F18" s="324"/>
    </row>
    <row r="19" spans="1:6">
      <c r="A19" s="1302" t="s">
        <v>9</v>
      </c>
      <c r="B19" s="1303">
        <v>462</v>
      </c>
      <c r="C19" s="324"/>
      <c r="D19" s="324"/>
      <c r="E19" s="324"/>
      <c r="F19" s="324"/>
    </row>
    <row r="20" spans="1:6">
      <c r="A20" s="1302" t="s">
        <v>10</v>
      </c>
      <c r="B20" s="1303">
        <v>228</v>
      </c>
      <c r="C20" s="324"/>
      <c r="D20" s="324"/>
      <c r="E20" s="324"/>
      <c r="F20" s="324"/>
    </row>
    <row r="21" spans="1:6">
      <c r="A21" s="1302" t="s">
        <v>11</v>
      </c>
      <c r="B21" s="1303">
        <v>500</v>
      </c>
      <c r="C21" s="324"/>
      <c r="D21" s="324"/>
      <c r="E21" s="324"/>
      <c r="F21" s="324"/>
    </row>
    <row r="22" spans="1:6">
      <c r="A22" s="1302" t="s">
        <v>12</v>
      </c>
      <c r="B22" s="1303">
        <v>1969</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74</v>
      </c>
      <c r="C26" s="324"/>
      <c r="D26" s="324"/>
      <c r="E26" s="324"/>
      <c r="F26" s="324"/>
    </row>
    <row r="27" spans="1:6">
      <c r="A27" s="1302" t="s">
        <v>17</v>
      </c>
      <c r="B27" s="1303">
        <v>0</v>
      </c>
      <c r="C27" s="324"/>
      <c r="D27" s="324"/>
      <c r="E27" s="324"/>
      <c r="F27" s="324"/>
    </row>
    <row r="28" spans="1:6">
      <c r="A28" s="1302" t="s">
        <v>18</v>
      </c>
      <c r="B28" s="1304">
        <v>28228</v>
      </c>
      <c r="C28" s="324"/>
      <c r="D28" s="324"/>
      <c r="E28" s="324"/>
      <c r="F28" s="324"/>
    </row>
    <row r="29" spans="1:6">
      <c r="A29" s="1302" t="s">
        <v>918</v>
      </c>
      <c r="B29" s="1304">
        <v>95</v>
      </c>
      <c r="C29" s="324"/>
      <c r="D29" s="324"/>
      <c r="E29" s="324"/>
      <c r="F29" s="324"/>
    </row>
    <row r="30" spans="1:6">
      <c r="A30" s="1297" t="s">
        <v>919</v>
      </c>
      <c r="B30" s="1305">
        <v>33</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2</v>
      </c>
      <c r="F38" s="1303">
        <v>11488</v>
      </c>
    </row>
    <row r="39" spans="1:6">
      <c r="A39" s="1302" t="s">
        <v>29</v>
      </c>
      <c r="B39" s="1302" t="s">
        <v>30</v>
      </c>
      <c r="C39" s="1303">
        <v>3773</v>
      </c>
      <c r="D39" s="1303">
        <v>55154334</v>
      </c>
      <c r="E39" s="1303">
        <v>7638</v>
      </c>
      <c r="F39" s="1303">
        <v>27433625</v>
      </c>
    </row>
    <row r="40" spans="1:6">
      <c r="A40" s="1302" t="s">
        <v>29</v>
      </c>
      <c r="B40" s="1302" t="s">
        <v>28</v>
      </c>
      <c r="C40" s="1303">
        <v>0</v>
      </c>
      <c r="D40" s="1303">
        <v>0</v>
      </c>
      <c r="E40" s="1303">
        <v>0</v>
      </c>
      <c r="F40" s="1303">
        <v>0</v>
      </c>
    </row>
    <row r="41" spans="1:6">
      <c r="A41" s="1302" t="s">
        <v>31</v>
      </c>
      <c r="B41" s="1302" t="s">
        <v>32</v>
      </c>
      <c r="C41" s="1303">
        <v>46</v>
      </c>
      <c r="D41" s="1303">
        <v>1737055</v>
      </c>
      <c r="E41" s="1303">
        <v>140</v>
      </c>
      <c r="F41" s="1303">
        <v>1623880</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11</v>
      </c>
      <c r="F44" s="1303">
        <v>6884245</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3</v>
      </c>
      <c r="F47" s="1303">
        <v>52204</v>
      </c>
    </row>
    <row r="48" spans="1:6">
      <c r="A48" s="1302" t="s">
        <v>31</v>
      </c>
      <c r="B48" s="1302" t="s">
        <v>28</v>
      </c>
      <c r="C48" s="1303">
        <v>4</v>
      </c>
      <c r="D48" s="1303">
        <v>1500855</v>
      </c>
      <c r="E48" s="1303">
        <v>3</v>
      </c>
      <c r="F48" s="1303">
        <v>2595680</v>
      </c>
    </row>
    <row r="49" spans="1:6">
      <c r="A49" s="1302" t="s">
        <v>31</v>
      </c>
      <c r="B49" s="1302" t="s">
        <v>39</v>
      </c>
      <c r="C49" s="1303">
        <v>0</v>
      </c>
      <c r="D49" s="1303">
        <v>0</v>
      </c>
      <c r="E49" s="1303">
        <v>4</v>
      </c>
      <c r="F49" s="1303">
        <v>61419</v>
      </c>
    </row>
    <row r="50" spans="1:6">
      <c r="A50" s="1302" t="s">
        <v>31</v>
      </c>
      <c r="B50" s="1302" t="s">
        <v>40</v>
      </c>
      <c r="C50" s="1303">
        <v>5</v>
      </c>
      <c r="D50" s="1303">
        <v>2660213</v>
      </c>
      <c r="E50" s="1303">
        <v>11</v>
      </c>
      <c r="F50" s="1303">
        <v>1308396</v>
      </c>
    </row>
    <row r="51" spans="1:6">
      <c r="A51" s="1302" t="s">
        <v>41</v>
      </c>
      <c r="B51" s="1302" t="s">
        <v>42</v>
      </c>
      <c r="C51" s="1303">
        <v>0</v>
      </c>
      <c r="D51" s="1303">
        <v>0</v>
      </c>
      <c r="E51" s="1303">
        <v>51</v>
      </c>
      <c r="F51" s="1303">
        <v>852576</v>
      </c>
    </row>
    <row r="52" spans="1:6">
      <c r="A52" s="1302" t="s">
        <v>41</v>
      </c>
      <c r="B52" s="1302" t="s">
        <v>28</v>
      </c>
      <c r="C52" s="1303">
        <v>2</v>
      </c>
      <c r="D52" s="1303">
        <v>66982</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91</v>
      </c>
      <c r="F54" s="1303">
        <v>805129</v>
      </c>
    </row>
    <row r="55" spans="1:6">
      <c r="A55" s="1302" t="s">
        <v>45</v>
      </c>
      <c r="B55" s="1302" t="s">
        <v>28</v>
      </c>
      <c r="C55" s="1303">
        <v>0</v>
      </c>
      <c r="D55" s="1303">
        <v>0</v>
      </c>
      <c r="E55" s="1303">
        <v>0</v>
      </c>
      <c r="F55" s="1303">
        <v>0</v>
      </c>
    </row>
    <row r="56" spans="1:6">
      <c r="A56" s="1302" t="s">
        <v>47</v>
      </c>
      <c r="B56" s="1302" t="s">
        <v>28</v>
      </c>
      <c r="C56" s="1303">
        <v>41</v>
      </c>
      <c r="D56" s="1303">
        <v>713160</v>
      </c>
      <c r="E56" s="1303">
        <v>164</v>
      </c>
      <c r="F56" s="1303">
        <v>870770</v>
      </c>
    </row>
    <row r="57" spans="1:6">
      <c r="A57" s="1302" t="s">
        <v>48</v>
      </c>
      <c r="B57" s="1302" t="s">
        <v>49</v>
      </c>
      <c r="C57" s="1303">
        <v>56</v>
      </c>
      <c r="D57" s="1303">
        <v>4380822</v>
      </c>
      <c r="E57" s="1303">
        <v>112</v>
      </c>
      <c r="F57" s="1303">
        <v>2404182.2951807231</v>
      </c>
    </row>
    <row r="58" spans="1:6">
      <c r="A58" s="1302" t="s">
        <v>48</v>
      </c>
      <c r="B58" s="1302" t="s">
        <v>50</v>
      </c>
      <c r="C58" s="1303">
        <v>23</v>
      </c>
      <c r="D58" s="1303">
        <v>2986282</v>
      </c>
      <c r="E58" s="1303">
        <v>35</v>
      </c>
      <c r="F58" s="1303">
        <v>1199863</v>
      </c>
    </row>
    <row r="59" spans="1:6">
      <c r="A59" s="1302" t="s">
        <v>48</v>
      </c>
      <c r="B59" s="1302" t="s">
        <v>51</v>
      </c>
      <c r="C59" s="1303">
        <v>82</v>
      </c>
      <c r="D59" s="1303">
        <v>2598438</v>
      </c>
      <c r="E59" s="1303">
        <v>171</v>
      </c>
      <c r="F59" s="1303">
        <v>5770754.557692308</v>
      </c>
    </row>
    <row r="60" spans="1:6">
      <c r="A60" s="1302" t="s">
        <v>48</v>
      </c>
      <c r="B60" s="1302" t="s">
        <v>52</v>
      </c>
      <c r="C60" s="1303">
        <v>47</v>
      </c>
      <c r="D60" s="1303">
        <v>1819901</v>
      </c>
      <c r="E60" s="1303">
        <v>82</v>
      </c>
      <c r="F60" s="1303">
        <v>1619307</v>
      </c>
    </row>
    <row r="61" spans="1:6">
      <c r="A61" s="1302" t="s">
        <v>48</v>
      </c>
      <c r="B61" s="1302" t="s">
        <v>53</v>
      </c>
      <c r="C61" s="1303">
        <v>105</v>
      </c>
      <c r="D61" s="1303">
        <v>5450847</v>
      </c>
      <c r="E61" s="1303">
        <v>299</v>
      </c>
      <c r="F61" s="1303">
        <v>7695767</v>
      </c>
    </row>
    <row r="62" spans="1:6">
      <c r="A62" s="1302" t="s">
        <v>48</v>
      </c>
      <c r="B62" s="1302" t="s">
        <v>54</v>
      </c>
      <c r="C62" s="1303">
        <v>19</v>
      </c>
      <c r="D62" s="1303">
        <v>10223094</v>
      </c>
      <c r="E62" s="1303">
        <v>25</v>
      </c>
      <c r="F62" s="1303">
        <v>4105485</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0</v>
      </c>
      <c r="D65" s="1303">
        <v>0</v>
      </c>
      <c r="E65" s="1303">
        <v>1</v>
      </c>
      <c r="F65" s="1303">
        <v>5357</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4</v>
      </c>
      <c r="D68" s="1305">
        <v>136132</v>
      </c>
      <c r="E68" s="1305">
        <v>16</v>
      </c>
      <c r="F68" s="1305">
        <v>222433</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104622678</v>
      </c>
      <c r="E73" s="442"/>
      <c r="F73" s="324"/>
    </row>
    <row r="74" spans="1:6">
      <c r="A74" s="1302" t="s">
        <v>63</v>
      </c>
      <c r="B74" s="1302" t="s">
        <v>695</v>
      </c>
      <c r="C74" s="1315" t="s">
        <v>697</v>
      </c>
      <c r="D74" s="1303">
        <v>10665245.526880451</v>
      </c>
      <c r="E74" s="442"/>
      <c r="F74" s="324"/>
    </row>
    <row r="75" spans="1:6">
      <c r="A75" s="1302" t="s">
        <v>64</v>
      </c>
      <c r="B75" s="1302" t="s">
        <v>694</v>
      </c>
      <c r="C75" s="1315" t="s">
        <v>698</v>
      </c>
      <c r="D75" s="1303">
        <v>29723467</v>
      </c>
      <c r="E75" s="442"/>
      <c r="F75" s="324"/>
    </row>
    <row r="76" spans="1:6">
      <c r="A76" s="1302" t="s">
        <v>64</v>
      </c>
      <c r="B76" s="1302" t="s">
        <v>695</v>
      </c>
      <c r="C76" s="1315" t="s">
        <v>699</v>
      </c>
      <c r="D76" s="1303">
        <v>24755</v>
      </c>
      <c r="E76" s="442"/>
      <c r="F76" s="324"/>
    </row>
    <row r="77" spans="1:6">
      <c r="A77" s="1302" t="s">
        <v>65</v>
      </c>
      <c r="B77" s="1302" t="s">
        <v>694</v>
      </c>
      <c r="C77" s="1315" t="s">
        <v>700</v>
      </c>
      <c r="D77" s="1303">
        <v>71319837</v>
      </c>
      <c r="E77" s="442"/>
      <c r="F77" s="324"/>
    </row>
    <row r="78" spans="1:6">
      <c r="A78" s="1297" t="s">
        <v>65</v>
      </c>
      <c r="B78" s="1297" t="s">
        <v>695</v>
      </c>
      <c r="C78" s="1297" t="s">
        <v>701</v>
      </c>
      <c r="D78" s="1305">
        <v>9376164</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1040704.9462390979</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6608.1891396887768</v>
      </c>
      <c r="C91" s="324"/>
      <c r="D91" s="324"/>
      <c r="E91" s="324"/>
      <c r="F91" s="324"/>
    </row>
    <row r="92" spans="1:6">
      <c r="A92" s="1297" t="s">
        <v>68</v>
      </c>
      <c r="B92" s="1298">
        <v>2130.7621791464417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1118</v>
      </c>
      <c r="C97" s="324"/>
      <c r="D97" s="324"/>
      <c r="E97" s="324"/>
      <c r="F97" s="324"/>
    </row>
    <row r="98" spans="1:6">
      <c r="A98" s="1302" t="s">
        <v>71</v>
      </c>
      <c r="B98" s="1303">
        <v>3</v>
      </c>
      <c r="C98" s="324"/>
      <c r="D98" s="324"/>
      <c r="E98" s="324"/>
      <c r="F98" s="324"/>
    </row>
    <row r="99" spans="1:6">
      <c r="A99" s="1302" t="s">
        <v>72</v>
      </c>
      <c r="B99" s="1303">
        <v>35</v>
      </c>
      <c r="C99" s="324"/>
      <c r="D99" s="324"/>
      <c r="E99" s="324"/>
      <c r="F99" s="324"/>
    </row>
    <row r="100" spans="1:6">
      <c r="A100" s="1302" t="s">
        <v>73</v>
      </c>
      <c r="B100" s="1303">
        <v>338</v>
      </c>
      <c r="C100" s="324"/>
      <c r="D100" s="324"/>
      <c r="E100" s="324"/>
      <c r="F100" s="324"/>
    </row>
    <row r="101" spans="1:6">
      <c r="A101" s="1302" t="s">
        <v>74</v>
      </c>
      <c r="B101" s="1303">
        <v>82</v>
      </c>
      <c r="C101" s="324"/>
      <c r="D101" s="324"/>
      <c r="E101" s="324"/>
      <c r="F101" s="324"/>
    </row>
    <row r="102" spans="1:6">
      <c r="A102" s="1302" t="s">
        <v>75</v>
      </c>
      <c r="B102" s="1303">
        <v>67</v>
      </c>
      <c r="C102" s="324"/>
      <c r="D102" s="324"/>
      <c r="E102" s="324"/>
      <c r="F102" s="324"/>
    </row>
    <row r="103" spans="1:6">
      <c r="A103" s="1302" t="s">
        <v>76</v>
      </c>
      <c r="B103" s="1303">
        <v>126</v>
      </c>
      <c r="C103" s="324"/>
      <c r="D103" s="324"/>
      <c r="E103" s="324"/>
      <c r="F103" s="324"/>
    </row>
    <row r="104" spans="1:6">
      <c r="A104" s="1302" t="s">
        <v>77</v>
      </c>
      <c r="B104" s="1303">
        <v>4617</v>
      </c>
      <c r="C104" s="324"/>
      <c r="D104" s="324"/>
      <c r="E104" s="324"/>
      <c r="F104" s="324"/>
    </row>
    <row r="105" spans="1:6">
      <c r="A105" s="1297" t="s">
        <v>78</v>
      </c>
      <c r="B105" s="1305">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25</v>
      </c>
      <c r="C123" s="1303">
        <v>46</v>
      </c>
      <c r="D123" s="324"/>
      <c r="E123" s="324"/>
      <c r="F123" s="324"/>
    </row>
    <row r="124" spans="1:6">
      <c r="A124" s="1302" t="s">
        <v>88</v>
      </c>
      <c r="B124" s="1303">
        <v>0</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183</v>
      </c>
      <c r="C129" s="324"/>
      <c r="D129" s="324"/>
      <c r="E129" s="324"/>
      <c r="F129" s="324"/>
    </row>
    <row r="130" spans="1:6">
      <c r="A130" s="1302" t="s">
        <v>284</v>
      </c>
      <c r="B130" s="1303">
        <v>6</v>
      </c>
      <c r="C130" s="324"/>
      <c r="D130" s="324"/>
      <c r="E130" s="324"/>
      <c r="F130" s="324"/>
    </row>
    <row r="131" spans="1:6">
      <c r="A131" s="1302" t="s">
        <v>285</v>
      </c>
      <c r="B131" s="1303">
        <v>3</v>
      </c>
      <c r="C131" s="324"/>
      <c r="D131" s="324"/>
      <c r="E131" s="324"/>
      <c r="F131" s="324"/>
    </row>
    <row r="132" spans="1:6">
      <c r="A132" s="1297" t="s">
        <v>286</v>
      </c>
      <c r="B132" s="1298">
        <v>32</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72165.41604011794</v>
      </c>
      <c r="C3" s="43" t="s">
        <v>163</v>
      </c>
      <c r="D3" s="43"/>
      <c r="E3" s="154"/>
      <c r="F3" s="43"/>
      <c r="G3" s="43"/>
      <c r="H3" s="43"/>
      <c r="I3" s="43"/>
      <c r="J3" s="43"/>
      <c r="K3" s="96"/>
    </row>
    <row r="4" spans="1:11">
      <c r="A4" s="351" t="s">
        <v>164</v>
      </c>
      <c r="B4" s="49">
        <f>IF(ISERROR('SEAP template'!B78+'SEAP template'!C78),0,'SEAP template'!B78+'SEAP template'!C78)</f>
        <v>8963.9513188352175</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53.470588235294116</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0.19428966201544898</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76.386554621848759</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321.42857142857144</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0.23764705882352946</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805.12900000000002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805.12900000000002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0.19428966201544898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156.42824128883643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27433.625</v>
      </c>
      <c r="C5" s="17">
        <f>IF(ISERROR('Eigen informatie GS &amp; warmtenet'!B57),0,'Eigen informatie GS &amp; warmtenet'!B57)</f>
        <v>0</v>
      </c>
      <c r="D5" s="30">
        <f>(SUM(HH_hh_gas_kWh,HH_rest_gas_kWh)/1000)*0.902</f>
        <v>49749.209268000006</v>
      </c>
      <c r="E5" s="17">
        <f>B32*B41</f>
        <v>2006.0948058946037</v>
      </c>
      <c r="F5" s="17">
        <f>B36*B45</f>
        <v>63286.032500796267</v>
      </c>
      <c r="G5" s="18"/>
      <c r="H5" s="17"/>
      <c r="I5" s="17"/>
      <c r="J5" s="17">
        <f>B35*B44+C35*C44</f>
        <v>1475.8278871992952</v>
      </c>
      <c r="K5" s="17"/>
      <c r="L5" s="17"/>
      <c r="M5" s="17"/>
      <c r="N5" s="17">
        <f>B34*B43+C34*C43</f>
        <v>9129.5018073021456</v>
      </c>
      <c r="O5" s="17">
        <f>B52*B53*B54</f>
        <v>359.56666666666666</v>
      </c>
      <c r="P5" s="17">
        <f>B60*B61*B62/1000-B60*B61*B62/1000/B63</f>
        <v>1086.8</v>
      </c>
    </row>
    <row r="6" spans="1:16">
      <c r="A6" s="16" t="s">
        <v>618</v>
      </c>
      <c r="B6" s="755">
        <f>kWh_PV_kleiner_dan_10kW</f>
        <v>6608.1891396887768</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34041.81413968878</v>
      </c>
      <c r="C8" s="21">
        <f>C5</f>
        <v>0</v>
      </c>
      <c r="D8" s="21">
        <f>D5</f>
        <v>49749.209268000006</v>
      </c>
      <c r="E8" s="21">
        <f>E5</f>
        <v>2006.0948058946037</v>
      </c>
      <c r="F8" s="21">
        <f>F5</f>
        <v>63286.032500796267</v>
      </c>
      <c r="G8" s="21"/>
      <c r="H8" s="21"/>
      <c r="I8" s="21"/>
      <c r="J8" s="21">
        <f>J5</f>
        <v>1475.8278871992952</v>
      </c>
      <c r="K8" s="21"/>
      <c r="L8" s="21">
        <f>L5</f>
        <v>0</v>
      </c>
      <c r="M8" s="21">
        <f>M5</f>
        <v>0</v>
      </c>
      <c r="N8" s="21">
        <f>N5</f>
        <v>9129.5018073021456</v>
      </c>
      <c r="O8" s="21">
        <f>O5</f>
        <v>359.56666666666666</v>
      </c>
      <c r="P8" s="21">
        <f>P5</f>
        <v>1086.8</v>
      </c>
    </row>
    <row r="9" spans="1:16">
      <c r="B9" s="19"/>
      <c r="C9" s="19"/>
      <c r="D9" s="254"/>
      <c r="E9" s="19"/>
      <c r="F9" s="19"/>
      <c r="G9" s="19"/>
      <c r="H9" s="19"/>
      <c r="I9" s="19"/>
      <c r="J9" s="19"/>
      <c r="K9" s="19"/>
      <c r="L9" s="19"/>
      <c r="M9" s="19"/>
      <c r="N9" s="19"/>
      <c r="O9" s="19"/>
      <c r="P9" s="19"/>
    </row>
    <row r="10" spans="1:16">
      <c r="A10" s="24" t="s">
        <v>207</v>
      </c>
      <c r="B10" s="25">
        <f ca="1">'EF ele_warmte'!B12</f>
        <v>0.19428966201544898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6613.9725635928653</v>
      </c>
      <c r="C12" s="23">
        <f ca="1">C10*C8</f>
        <v>0</v>
      </c>
      <c r="D12" s="23">
        <f>D8*D10</f>
        <v>10049.340272136002</v>
      </c>
      <c r="E12" s="23">
        <f>E10*E8</f>
        <v>455.38352093807504</v>
      </c>
      <c r="F12" s="23">
        <f>F10*F8</f>
        <v>16897.370677712603</v>
      </c>
      <c r="G12" s="23"/>
      <c r="H12" s="23"/>
      <c r="I12" s="23"/>
      <c r="J12" s="23">
        <f>J10*J8</f>
        <v>522.44307206855046</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7627</v>
      </c>
      <c r="C26" s="36"/>
      <c r="D26" s="225"/>
    </row>
    <row r="27" spans="1:5" s="15" customFormat="1">
      <c r="A27" s="227" t="s">
        <v>721</v>
      </c>
      <c r="B27" s="37">
        <f>SUM(HH_hh_gas_aantal,HH_rest_gas_aantal)</f>
        <v>3773</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3584.35</v>
      </c>
      <c r="C31" s="34" t="s">
        <v>104</v>
      </c>
      <c r="D31" s="171"/>
    </row>
    <row r="32" spans="1:5">
      <c r="A32" s="168" t="s">
        <v>72</v>
      </c>
      <c r="B32" s="33">
        <f>IF((B21*($B$26-($B$27-0.05*$B$27)-$B$60))&lt;0,0,B21*($B$26-($B$27-0.05*$B$27)-$B$60))</f>
        <v>25.130401884966982</v>
      </c>
      <c r="C32" s="34" t="s">
        <v>104</v>
      </c>
      <c r="D32" s="171"/>
    </row>
    <row r="33" spans="1:6">
      <c r="A33" s="168" t="s">
        <v>73</v>
      </c>
      <c r="B33" s="33">
        <f>IF((B22*($B$26-($B$27-0.05*$B$27)-$B$60))&lt;0,0,B22*($B$26-($B$27-0.05*$B$27)-$B$60))</f>
        <v>875.13188520988774</v>
      </c>
      <c r="C33" s="34" t="s">
        <v>104</v>
      </c>
      <c r="D33" s="171"/>
    </row>
    <row r="34" spans="1:6">
      <c r="A34" s="168" t="s">
        <v>74</v>
      </c>
      <c r="B34" s="33">
        <f>IF((B24*($B$26-($B$27-0.05*$B$27)-$B$60))&lt;0,0,B24*($B$26-($B$27-0.05*$B$27)-$B$60))</f>
        <v>173.70980769574049</v>
      </c>
      <c r="C34" s="33">
        <f>B26*C24</f>
        <v>1560.4817778516535</v>
      </c>
      <c r="D34" s="230"/>
    </row>
    <row r="35" spans="1:6">
      <c r="A35" s="168" t="s">
        <v>76</v>
      </c>
      <c r="B35" s="33">
        <f>IF((B19*($B$26-($B$27-0.05*$B$27)-$B$60))&lt;0,0,B19*($B$26-($B$27-0.05*$B$27)-$B$60))</f>
        <v>84.867119862905312</v>
      </c>
      <c r="C35" s="33">
        <f>B35/2</f>
        <v>42.433559931452656</v>
      </c>
      <c r="D35" s="230"/>
    </row>
    <row r="36" spans="1:6">
      <c r="A36" s="168" t="s">
        <v>77</v>
      </c>
      <c r="B36" s="33">
        <f>IF((B18*($B$26-($B$27-0.05*$B$27)-$B$60))&lt;0,0,B18*($B$26-($B$27-0.05*$B$27)-$B$60))</f>
        <v>2826.8107853465008</v>
      </c>
      <c r="C36" s="34" t="s">
        <v>104</v>
      </c>
      <c r="D36" s="171"/>
    </row>
    <row r="37" spans="1:6">
      <c r="A37" s="168" t="s">
        <v>78</v>
      </c>
      <c r="B37" s="33">
        <f>B60</f>
        <v>57</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230</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57</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22795.358852873032</v>
      </c>
      <c r="C5" s="17">
        <f>IF(ISERROR('Eigen informatie GS &amp; warmtenet'!B58),0,'Eigen informatie GS &amp; warmtenet'!B58)</f>
        <v>0</v>
      </c>
      <c r="D5" s="30">
        <f>SUM(D6:D12)</f>
        <v>24768.364367999995</v>
      </c>
      <c r="E5" s="17">
        <f>SUM(E6:E12)</f>
        <v>164.28487946558934</v>
      </c>
      <c r="F5" s="17">
        <f>SUM(F6:F12)</f>
        <v>3723.558455144489</v>
      </c>
      <c r="G5" s="18"/>
      <c r="H5" s="17"/>
      <c r="I5" s="17"/>
      <c r="J5" s="17">
        <f>SUM(J6:J12)</f>
        <v>0</v>
      </c>
      <c r="K5" s="17"/>
      <c r="L5" s="17"/>
      <c r="M5" s="17"/>
      <c r="N5" s="17">
        <f>SUM(N6:N12)</f>
        <v>1831.556893084339</v>
      </c>
      <c r="O5" s="17">
        <f>B38*B39*B40</f>
        <v>9.3800000000000008</v>
      </c>
      <c r="P5" s="17">
        <f>B46*B47*B48/1000-B46*B47*B48/1000/B49</f>
        <v>57.2</v>
      </c>
      <c r="R5" s="32"/>
    </row>
    <row r="6" spans="1:18">
      <c r="A6" s="32" t="s">
        <v>53</v>
      </c>
      <c r="B6" s="37">
        <f>B26</f>
        <v>7695.7669999999998</v>
      </c>
      <c r="C6" s="33"/>
      <c r="D6" s="37">
        <f>IF(ISERROR(TER_kantoor_gas_kWh/1000),0,TER_kantoor_gas_kWh/1000)*0.902</f>
        <v>4916.6639939999995</v>
      </c>
      <c r="E6" s="33">
        <f>$C$26*'E Balans VL '!I12/100/3.6*1000000</f>
        <v>22.295766128121052</v>
      </c>
      <c r="F6" s="33">
        <f>$C$26*('E Balans VL '!L12+'E Balans VL '!N12)/100/3.6*1000000</f>
        <v>870.9912735073118</v>
      </c>
      <c r="G6" s="34"/>
      <c r="H6" s="33"/>
      <c r="I6" s="33"/>
      <c r="J6" s="33">
        <f>$C$26*('E Balans VL '!D12+'E Balans VL '!E12)/100/3.6*1000000</f>
        <v>0</v>
      </c>
      <c r="K6" s="33"/>
      <c r="L6" s="33"/>
      <c r="M6" s="33"/>
      <c r="N6" s="33">
        <f>$C$26*'E Balans VL '!Y12/100/3.6*1000000</f>
        <v>77.028957175693819</v>
      </c>
      <c r="O6" s="33"/>
      <c r="P6" s="33"/>
      <c r="R6" s="32"/>
    </row>
    <row r="7" spans="1:18">
      <c r="A7" s="32" t="s">
        <v>52</v>
      </c>
      <c r="B7" s="37">
        <f t="shared" ref="B7:B12" si="0">B27</f>
        <v>1619.307</v>
      </c>
      <c r="C7" s="33"/>
      <c r="D7" s="37">
        <f>IF(ISERROR(TER_horeca_gas_kWh/1000),0,TER_horeca_gas_kWh/1000)*0.902</f>
        <v>1641.550702</v>
      </c>
      <c r="E7" s="33">
        <f>$C$27*'E Balans VL '!I9/100/3.6*1000000</f>
        <v>67.973983605658617</v>
      </c>
      <c r="F7" s="33">
        <f>$C$27*('E Balans VL '!L9+'E Balans VL '!N9)/100/3.6*1000000</f>
        <v>347.94131596756984</v>
      </c>
      <c r="G7" s="34"/>
      <c r="H7" s="33"/>
      <c r="I7" s="33"/>
      <c r="J7" s="33">
        <f>$C$27*('E Balans VL '!D9+'E Balans VL '!E9)/100/3.6*1000000</f>
        <v>0</v>
      </c>
      <c r="K7" s="33"/>
      <c r="L7" s="33"/>
      <c r="M7" s="33"/>
      <c r="N7" s="33">
        <f>$C$27*'E Balans VL '!Y9/100/3.6*1000000</f>
        <v>0.41728125254654919</v>
      </c>
      <c r="O7" s="33"/>
      <c r="P7" s="33"/>
      <c r="R7" s="32"/>
    </row>
    <row r="8" spans="1:18">
      <c r="A8" s="6" t="s">
        <v>51</v>
      </c>
      <c r="B8" s="37">
        <f t="shared" si="0"/>
        <v>5770.7545576923076</v>
      </c>
      <c r="C8" s="33"/>
      <c r="D8" s="37">
        <f>IF(ISERROR(TER_handel_gas_kWh/1000),0,TER_handel_gas_kWh/1000)*0.902</f>
        <v>2343.791076</v>
      </c>
      <c r="E8" s="33">
        <f>$C$28*'E Balans VL '!I13/100/3.6*1000000</f>
        <v>61.982706812104738</v>
      </c>
      <c r="F8" s="33">
        <f>$C$28*('E Balans VL '!L13+'E Balans VL '!N13)/100/3.6*1000000</f>
        <v>747.07183140203108</v>
      </c>
      <c r="G8" s="34"/>
      <c r="H8" s="33"/>
      <c r="I8" s="33"/>
      <c r="J8" s="33">
        <f>$C$28*('E Balans VL '!D13+'E Balans VL '!E13)/100/3.6*1000000</f>
        <v>0</v>
      </c>
      <c r="K8" s="33"/>
      <c r="L8" s="33"/>
      <c r="M8" s="33"/>
      <c r="N8" s="33">
        <f>$C$28*'E Balans VL '!Y13/100/3.6*1000000</f>
        <v>46.812676068899101</v>
      </c>
      <c r="O8" s="33"/>
      <c r="P8" s="33"/>
      <c r="R8" s="32"/>
    </row>
    <row r="9" spans="1:18">
      <c r="A9" s="32" t="s">
        <v>50</v>
      </c>
      <c r="B9" s="37">
        <f t="shared" si="0"/>
        <v>1199.8630000000001</v>
      </c>
      <c r="C9" s="33"/>
      <c r="D9" s="37">
        <f>IF(ISERROR(TER_gezond_gas_kWh/1000),0,TER_gezond_gas_kWh/1000)*0.902</f>
        <v>2693.6263640000002</v>
      </c>
      <c r="E9" s="33">
        <f>$C$29*'E Balans VL '!I10/100/3.6*1000000</f>
        <v>0.9551685530597388</v>
      </c>
      <c r="F9" s="33">
        <f>$C$29*('E Balans VL '!L10+'E Balans VL '!N10)/100/3.6*1000000</f>
        <v>145.86068723213316</v>
      </c>
      <c r="G9" s="34"/>
      <c r="H9" s="33"/>
      <c r="I9" s="33"/>
      <c r="J9" s="33">
        <f>$C$29*('E Balans VL '!D10+'E Balans VL '!E10)/100/3.6*1000000</f>
        <v>0</v>
      </c>
      <c r="K9" s="33"/>
      <c r="L9" s="33"/>
      <c r="M9" s="33"/>
      <c r="N9" s="33">
        <f>$C$29*'E Balans VL '!Y10/100/3.6*1000000</f>
        <v>9.6921754311842268</v>
      </c>
      <c r="O9" s="33"/>
      <c r="P9" s="33"/>
      <c r="R9" s="32"/>
    </row>
    <row r="10" spans="1:18">
      <c r="A10" s="32" t="s">
        <v>49</v>
      </c>
      <c r="B10" s="37">
        <f t="shared" si="0"/>
        <v>2404.182295180723</v>
      </c>
      <c r="C10" s="33"/>
      <c r="D10" s="37">
        <f>IF(ISERROR(TER_ander_gas_kWh/1000),0,TER_ander_gas_kWh/1000)*0.902</f>
        <v>3951.501444</v>
      </c>
      <c r="E10" s="33">
        <f>$C$30*'E Balans VL '!I14/100/3.6*1000000</f>
        <v>8.2392590251322986</v>
      </c>
      <c r="F10" s="33">
        <f>$C$30*('E Balans VL '!L14+'E Balans VL '!N14)/100/3.6*1000000</f>
        <v>536.99663028296311</v>
      </c>
      <c r="G10" s="34"/>
      <c r="H10" s="33"/>
      <c r="I10" s="33"/>
      <c r="J10" s="33">
        <f>$C$30*('E Balans VL '!D14+'E Balans VL '!E14)/100/3.6*1000000</f>
        <v>0</v>
      </c>
      <c r="K10" s="33"/>
      <c r="L10" s="33"/>
      <c r="M10" s="33"/>
      <c r="N10" s="33">
        <f>$C$30*'E Balans VL '!Y14/100/3.6*1000000</f>
        <v>1693.5191425164498</v>
      </c>
      <c r="O10" s="33"/>
      <c r="P10" s="33"/>
      <c r="R10" s="32"/>
    </row>
    <row r="11" spans="1:18">
      <c r="A11" s="32" t="s">
        <v>54</v>
      </c>
      <c r="B11" s="37">
        <f t="shared" si="0"/>
        <v>4105.4849999999997</v>
      </c>
      <c r="C11" s="33"/>
      <c r="D11" s="37">
        <f>IF(ISERROR(TER_onderwijs_gas_kWh/1000),0,TER_onderwijs_gas_kWh/1000)*0.902</f>
        <v>9221.2307879999989</v>
      </c>
      <c r="E11" s="33">
        <f>$C$31*'E Balans VL '!I11/100/3.6*1000000</f>
        <v>2.8379953415129053</v>
      </c>
      <c r="F11" s="33">
        <f>$C$31*('E Balans VL '!L11+'E Balans VL '!N11)/100/3.6*1000000</f>
        <v>1074.6967167524806</v>
      </c>
      <c r="G11" s="34"/>
      <c r="H11" s="33"/>
      <c r="I11" s="33"/>
      <c r="J11" s="33">
        <f>$C$31*('E Balans VL '!D11+'E Balans VL '!E11)/100/3.6*1000000</f>
        <v>0</v>
      </c>
      <c r="K11" s="33"/>
      <c r="L11" s="33"/>
      <c r="M11" s="33"/>
      <c r="N11" s="33">
        <f>$C$31*'E Balans VL '!Y11/100/3.6*1000000</f>
        <v>4.0866606395654674</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225</v>
      </c>
      <c r="C13" s="243">
        <f ca="1">'lokale energieproductie'!O38+'lokale energieproductie'!O31</f>
        <v>321.42857142857144</v>
      </c>
      <c r="D13" s="302">
        <f ca="1">('lokale energieproductie'!P31+'lokale energieproductie'!P38)*(-1)</f>
        <v>-642.85714285714289</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23020.358852873032</v>
      </c>
      <c r="C16" s="21">
        <f t="shared" ca="1" si="1"/>
        <v>321.42857142857144</v>
      </c>
      <c r="D16" s="21">
        <f t="shared" ca="1" si="1"/>
        <v>24125.507225142854</v>
      </c>
      <c r="E16" s="21">
        <f t="shared" si="1"/>
        <v>164.28487946558934</v>
      </c>
      <c r="F16" s="21">
        <f t="shared" ca="1" si="1"/>
        <v>3723.558455144489</v>
      </c>
      <c r="G16" s="21">
        <f t="shared" si="1"/>
        <v>0</v>
      </c>
      <c r="H16" s="21">
        <f t="shared" si="1"/>
        <v>0</v>
      </c>
      <c r="I16" s="21">
        <f t="shared" si="1"/>
        <v>0</v>
      </c>
      <c r="J16" s="21">
        <f t="shared" si="1"/>
        <v>0</v>
      </c>
      <c r="K16" s="21">
        <f t="shared" si="1"/>
        <v>0</v>
      </c>
      <c r="L16" s="21">
        <f t="shared" ca="1" si="1"/>
        <v>0</v>
      </c>
      <c r="M16" s="21">
        <f t="shared" si="1"/>
        <v>0</v>
      </c>
      <c r="N16" s="21">
        <f t="shared" ca="1" si="1"/>
        <v>1831.556893084339</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0.19428966201544898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4472.6177409990505</v>
      </c>
      <c r="C20" s="23">
        <f t="shared" ref="C20:P20" ca="1" si="2">C16*C18</f>
        <v>76.386554621848759</v>
      </c>
      <c r="D20" s="23">
        <f t="shared" ca="1" si="2"/>
        <v>4873.3524594788569</v>
      </c>
      <c r="E20" s="23">
        <f t="shared" si="2"/>
        <v>37.292667638688783</v>
      </c>
      <c r="F20" s="23">
        <f t="shared" ca="1" si="2"/>
        <v>994.1901075235786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7695.7669999999998</v>
      </c>
      <c r="C26" s="39">
        <f>IF(ISERROR(B26*3.6/1000000/'E Balans VL '!Z12*100),0,B26*3.6/1000000/'E Balans VL '!Z12*100)</f>
        <v>0.16904641935259285</v>
      </c>
      <c r="D26" s="233" t="s">
        <v>676</v>
      </c>
      <c r="F26" s="6"/>
    </row>
    <row r="27" spans="1:18">
      <c r="A27" s="228" t="s">
        <v>52</v>
      </c>
      <c r="B27" s="33">
        <f>IF(ISERROR(TER_horeca_ele_kWh/1000),0,TER_horeca_ele_kWh/1000)</f>
        <v>1619.307</v>
      </c>
      <c r="C27" s="39">
        <f>IF(ISERROR(B27*3.6/1000000/'E Balans VL '!Z9*100),0,B27*3.6/1000000/'E Balans VL '!Z9*100)</f>
        <v>0.13012745889282387</v>
      </c>
      <c r="D27" s="233" t="s">
        <v>676</v>
      </c>
      <c r="F27" s="6"/>
    </row>
    <row r="28" spans="1:18">
      <c r="A28" s="168" t="s">
        <v>51</v>
      </c>
      <c r="B28" s="33">
        <f>IF(ISERROR(TER_handel_ele_kWh/1000),0,TER_handel_ele_kWh/1000)</f>
        <v>5770.7545576923076</v>
      </c>
      <c r="C28" s="39">
        <f>IF(ISERROR(B28*3.6/1000000/'E Balans VL '!Z13*100),0,B28*3.6/1000000/'E Balans VL '!Z13*100)</f>
        <v>0.17063718073717912</v>
      </c>
      <c r="D28" s="233" t="s">
        <v>676</v>
      </c>
      <c r="F28" s="6"/>
    </row>
    <row r="29" spans="1:18">
      <c r="A29" s="228" t="s">
        <v>50</v>
      </c>
      <c r="B29" s="33">
        <f>IF(ISERROR(TER_gezond_ele_kWh/1000),0,TER_gezond_ele_kWh/1000)</f>
        <v>1199.8630000000001</v>
      </c>
      <c r="C29" s="39">
        <f>IF(ISERROR(B29*3.6/1000000/'E Balans VL '!Z10*100),0,B29*3.6/1000000/'E Balans VL '!Z10*100)</f>
        <v>0.13519358236803397</v>
      </c>
      <c r="D29" s="233" t="s">
        <v>676</v>
      </c>
      <c r="F29" s="6"/>
    </row>
    <row r="30" spans="1:18">
      <c r="A30" s="228" t="s">
        <v>49</v>
      </c>
      <c r="B30" s="33">
        <f>IF(ISERROR(TER_ander_ele_kWh/1000),0,TER_ander_ele_kWh/1000)</f>
        <v>2404.182295180723</v>
      </c>
      <c r="C30" s="39">
        <f>IF(ISERROR(B30*3.6/1000000/'E Balans VL '!Z14*100),0,B30*3.6/1000000/'E Balans VL '!Z14*100)</f>
        <v>0.18182419722052279</v>
      </c>
      <c r="D30" s="233" t="s">
        <v>676</v>
      </c>
      <c r="F30" s="6"/>
    </row>
    <row r="31" spans="1:18">
      <c r="A31" s="228" t="s">
        <v>54</v>
      </c>
      <c r="B31" s="33">
        <f>IF(ISERROR(TER_onderwijs_ele_kWh/1000),0,TER_onderwijs_ele_kWh/1000)</f>
        <v>4105.4849999999997</v>
      </c>
      <c r="C31" s="39">
        <f>IF(ISERROR(B31*3.6/1000000/'E Balans VL '!Z11*100),0,B31*3.6/1000000/'E Balans VL '!Z11*100)</f>
        <v>0.85220338125719808</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6</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3</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12525.824000000001</v>
      </c>
      <c r="C5" s="17">
        <f>IF(ISERROR('Eigen informatie GS &amp; warmtenet'!B59),0,'Eigen informatie GS &amp; warmtenet'!B59)</f>
        <v>0</v>
      </c>
      <c r="D5" s="30">
        <f>SUM(D6:D15)</f>
        <v>5320.1069459999999</v>
      </c>
      <c r="E5" s="17">
        <f>SUM(E6:E15)</f>
        <v>764.4485543752628</v>
      </c>
      <c r="F5" s="17">
        <f>SUM(F6:F15)</f>
        <v>6504.4399887345271</v>
      </c>
      <c r="G5" s="18"/>
      <c r="H5" s="17"/>
      <c r="I5" s="17"/>
      <c r="J5" s="17">
        <f>SUM(J6:J15)</f>
        <v>42.203932482169805</v>
      </c>
      <c r="K5" s="17"/>
      <c r="L5" s="17"/>
      <c r="M5" s="17"/>
      <c r="N5" s="17">
        <f>SUM(N6:N15)</f>
        <v>1139.0505900906223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6884.2449999999999</v>
      </c>
      <c r="C8" s="33"/>
      <c r="D8" s="37">
        <f>IF( ISERROR(IND_metaal_Gas_kWH/1000),0,IND_metaal_Gas_kWH/1000)*0.902</f>
        <v>0</v>
      </c>
      <c r="E8" s="33">
        <f>C30*'E Balans VL '!I18/100/3.6*1000000</f>
        <v>172.28855800868757</v>
      </c>
      <c r="F8" s="33">
        <f>C30*'E Balans VL '!L18/100/3.6*1000000+C30*'E Balans VL '!N18/100/3.6*1000000</f>
        <v>2157.5566269957289</v>
      </c>
      <c r="G8" s="34"/>
      <c r="H8" s="33"/>
      <c r="I8" s="33"/>
      <c r="J8" s="40">
        <f>C30*'E Balans VL '!D18/100/3.6*1000000+C30*'E Balans VL '!E18/100/3.6*1000000</f>
        <v>0</v>
      </c>
      <c r="K8" s="33"/>
      <c r="L8" s="33"/>
      <c r="M8" s="33"/>
      <c r="N8" s="33">
        <f>C30*'E Balans VL '!Y18/100/3.6*1000000</f>
        <v>172.95010057371735</v>
      </c>
      <c r="O8" s="33"/>
      <c r="P8" s="33"/>
      <c r="R8" s="32"/>
    </row>
    <row r="9" spans="1:18">
      <c r="A9" s="6" t="s">
        <v>32</v>
      </c>
      <c r="B9" s="37">
        <f t="shared" si="0"/>
        <v>1623.88</v>
      </c>
      <c r="C9" s="33"/>
      <c r="D9" s="37">
        <f>IF( ISERROR(IND_andere_gas_kWh/1000),0,IND_andere_gas_kWh/1000)*0.902</f>
        <v>1566.8236100000001</v>
      </c>
      <c r="E9" s="33">
        <f>C31*'E Balans VL '!I19/100/3.6*1000000</f>
        <v>446.50039647152175</v>
      </c>
      <c r="F9" s="33">
        <f>C31*'E Balans VL '!L19/100/3.6*1000000+C31*'E Balans VL '!N19/100/3.6*1000000</f>
        <v>1279.900015408338</v>
      </c>
      <c r="G9" s="34"/>
      <c r="H9" s="33"/>
      <c r="I9" s="33"/>
      <c r="J9" s="40">
        <f>C31*'E Balans VL '!D19/100/3.6*1000000+C31*'E Balans VL '!E19/100/3.6*1000000</f>
        <v>0</v>
      </c>
      <c r="K9" s="33"/>
      <c r="L9" s="33"/>
      <c r="M9" s="33"/>
      <c r="N9" s="33">
        <f>C31*'E Balans VL '!Y19/100/3.6*1000000</f>
        <v>130.82079609686966</v>
      </c>
      <c r="O9" s="33"/>
      <c r="P9" s="33"/>
      <c r="R9" s="32"/>
    </row>
    <row r="10" spans="1:18">
      <c r="A10" s="6" t="s">
        <v>40</v>
      </c>
      <c r="B10" s="37">
        <f t="shared" si="0"/>
        <v>1308.396</v>
      </c>
      <c r="C10" s="33"/>
      <c r="D10" s="37">
        <f>IF( ISERROR(IND_voed_gas_kWh/1000),0,IND_voed_gas_kWh/1000)*0.902</f>
        <v>2399.5121260000001</v>
      </c>
      <c r="E10" s="33">
        <f>C32*'E Balans VL '!I20/100/3.6*1000000</f>
        <v>13.3383764205307</v>
      </c>
      <c r="F10" s="33">
        <f>C32*'E Balans VL '!L20/100/3.6*1000000+C32*'E Balans VL '!N20/100/3.6*1000000</f>
        <v>2471.5518607729546</v>
      </c>
      <c r="G10" s="34"/>
      <c r="H10" s="33"/>
      <c r="I10" s="33"/>
      <c r="J10" s="40">
        <f>C32*'E Balans VL '!D20/100/3.6*1000000+C32*'E Balans VL '!E20/100/3.6*1000000</f>
        <v>31.314197371094199</v>
      </c>
      <c r="K10" s="33"/>
      <c r="L10" s="33"/>
      <c r="M10" s="33"/>
      <c r="N10" s="33">
        <f>C32*'E Balans VL '!Y20/100/3.6*1000000</f>
        <v>689.67540073875705</v>
      </c>
      <c r="O10" s="33"/>
      <c r="P10" s="33"/>
      <c r="R10" s="32"/>
    </row>
    <row r="11" spans="1:18">
      <c r="A11" s="6" t="s">
        <v>39</v>
      </c>
      <c r="B11" s="37">
        <f t="shared" si="0"/>
        <v>61.418999999999997</v>
      </c>
      <c r="C11" s="33"/>
      <c r="D11" s="37">
        <f>IF( ISERROR(IND_textiel_gas_kWh/1000),0,IND_textiel_gas_kWh/1000)*0.902</f>
        <v>0</v>
      </c>
      <c r="E11" s="33">
        <f>C33*'E Balans VL '!I21/100/3.6*1000000</f>
        <v>0.16279039724978228</v>
      </c>
      <c r="F11" s="33">
        <f>C33*'E Balans VL '!L21/100/3.6*1000000+C33*'E Balans VL '!N21/100/3.6*1000000</f>
        <v>2.7430358984162924</v>
      </c>
      <c r="G11" s="34"/>
      <c r="H11" s="33"/>
      <c r="I11" s="33"/>
      <c r="J11" s="40">
        <f>C33*'E Balans VL '!D21/100/3.6*1000000+C33*'E Balans VL '!E21/100/3.6*1000000</f>
        <v>0</v>
      </c>
      <c r="K11" s="33"/>
      <c r="L11" s="33"/>
      <c r="M11" s="33"/>
      <c r="N11" s="33">
        <f>C33*'E Balans VL '!Y21/100/3.6*1000000</f>
        <v>0.57883017011240501</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52.204000000000001</v>
      </c>
      <c r="C13" s="33"/>
      <c r="D13" s="37">
        <f>IF( ISERROR(IND_papier_gas_kWh/1000),0,IND_papier_gas_kWh/1000)*0.902</f>
        <v>0</v>
      </c>
      <c r="E13" s="33">
        <f>C35*'E Balans VL '!I23/100/3.6*1000000</f>
        <v>0.10811800768515112</v>
      </c>
      <c r="F13" s="33">
        <f>C35*'E Balans VL '!L23/100/3.6*1000000+C35*'E Balans VL '!N23/100/3.6*1000000</f>
        <v>1.0353172364807905</v>
      </c>
      <c r="G13" s="34"/>
      <c r="H13" s="33"/>
      <c r="I13" s="33"/>
      <c r="J13" s="40">
        <f>C35*'E Balans VL '!D23/100/3.6*1000000+C35*'E Balans VL '!E23/100/3.6*1000000</f>
        <v>0</v>
      </c>
      <c r="K13" s="33"/>
      <c r="L13" s="33"/>
      <c r="M13" s="33"/>
      <c r="N13" s="33">
        <f>C35*'E Balans VL '!Y23/100/3.6*1000000</f>
        <v>3.6206112675648283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2595.6799999999998</v>
      </c>
      <c r="C15" s="33"/>
      <c r="D15" s="37">
        <f>IF( ISERROR(IND_rest_gas_kWh/1000),0,IND_rest_gas_kWh/1000)*0.902</f>
        <v>1353.7712100000001</v>
      </c>
      <c r="E15" s="33">
        <f>C37*'E Balans VL '!I15/100/3.6*1000000</f>
        <v>132.05031506958787</v>
      </c>
      <c r="F15" s="33">
        <f>C37*'E Balans VL '!L15/100/3.6*1000000+C37*'E Balans VL '!N15/100/3.6*1000000</f>
        <v>591.65313242260788</v>
      </c>
      <c r="G15" s="34"/>
      <c r="H15" s="33"/>
      <c r="I15" s="33"/>
      <c r="J15" s="40">
        <f>C37*'E Balans VL '!D15/100/3.6*1000000+C37*'E Balans VL '!E15/100/3.6*1000000</f>
        <v>10.889735111075609</v>
      </c>
      <c r="K15" s="33"/>
      <c r="L15" s="33"/>
      <c r="M15" s="33"/>
      <c r="N15" s="33">
        <f>C37*'E Balans VL '!Y15/100/3.6*1000000</f>
        <v>141.40485124360112</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12525.824000000001</v>
      </c>
      <c r="C18" s="21">
        <f>C5+C16</f>
        <v>0</v>
      </c>
      <c r="D18" s="21">
        <f>MAX((D5+D16),0)</f>
        <v>5320.1069459999999</v>
      </c>
      <c r="E18" s="21">
        <f>MAX((E5+E16),0)</f>
        <v>764.4485543752628</v>
      </c>
      <c r="F18" s="21">
        <f>MAX((F5+F16),0)</f>
        <v>6504.4399887345271</v>
      </c>
      <c r="G18" s="21"/>
      <c r="H18" s="21"/>
      <c r="I18" s="21"/>
      <c r="J18" s="21">
        <f>MAX((J5+J16),0)</f>
        <v>42.203932482169805</v>
      </c>
      <c r="K18" s="21"/>
      <c r="L18" s="21">
        <f>MAX((L5+L16),0)</f>
        <v>0</v>
      </c>
      <c r="M18" s="21"/>
      <c r="N18" s="21">
        <f>MAX((N5+N16),0)</f>
        <v>1139.0505900906223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0.19428966201544898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2433.6381114249994</v>
      </c>
      <c r="C22" s="23">
        <f ca="1">C18*C20</f>
        <v>0</v>
      </c>
      <c r="D22" s="23">
        <f>D18*D20</f>
        <v>1074.661603092</v>
      </c>
      <c r="E22" s="23">
        <f>E18*E20</f>
        <v>173.52982184318466</v>
      </c>
      <c r="F22" s="23">
        <f>F18*F20</f>
        <v>1736.6854769921188</v>
      </c>
      <c r="G22" s="23"/>
      <c r="H22" s="23"/>
      <c r="I22" s="23"/>
      <c r="J22" s="23">
        <f>J18*J20</f>
        <v>14.94019209868811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6884.2449999999999</v>
      </c>
      <c r="C30" s="39">
        <f>IF(ISERROR(B30*3.6/1000000/'E Balans VL '!Z18*100),0,B30*3.6/1000000/'E Balans VL '!Z18*100)</f>
        <v>0.96356488000090224</v>
      </c>
      <c r="D30" s="233" t="s">
        <v>676</v>
      </c>
    </row>
    <row r="31" spans="1:18">
      <c r="A31" s="6" t="s">
        <v>32</v>
      </c>
      <c r="B31" s="37">
        <f>IF( ISERROR(IND_ander_ele_kWh/1000),0,IND_ander_ele_kWh/1000)</f>
        <v>1623.88</v>
      </c>
      <c r="C31" s="39">
        <f>IF(ISERROR(B31*3.6/1000000/'E Balans VL '!Z19*100),0,B31*3.6/1000000/'E Balans VL '!Z19*100)</f>
        <v>7.1076964169237256E-2</v>
      </c>
      <c r="D31" s="233" t="s">
        <v>676</v>
      </c>
    </row>
    <row r="32" spans="1:18">
      <c r="A32" s="168" t="s">
        <v>40</v>
      </c>
      <c r="B32" s="37">
        <f>IF( ISERROR(IND_voed_ele_kWh/1000),0,IND_voed_ele_kWh/1000)</f>
        <v>1308.396</v>
      </c>
      <c r="C32" s="39">
        <f>IF(ISERROR(B32*3.6/1000000/'E Balans VL '!Z20*100),0,B32*3.6/1000000/'E Balans VL '!Z20*100)</f>
        <v>0.32391539991201673</v>
      </c>
      <c r="D32" s="233" t="s">
        <v>676</v>
      </c>
    </row>
    <row r="33" spans="1:5">
      <c r="A33" s="168" t="s">
        <v>39</v>
      </c>
      <c r="B33" s="37">
        <f>IF( ISERROR(IND_textiel_ele_kWh/1000),0,IND_textiel_ele_kWh/1000)</f>
        <v>61.418999999999997</v>
      </c>
      <c r="C33" s="39">
        <f>IF(ISERROR(B33*3.6/1000000/'E Balans VL '!Z21*100),0,B33*3.6/1000000/'E Balans VL '!Z21*100)</f>
        <v>6.9208393943473792E-3</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52.204000000000001</v>
      </c>
      <c r="C35" s="39">
        <f>IF(ISERROR(B35*3.6/1000000/'E Balans VL '!Z22*100),0,B35*3.6/1000000/'E Balans VL '!Z22*100)</f>
        <v>1.4813365391265409E-3</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2595.6799999999998</v>
      </c>
      <c r="C37" s="39">
        <f>IF(ISERROR(B37*3.6/1000000/'E Balans VL '!Z15*100),0,B37*3.6/1000000/'E Balans VL '!Z15*100)</f>
        <v>1.9246522800778605E-2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852.57600000000002</v>
      </c>
      <c r="C5" s="17">
        <f>'Eigen informatie GS &amp; warmtenet'!B60</f>
        <v>0</v>
      </c>
      <c r="D5" s="30">
        <f>IF(ISERROR(SUM(LB_lb_gas_kWh,LB_rest_gas_kWh)/1000),0,SUM(LB_lb_gas_kWh,LB_rest_gas_kWh)/1000)*0.902</f>
        <v>60.417763999999998</v>
      </c>
      <c r="E5" s="17">
        <f>B17*'E Balans VL '!I25/3.6*1000000/100</f>
        <v>7.8969160036533514</v>
      </c>
      <c r="F5" s="17">
        <f>B17*('E Balans VL '!L25/3.6*1000000+'E Balans VL '!N25/3.6*1000000)/100</f>
        <v>2163.1477275613261</v>
      </c>
      <c r="G5" s="18"/>
      <c r="H5" s="17"/>
      <c r="I5" s="17"/>
      <c r="J5" s="17">
        <f>('E Balans VL '!D25+'E Balans VL '!E25)/3.6*1000000*landbouw!B17/100</f>
        <v>130.70941557592977</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852.57600000000002</v>
      </c>
      <c r="C8" s="21">
        <f>C5+C6</f>
        <v>0</v>
      </c>
      <c r="D8" s="21">
        <f>MAX((D5+D6),0)</f>
        <v>60.417763999999998</v>
      </c>
      <c r="E8" s="21">
        <f>MAX((E5+E6),0)</f>
        <v>7.8969160036533514</v>
      </c>
      <c r="F8" s="21">
        <f>MAX((F5+F6),0)</f>
        <v>2163.1477275613261</v>
      </c>
      <c r="G8" s="21"/>
      <c r="H8" s="21"/>
      <c r="I8" s="21"/>
      <c r="J8" s="21">
        <f>MAX((J5+J6),0)</f>
        <v>130.70941557592977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0.19428966201544898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165.64670288248342</v>
      </c>
      <c r="C12" s="23">
        <f ca="1">C8*C10</f>
        <v>0</v>
      </c>
      <c r="D12" s="23">
        <f>D8*D10</f>
        <v>12.204388328</v>
      </c>
      <c r="E12" s="23">
        <f>E8*E10</f>
        <v>1.7925999328293107</v>
      </c>
      <c r="F12" s="23">
        <f>F8*F10</f>
        <v>577.5604432588741</v>
      </c>
      <c r="G12" s="23"/>
      <c r="H12" s="23"/>
      <c r="I12" s="23"/>
      <c r="J12" s="23">
        <f>J8*J10</f>
        <v>46.271133113879138</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0.12121822946408016</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142.27603503644707</v>
      </c>
      <c r="C26" s="243">
        <f>B26*'GWP N2O_CH4'!B5</f>
        <v>2987.7967357653883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32.775913536583239</v>
      </c>
      <c r="C27" s="243">
        <f>B27*'GWP N2O_CH4'!B5</f>
        <v>688.29418426824805</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1.9789255952546216</v>
      </c>
      <c r="C28" s="243">
        <f>B28*'GWP N2O_CH4'!B4</f>
        <v>613.46693452893271</v>
      </c>
      <c r="D28" s="50"/>
    </row>
    <row r="29" spans="1:4">
      <c r="A29" s="41" t="s">
        <v>266</v>
      </c>
      <c r="B29" s="243">
        <f>B34*'ha_N2O bodem landbouw'!B4</f>
        <v>9.4993945567907563</v>
      </c>
      <c r="C29" s="243">
        <f>B29*'GWP N2O_CH4'!B4</f>
        <v>2944.8123126051346</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2.1305468453059672E-3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1.0693536861518566E-4</v>
      </c>
      <c r="C5" s="430" t="s">
        <v>204</v>
      </c>
      <c r="D5" s="415">
        <f>SUM(D6:D11)</f>
        <v>1.6140755005498796E-4</v>
      </c>
      <c r="E5" s="415">
        <f>SUM(E6:E11)</f>
        <v>1.6845549869462409E-3</v>
      </c>
      <c r="F5" s="428" t="s">
        <v>204</v>
      </c>
      <c r="G5" s="415">
        <f>SUM(G6:G11)</f>
        <v>0.55215596443588977</v>
      </c>
      <c r="H5" s="415">
        <f>SUM(H6:H11)</f>
        <v>9.4515337465769927E-2</v>
      </c>
      <c r="I5" s="430" t="s">
        <v>204</v>
      </c>
      <c r="J5" s="430" t="s">
        <v>204</v>
      </c>
      <c r="K5" s="430" t="s">
        <v>204</v>
      </c>
      <c r="L5" s="430" t="s">
        <v>204</v>
      </c>
      <c r="M5" s="415">
        <f>SUM(M6:M11)</f>
        <v>3.4895418408031467E-2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4.9073197456426856E-5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7.411711880463648E-5</v>
      </c>
      <c r="E6" s="858">
        <f>vkm_GW_PW*SUMIFS(TableVerdeelsleutelVkm[LPG],TableVerdeelsleutelVkm[Voertuigtype],"Lichte voertuigen")*SUMIFS(TableECFTransport[EnergieConsumptieFactor (PJ per km)],TableECFTransport[Index],CONCATENATE($A6,"_LPG_LPG"))</f>
        <v>7.3001726917028037E-4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0.16701261569204898</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4.3099734961611604E-2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1.0997581363326642E-2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2.599785921107124E-6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9.9780866638757487E-2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1.8866993907500792E-6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5.7850675918869436E-3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1.5883421516060751E-5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3.6187570343030736E-5</v>
      </c>
      <c r="E8" s="418">
        <f>vkm_NGW_PW*SUMIFS(TableVerdeelsleutelVkm[LPG],TableVerdeelsleutelVkm[Voertuigtype],"Lichte voertuigen")*SUMIFS(TableECFTransport[EnergieConsumptieFactor (PJ per km)],TableECFTransport[Index],CONCATENATE($A8,"_LPG_LPG"))</f>
        <v>3.3993277434721421E-4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7.2179733556743217E-2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2.0328166267623002E-2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4.8048427991223899E-3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6.0343383858159783E-9</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2.9756352270206575E-4</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5.2858061051575815E-9</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1.7252045536266398E-5</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3.7087373077937249E-5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5.1102860907320746E-5</v>
      </c>
      <c r="E10" s="418">
        <f>vkm_SW_PW*SUMIFS(TableVerdeelsleutelVkm[LPG],TableVerdeelsleutelVkm[Voertuigtype],"Lichte voertuigen")*SUMIFS(TableECFTransport[EnergieConsumptieFactor (PJ per km)],TableECFTransport[Index],CONCATENATE($A10,"_LPG_LPG"))</f>
        <v>6.1460494342874619E-4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0.12926769074111152</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3.1083837039216671E-2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8.4427187173599337E-3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2.2855563052678602E-6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8.3617494284526514E-2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1.7072121217921227E-6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4.8479558907992869E-3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29.704269059773797</v>
      </c>
      <c r="C14" s="21"/>
      <c r="D14" s="21">
        <f t="shared" ref="D14:M14" si="0">((D5)*10^9/3600)+D12</f>
        <v>44.835430570829985</v>
      </c>
      <c r="E14" s="21">
        <f t="shared" si="0"/>
        <v>467.93194081840022</v>
      </c>
      <c r="F14" s="21"/>
      <c r="G14" s="21">
        <f t="shared" si="0"/>
        <v>153376.65678774714</v>
      </c>
      <c r="H14" s="21">
        <f t="shared" si="0"/>
        <v>26254.260407158316</v>
      </c>
      <c r="I14" s="21"/>
      <c r="J14" s="21"/>
      <c r="K14" s="21"/>
      <c r="L14" s="21"/>
      <c r="M14" s="21">
        <f t="shared" si="0"/>
        <v>9693.171780008739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0.19428966201544898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5.7712323960394096</v>
      </c>
      <c r="C18" s="23"/>
      <c r="D18" s="23">
        <f t="shared" ref="D18:M18" si="1">D14*D16</f>
        <v>9.0567569753076569</v>
      </c>
      <c r="E18" s="23">
        <f t="shared" si="1"/>
        <v>106.22055056577685</v>
      </c>
      <c r="F18" s="23"/>
      <c r="G18" s="23">
        <f t="shared" si="1"/>
        <v>40951.567362328489</v>
      </c>
      <c r="H18" s="23">
        <f t="shared" si="1"/>
        <v>6537.3108413824202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6.9263202586871585E-5</v>
      </c>
      <c r="C50" s="313">
        <f t="shared" ref="C50:P50" si="2">SUM(C51:C52)</f>
        <v>0</v>
      </c>
      <c r="D50" s="313">
        <f t="shared" si="2"/>
        <v>0</v>
      </c>
      <c r="E50" s="313">
        <f t="shared" si="2"/>
        <v>0</v>
      </c>
      <c r="F50" s="313">
        <f t="shared" si="2"/>
        <v>0</v>
      </c>
      <c r="G50" s="313">
        <f t="shared" si="2"/>
        <v>1.3124462965817365E-2</v>
      </c>
      <c r="H50" s="313">
        <f t="shared" si="2"/>
        <v>0</v>
      </c>
      <c r="I50" s="313">
        <f t="shared" si="2"/>
        <v>0</v>
      </c>
      <c r="J50" s="313">
        <f t="shared" si="2"/>
        <v>0</v>
      </c>
      <c r="K50" s="313">
        <f t="shared" si="2"/>
        <v>0</v>
      </c>
      <c r="L50" s="313">
        <f t="shared" si="2"/>
        <v>0</v>
      </c>
      <c r="M50" s="313">
        <f t="shared" si="2"/>
        <v>7.5554955674260493E-4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6.9263202586871585E-5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1.3124462965817365E-2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7.5554955674260493E-4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19.239778496353217</v>
      </c>
      <c r="C54" s="21">
        <f t="shared" ref="C54:P54" si="3">(C50)*10^9/3600</f>
        <v>0</v>
      </c>
      <c r="D54" s="21">
        <f t="shared" si="3"/>
        <v>0</v>
      </c>
      <c r="E54" s="21">
        <f t="shared" si="3"/>
        <v>0</v>
      </c>
      <c r="F54" s="21">
        <f t="shared" si="3"/>
        <v>0</v>
      </c>
      <c r="G54" s="21">
        <f t="shared" si="3"/>
        <v>3645.6841571714904</v>
      </c>
      <c r="H54" s="21">
        <f t="shared" si="3"/>
        <v>0</v>
      </c>
      <c r="I54" s="21">
        <f t="shared" si="3"/>
        <v>0</v>
      </c>
      <c r="J54" s="21">
        <f t="shared" si="3"/>
        <v>0</v>
      </c>
      <c r="K54" s="21">
        <f t="shared" si="3"/>
        <v>0</v>
      </c>
      <c r="L54" s="21">
        <f t="shared" si="3"/>
        <v>0</v>
      </c>
      <c r="M54" s="21">
        <f t="shared" si="3"/>
        <v>209.8748768729458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0.19428966201544898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3.7380900613085699</v>
      </c>
      <c r="C58" s="23">
        <f t="shared" ref="C58:P58" ca="1" si="4">C54*C56</f>
        <v>0</v>
      </c>
      <c r="D58" s="23">
        <f t="shared" si="4"/>
        <v>0</v>
      </c>
      <c r="E58" s="23">
        <f t="shared" si="4"/>
        <v>0</v>
      </c>
      <c r="F58" s="23">
        <f t="shared" si="4"/>
        <v>0</v>
      </c>
      <c r="G58" s="23">
        <f t="shared" si="4"/>
        <v>973.39766996478795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8738.9513188352175</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225</v>
      </c>
      <c r="C8" s="537">
        <f>B48</f>
        <v>264.70588235294116</v>
      </c>
      <c r="D8" s="1014"/>
      <c r="E8" s="1014">
        <f>E48</f>
        <v>0</v>
      </c>
      <c r="F8" s="1015"/>
      <c r="G8" s="538"/>
      <c r="H8" s="1014">
        <f>I48</f>
        <v>0</v>
      </c>
      <c r="I8" s="1014">
        <f>G48+F48</f>
        <v>0</v>
      </c>
      <c r="J8" s="1014">
        <f>H48+D48+C48</f>
        <v>0</v>
      </c>
      <c r="K8" s="1014"/>
      <c r="L8" s="1014"/>
      <c r="M8" s="1014"/>
      <c r="N8" s="539"/>
      <c r="O8" s="540">
        <f>C8*$C$12+D8*$D$12+E8*$E$12+F8*$F$12+G8*$G$12+H8*$H$12+I8*$I$12+J8*$J$12</f>
        <v>53.470588235294116</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8963.9513188352175</v>
      </c>
      <c r="C10" s="550">
        <f t="shared" ref="C10:L10" si="0">SUM(C8:C9)</f>
        <v>264.70588235294116</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53.470588235294116</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321.42857142857144</v>
      </c>
      <c r="C17" s="562">
        <f>B49</f>
        <v>378.15126050420173</v>
      </c>
      <c r="D17" s="563"/>
      <c r="E17" s="563">
        <f>E49</f>
        <v>0</v>
      </c>
      <c r="F17" s="1020"/>
      <c r="G17" s="564"/>
      <c r="H17" s="562">
        <f>I49</f>
        <v>0</v>
      </c>
      <c r="I17" s="563">
        <f>G49+F49</f>
        <v>0</v>
      </c>
      <c r="J17" s="563">
        <f>H49+D49+C49</f>
        <v>0</v>
      </c>
      <c r="K17" s="563"/>
      <c r="L17" s="563"/>
      <c r="M17" s="563"/>
      <c r="N17" s="1021"/>
      <c r="O17" s="565">
        <f>C17*$C$22+E17*$E$22+H17*$H$22+I17*$I$22+J17*$J$22+D17*$D$22+F17*$F$22+G17*$G$22+K17*$K$22+L17*$L$22</f>
        <v>76.386554621848759</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321.42857142857144</v>
      </c>
      <c r="C20" s="549">
        <f>SUM(C17:C19)</f>
        <v>378.15126050420173</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76.386554621848759</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71011</v>
      </c>
      <c r="C28" s="763">
        <v>3590</v>
      </c>
      <c r="D28" s="620"/>
      <c r="E28" s="619"/>
      <c r="F28" s="619"/>
      <c r="G28" s="619" t="s">
        <v>922</v>
      </c>
      <c r="H28" s="619" t="s">
        <v>923</v>
      </c>
      <c r="I28" s="619"/>
      <c r="J28" s="762"/>
      <c r="K28" s="762"/>
      <c r="L28" s="619" t="s">
        <v>924</v>
      </c>
      <c r="M28" s="619">
        <v>50</v>
      </c>
      <c r="N28" s="619">
        <v>225</v>
      </c>
      <c r="O28" s="619">
        <v>321.42857142857144</v>
      </c>
      <c r="P28" s="619">
        <v>642.85714285714289</v>
      </c>
      <c r="Q28" s="619">
        <v>0</v>
      </c>
      <c r="R28" s="619">
        <v>0</v>
      </c>
      <c r="S28" s="619">
        <v>0</v>
      </c>
      <c r="T28" s="619">
        <v>0</v>
      </c>
      <c r="U28" s="619">
        <v>0</v>
      </c>
      <c r="V28" s="619">
        <v>0</v>
      </c>
      <c r="W28" s="619">
        <v>0</v>
      </c>
      <c r="X28" s="619">
        <v>1400</v>
      </c>
      <c r="Y28" s="619" t="s">
        <v>54</v>
      </c>
      <c r="Z28" s="621" t="s">
        <v>149</v>
      </c>
    </row>
    <row r="29" spans="1:26" s="557" customFormat="1" hidden="1">
      <c r="A29" s="575" t="s">
        <v>269</v>
      </c>
      <c r="B29" s="576"/>
      <c r="C29" s="576"/>
      <c r="D29" s="576"/>
      <c r="E29" s="576"/>
      <c r="F29" s="576"/>
      <c r="G29" s="576"/>
      <c r="H29" s="576"/>
      <c r="I29" s="576"/>
      <c r="J29" s="576"/>
      <c r="K29" s="576"/>
      <c r="L29" s="577"/>
      <c r="M29" s="577">
        <f>SUM(M28:M28)</f>
        <v>50</v>
      </c>
      <c r="N29" s="577">
        <f>SUM(N28:N28)</f>
        <v>225</v>
      </c>
      <c r="O29" s="577">
        <f>SUM(O28:O28)</f>
        <v>321.42857142857144</v>
      </c>
      <c r="P29" s="577">
        <f>SUM(P28:P28)</f>
        <v>642.85714285714289</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50</v>
      </c>
      <c r="N31" s="577">
        <f ca="1">SUMIF($Z$28:AD28,"tertiair",N28:N28)</f>
        <v>225</v>
      </c>
      <c r="O31" s="577">
        <f ca="1">SUMIF($Z$28:AE28,"tertiair",O28:O28)</f>
        <v>321.42857142857144</v>
      </c>
      <c r="P31" s="577">
        <f ca="1">SUMIF($Z$28:AF28,"tertiair",P28:P28)</f>
        <v>642.85714285714289</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0.58823529411764708</v>
      </c>
      <c r="C45" s="602">
        <f>IF(ISERROR(N29/(O29+N29)),0,N29/(N29+O29))</f>
        <v>0.41176470588235292</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264.70588235294116</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378.15126050420173</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2021-11-11T13:16:03Z</dcterms:modified>
</cp:coreProperties>
</file>