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9AAC78F9-2378-4E79-9DD8-28CD1976665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3"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<sst xmlns="http://schemas.openxmlformats.org/spreadsheetml/2006/main" count="2506" uniqueCount="925">
  <si>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</si>
  <si>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</si>
  <si>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</si>
  <si>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</si>
  <si>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</si>
  <si>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</si>
  <si>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</si>
  <si>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</si>
  <si>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</si>
  <si>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</si>
  <si>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</si>
  <si>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</si>
  <si>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</si>
  <si>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</si>
  <si>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</si>
  <si>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</si>
  <si>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</si>
  <si>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</si>
  <si>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</si>
  <si>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</si>
  <si>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</si>
  <si>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</si>
  <si>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</si>
  <si>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</si>
  <si>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</si>
  <si>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</si>
  <si>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</si>
  <si>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</si>
  <si>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</si>
  <si>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</si>
  <si>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</si>
  <si>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</si>
  <si>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</si>
  <si>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</si>
  <si>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</si>
  <si>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</si>
  <si>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</si>
  <si>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</si>
  <si>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</si>
  <si>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</si>
  <si>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</si>
  <si>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</si>
  <si>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</si>
  <si>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</si>
  <si>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</si>
  <si>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</si>
  <si>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</si>
  <si>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</si>
  <si>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</si>
  <si>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</si>
  <si>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</si>
  <si>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</si>
  <si>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</si>
  <si>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</si>
  <si>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</si>
  <si>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</si>
  <si>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</si>
  <si>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</si>
  <si>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</si>
  <si>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</si>
  <si>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</si>
  <si>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</si>
  <si>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</si>
  <si>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</si>
  <si>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</si>
  <si>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</si>
  <si>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</si>
  <si>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</si>
  <si>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</si>
  <si>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</si>
  <si>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</si>
  <si>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</si>
  <si>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</si>
  <si>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</si>
  <si>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</si>
  <si>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</si>
  <si>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</si>
  <si>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</si>
  <si>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</si>
  <si>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</si>
  <si>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</si>
  <si>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</si>
  <si>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</si>
  <si>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</si>
  <si>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</si>
  <si>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</si>
  <si>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</si>
  <si>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</si>
  <si>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</si>
  <si>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</si>
  <si>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</si>
  <si>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</si>
  <si>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</si>
  <si>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</si>
  <si>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</si>
  <si>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</si>
  <si>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</si>
  <si>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</si>
  <si>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</si>
  <si>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</si>
  <si>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</si>
  <si>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</si>
  <si>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</si>
  <si>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</si>
  <si>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</si>
  <si>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</si>
  <si>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</si>
  <si>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</si>
  <si>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</si>
  <si>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</si>
  <si>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</si>
  <si>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</si>
  <si>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</si>
  <si>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</si>
  <si>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</si>
  <si>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</si>
  <si>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</si>
  <si>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</si>
  <si>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</si>
  <si>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</si>
  <si>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</si>
  <si>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</si>
  <si>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</si>
  <si>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</si>
  <si>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</si>
  <si>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</si>
  <si>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</si>
  <si>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</si>
  <si>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</si>
  <si>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</si>
  <si>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</si>
  <si>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</si>
  <si>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</si>
  <si>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</si>
  <si>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</si>
  <si>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</si>
  <si>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</si>
  <si>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</si>
  <si>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</si>
  <si>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</si>
  <si>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</si>
  <si>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</si>
  <si>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</si>
  <si>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</si>
  <si>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</si>
  <si>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</si>
  <si>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</si>
  <si>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</si>
  <si>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</si>
  <si>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</si>
  <si>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</si>
  <si>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</si>
  <si>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</si>
  <si>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</si>
  <si>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</si>
  <si>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</si>
  <si>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</si>
  <si>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</si>
  <si>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</si>
  <si>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</si>
  <si>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</si>
  <si>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</si>
  <si>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</si>
  <si>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</si>
  <si>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</si>
  <si>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</si>
  <si>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</si>
  <si>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</si>
  <si>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</si>
  <si>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</si>
  <si>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</si>
  <si>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</si>
  <si>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</si>
  <si>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</si>
  <si>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</si>
  <si>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</si>
  <si>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</si>
  <si>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</si>
  <si>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</si>
  <si>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</si>
  <si>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</si>
  <si>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</si>
  <si>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</si>
  <si>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</si>
  <si>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</si>
  <si>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</si>
  <si>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</si>
  <si>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</si>
  <si>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</si>
  <si>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</si>
  <si>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</si>
  <si>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</si>
  <si>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</si>
  <si>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</si>
  <si>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</si>
  <si>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</si>
  <si>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</si>
  <si>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</si>
  <si>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</si>
  <si>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</si>
  <si>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</si>
  <si>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</si>
  <si>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</si>
  <si>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</si>
  <si>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</si>
  <si>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</si>
  <si>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</si>
  <si>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</si>
  <si>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</si>
  <si>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</si>
  <si>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</si>
  <si>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</si>
  <si>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</si>
  <si>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</si>
  <si>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</si>
  <si>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</si>
  <si>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</si>
  <si>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</si>
  <si>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</si>
  <si>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</si>
  <si>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</si>
  <si>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</si>
  <si>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</si>
  <si>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</si>
  <si>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</si>
  <si>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</si>
  <si>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</si>
  <si>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</si>
  <si>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</si>
  <si>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</si>
  <si>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</si>
  <si>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</si>
  <si>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</si>
  <si>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</si>
  <si>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</si>
  <si>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</si>
  <si>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</si>
  <si>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</si>
  <si>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</si>
  <si>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</si>
  <si>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</si>
  <si>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</si>
  <si>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</si>
  <si>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</si>
  <si>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</si>
  <si>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</si>
  <si>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</si>
  <si>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</si>
  <si>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</si>
  <si>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</si>
  <si>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</si>
  <si>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</si>
  <si>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</si>
  <si>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</si>
  <si>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</si>
  <si>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</si>
  <si>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</si>
  <si>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</si>
  <si>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</si>
  <si>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</si>
  <si>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</si>
  <si>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</si>
  <si>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</si>
  <si>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</si>
  <si>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</si>
  <si>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</si>
  <si>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</si>
  <si>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</si>
  <si>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</si>
  <si>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</si>
  <si>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</si>
  <si>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</si>
  <si>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</si>
  <si>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</si>
  <si>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</si>
  <si>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</si>
  <si>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</si>
  <si>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</si>
  <si>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</si>
  <si>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</si>
  <si>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</si>
  <si>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</si>
  <si>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</si>
  <si>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</si>
  <si>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</si>
  <si>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</si>
  <si>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</si>
  <si>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</si>
  <si>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</si>
  <si>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</si>
  <si>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</si>
  <si>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</si>
  <si>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</si>
  <si>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</si>
  <si>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</si>
  <si>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</si>
  <si>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</si>
  <si>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</si>
  <si>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</si>
  <si>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</si>
  <si>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</si>
  <si>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</si>
  <si>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</si>
  <si>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</si>
  <si>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</si>
  <si>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</si>
  <si>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</si>
  <si>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</si>
  <si>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</si>
  <si>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</si>
  <si>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</si>
  <si>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</si>
  <si>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</si>
  <si>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</si>
  <si>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</si>
  <si>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</si>
  <si>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</si>
  <si>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</si>
  <si>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</si>
  <si>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</si>
  <si>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</si>
  <si>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</si>
  <si>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</si>
  <si>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</si>
  <si>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</si>
  <si>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</si>
  <si>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</si>
  <si>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</si>
  <si>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</si>
  <si>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</si>
  <si>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</si>
  <si>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</si>
  <si>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</si>
  <si>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</si>
  <si>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</si>
  <si>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</si>
  <si>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</si>
  <si>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</si>
  <si>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</si>
  <si>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</si>
  <si>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</si>
  <si>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</si>
  <si>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</si>
  <si>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</si>
  <si>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</si>
  <si>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</si>
  <si>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</si>
  <si>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</si>
  <si>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</si>
  <si>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</si>
  <si>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</si>
  <si>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</si>
  <si>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</si>
  <si>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</si>
  <si>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</si>
  <si>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</si>
  <si>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</si>
  <si>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</si>
  <si>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</si>
  <si>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</si>
  <si>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</si>
  <si>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</si>
  <si>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</si>
  <si>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</si>
  <si>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</si>
  <si>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</si>
  <si>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</si>
  <si>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</si>
  <si>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</si>
  <si>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</si>
  <si>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</si>
  <si>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</si>
  <si>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</si>
  <si>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</si>
  <si>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</si>
  <si>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</si>
  <si>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</si>
  <si>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</si>
  <si>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</si>
  <si>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</si>
  <si>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</si>
  <si>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</si>
  <si>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</si>
  <si>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</si>
  <si>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</si>
  <si>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</si>
  <si>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</si>
  <si>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</si>
  <si>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</si>
  <si>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</si>
  <si>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</si>
  <si>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</si>
  <si>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</si>
  <si>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</si>
  <si>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</si>
  <si>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</si>
  <si>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</si>
  <si>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</si>
  <si>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</si>
  <si>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</si>
  <si>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</si>
  <si>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</si>
  <si>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</si>
  <si>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</si>
  <si>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</si>
  <si>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</si>
  <si>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</si>
  <si>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</si>
  <si>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</si>
  <si>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</si>
  <si>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</si>
  <si>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</si>
  <si>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</si>
  <si>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</si>
  <si>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</si>
  <si>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</si>
  <si>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</si>
  <si>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</si>
  <si>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</si>
  <si>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</si>
  <si>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</si>
  <si>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</si>
  <si>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</si>
  <si>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</si>
  <si>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</si>
  <si>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</si>
  <si>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</si>
  <si>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</si>
  <si>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</si>
  <si>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</si>
  <si>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</si>
  <si>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</si>
  <si>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</si>
  <si>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</si>
  <si>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</si>
  <si>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</si>
  <si>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</si>
  <si>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</si>
  <si>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</si>
  <si>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</si>
  <si>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</si>
  <si>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</si>
  <si>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</si>
  <si>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</si>
  <si>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</si>
  <si>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</si>
  <si>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</si>
  <si>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</si>
  <si>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</si>
  <si>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</si>
  <si>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</si>
  <si>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</si>
  <si>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</si>
  <si>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</si>
  <si>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</si>
  <si>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</si>
  <si>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</si>
  <si>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</si>
  <si>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</si>
  <si>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</si>
  <si>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</si>
  <si>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</si>
  <si>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</si>
  <si>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</si>
  <si>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</si>
  <si>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</si>
  <si>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</si>
  <si>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</si>
  <si>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</si>
  <si>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</si>
  <si>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</si>
  <si>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</si>
  <si>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</si>
  <si>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</si>
  <si>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</si>
  <si>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</si>
  <si>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</si>
  <si>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</si>
  <si>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</si>
  <si>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</si>
  <si>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</si>
  <si>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</si>
  <si>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</si>
  <si>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</si>
  <si>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</si>
  <si>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</si>
  <si>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</si>
  <si>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</si>
  <si>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</si>
  <si>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</si>
  <si>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</si>
  <si>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</si>
  <si>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</si>
  <si>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</si>
  <si>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</si>
  <si>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</si>
  <si>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</si>
  <si>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</si>
  <si>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</si>
  <si>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</si>
  <si>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</si>
  <si>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</si>
  <si>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</si>
  <si>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</si>
  <si>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</si>
  <si>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</si>
  <si>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</si>
  <si>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</si>
  <si>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</si>
  <si>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</si>
  <si>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</si>
  <si>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</si>
  <si>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</si>
  <si>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</si>
  <si>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</si>
  <si>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</si>
  <si>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</si>
  <si>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</si>
  <si>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</si>
  <si>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</si>
  <si>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</si>
  <si>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</si>
  <si>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</si>
  <si>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</si>
  <si>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</si>
  <si>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</si>
  <si>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</si>
  <si>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</si>
  <si>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</si>
  <si>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</si>
  <si>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</si>
  <si>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</si>
  <si>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</si>
  <si>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</si>
  <si>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</si>
  <si>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</si>
  <si>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</si>
  <si>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</si>
  <si>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</si>
  <si>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</si>
  <si>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</si>
  <si>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</si>
  <si>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</si>
  <si>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</si>
  <si>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</si>
  <si>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</si>
  <si>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</si>
  <si>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</si>
  <si>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</si>
  <si>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</si>
  <si>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</si>
  <si>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</si>
  <si>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</si>
  <si>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</si>
  <si>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</si>
  <si>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</si>
  <si>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</si>
  <si>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</si>
  <si>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</si>
  <si>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</si>
  <si>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</si>
  <si>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</si>
  <si>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</si>
  <si>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</si>
  <si>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</si>
  <si>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</si>
  <si>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</si>
  <si>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</si>
  <si>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</si>
  <si>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</si>
  <si>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</si>
  <si>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</si>
  <si>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</si>
  <si>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</si>
  <si>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</si>
  <si>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</si>
  <si>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</si>
  <si>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</si>
  <si>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</si>
  <si>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</si>
  <si>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</si>
  <si>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</si>
  <si>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</si>
  <si>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</si>
  <si>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</si>
  <si>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</si>
  <si>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</si>
  <si>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</si>
  <si>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</si>
  <si>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</si>
  <si>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</si>
  <si>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</si>
  <si>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</si>
  <si>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</si>
  <si>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</si>
  <si>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</si>
  <si>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</si>
  <si>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</si>
  <si>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</si>
  <si>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</si>
  <si>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</si>
  <si>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</si>
  <si>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</si>
  <si>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</si>
  <si>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</si>
  <si>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</si>
  <si>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</si>
  <si>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</si>
  <si>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</si>
  <si>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</si>
  <si>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</si>
  <si>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</si>
  <si>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</si>
  <si>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</si>
  <si>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</si>
  <si>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</si>
  <si>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</si>
  <si>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</si>
  <si>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</si>
  <si>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</si>
  <si>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</si>
  <si>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</si>
  <si>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</si>
  <si>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</si>
  <si>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</si>
  <si>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</si>
  <si>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</si>
  <si>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</si>
  <si>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</si>
  <si>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</si>
  <si>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</si>
  <si>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</si>
  <si>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</si>
  <si>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</si>
  <si>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</si>
  <si>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</si>
  <si>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</si>
  <si>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</si>
  <si>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</si>
  <si>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</si>
  <si>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</si>
  <si>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</si>
  <si>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</si>
  <si>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</si>
  <si>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</si>
  <si>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</si>
  <si>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</si>
  <si>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</si>
  <si>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</si>
  <si>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</si>
  <si>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</si>
  <si>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</si>
  <si>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</si>
  <si>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</si>
  <si>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</si>
  <si>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</si>
  <si>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</si>
  <si>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</si>
  <si>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</si>
  <si>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</si>
  <si>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</si>
  <si>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</si>
  <si>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</si>
  <si>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</si>
  <si>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</si>
  <si>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</si>
  <si>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</si>
  <si>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</si>
  <si>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</si>
  <si>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</si>
  <si>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</si>
  <si>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</si>
  <si>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</si>
  <si>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</si>
  <si>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</si>
  <si>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</si>
  <si>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</si>
  <si>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</si>
  <si>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</si>
  <si>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</si>
  <si>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</si>
  <si>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</si>
  <si>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</si>
  <si>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</si>
  <si>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</si>
  <si>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</si>
  <si>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</si>
  <si>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</si>
  <si>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</si>
  <si>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</si>
  <si>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</si>
  <si>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</si>
  <si>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</si>
  <si>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</si>
  <si>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</si>
  <si>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</si>
  <si>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</si>
  <si>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</si>
  <si>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</si>
  <si>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</si>
  <si>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</si>
  <si>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</si>
  <si>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</si>
  <si>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</si>
  <si>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</si>
  <si>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</si>
  <si>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</si>
  <si>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</si>
  <si>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</si>
  <si>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</si>
  <si>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</si>
  <si>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</si>
  <si>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</si>
  <si>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</si>
  <si>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</si>
  <si>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</si>
  <si>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</si>
  <si>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</si>
  <si>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</si>
  <si>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</si>
  <si>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</si>
  <si>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</si>
  <si>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</si>
  <si>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</si>
  <si>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</si>
  <si>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</si>
  <si>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</si>
  <si>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</si>
  <si>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</si>
  <si>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</si>
  <si>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</si>
  <si>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</si>
  <si>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</si>
  <si>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</si>
  <si>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</si>
  <si>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</si>
  <si>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</si>
  <si>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</si>
  <si>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</si>
  <si>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</si>
  <si>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</si>
  <si>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</si>
  <si>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</si>
  <si>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</si>
  <si>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</si>
  <si>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</si>
  <si>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</si>
  <si>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</si>
  <si>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</si>
  <si>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</si>
  <si>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</si>
  <si>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</si>
  <si>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</si>
  <si>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</si>
  <si>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</si>
  <si>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</si>
  <si>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</si>
  <si>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</si>
  <si>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</si>
  <si>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</si>
  <si>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</si>
  <si>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</si>
  <si>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</si>
  <si>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</si>
  <si>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</si>
  <si>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</si>
  <si>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</si>
  <si>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</si>
  <si>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</si>
  <si>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</si>
  <si>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</si>
  <si>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</si>
  <si>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</si>
  <si>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</si>
  <si>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</si>
  <si>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</si>
  <si>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</si>
  <si>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</si>
  <si>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</si>
  <si>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</si>
  <si>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</si>
  <si>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</si>
  <si>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</si>
  <si>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</si>
  <si>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</si>
  <si>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</si>
  <si>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</si>
  <si>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</si>
  <si>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</si>
  <si>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</si>
  <si>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</si>
  <si>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</si>
  <si>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</si>
  <si>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</si>
  <si>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</si>
  <si>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</si>
  <si>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</si>
  <si>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</si>
  <si>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</si>
  <si>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</si>
  <si>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</si>
  <si>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</si>
  <si>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</si>
  <si>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</si>
  <si>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</si>
  <si>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</si>
  <si>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</si>
  <si>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</si>
  <si>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</si>
  <si>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</si>
  <si>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</si>
  <si>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</si>
  <si>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</si>
  <si>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</si>
  <si>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</si>
  <si>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</si>
  <si>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</si>
  <si>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</si>
  <si>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</si>
  <si>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</si>
  <si>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</si>
  <si>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</si>
  <si>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</si>
  <si>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</si>
  <si>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</si>
  <si>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</si>
  <si>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</si>
  <si>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</si>
  <si>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</si>
  <si>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</si>
  <si>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</si>
  <si>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</si>
  <si>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</si>
  <si>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</si>
  <si>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</si>
  <si>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</si>
  <si>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</si>
  <si>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</si>
  <si>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</si>
  <si>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</si>
  <si>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</si>
  <si>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</si>
  <si>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</si>
  <si>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</si>
  <si>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</si>
  <si>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</si>
  <si>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</si>
  <si>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</si>
  <si>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</si>
  <si>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</si>
  <si>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</si>
  <si>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</si>
  <si>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</si>
  <si>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</si>
  <si>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</si>
  <si>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</si>
  <si>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</si>
  <si>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</si>
  <si>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</si>
  <si>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</si>
  <si>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</si>
  <si>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</si>
  <si>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</si>
  <si>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</si>
  <si>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</si>
  <si>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</si>
  <si>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</si>
  <si>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</si>
  <si>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</si>
  <si>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</si>
  <si>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</si>
  <si>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</si>
  <si>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</si>
  <si>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</si>
  <si>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</si>
  <si>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</si>
  <si>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</si>
  <si>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</si>
  <si>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</si>
  <si>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</si>
  <si>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</si>
  <si>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</si>
  <si>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</si>
  <si>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</si>
  <si>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</si>
  <si>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</si>
  <si>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</si>
  <si>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</si>
  <si>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</si>
  <si>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</si>
  <si>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</si>
  <si>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</si>
  <si>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</si>
  <si>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</si>
  <si>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</si>
  <si>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</si>
  <si>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</si>
  <si>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</si>
  <si>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</si>
  <si>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</si>
  <si>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</si>
  <si>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</si>
  <si>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</si>
  <si>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</si>
  <si>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</si>
  <si>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</si>
  <si>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</si>
  <si>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</si>
  <si>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</si>
  <si>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</si>
  <si>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</si>
  <si>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</si>
  <si>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</si>
  <si>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</si>
  <si>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</si>
  <si>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</si>
  <si>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45061</t>
  </si>
  <si>
    <t>WORTEGEM-PETEGEM</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</si>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</sst>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2F443BA-291E-47F1-A2D1-0B4558C9361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55099.200835502554</c:v>
                </c:pt>
                <c:pt idx="1">
                  <c:v>8773.4041645627913</c:v>
                </c:pt>
                <c:pt idx="2">
                  <c:v>577.38199999999995</c:v>
                </c:pt>
                <c:pt idx="3">
                  <c:v>5053.6035651080583</c:v>
                </c:pt>
                <c:pt idx="4">
                  <c:v>7582.5156198984132</c:v>
                </c:pt>
                <c:pt idx="5">
                  <c:v>34223.760330222343</c:v>
                </c:pt>
                <c:pt idx="6">
                  <c:v>523.01054739700987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55099.200835502554</c:v>
                </c:pt>
                <c:pt idx="1">
                  <c:v>8773.4041645627913</c:v>
                </c:pt>
                <c:pt idx="2">
                  <c:v>577.38199999999995</c:v>
                </c:pt>
                <c:pt idx="3">
                  <c:v>5053.6035651080583</c:v>
                </c:pt>
                <c:pt idx="4">
                  <c:v>7582.5156198984132</c:v>
                </c:pt>
                <c:pt idx="5">
                  <c:v>34223.760330222343</c:v>
                </c:pt>
                <c:pt idx="6">
                  <c:v>523.01054739700987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12303.668173335378</c:v>
                </c:pt>
                <c:pt idx="2">
                  <c:v>1690.8321369937728</c:v>
                </c:pt>
                <c:pt idx="3">
                  <c:v>111.36173195438798</c:v>
                </c:pt>
                <c:pt idx="4">
                  <c:v>1247.3672321693291</c:v>
                </c:pt>
                <c:pt idx="5">
                  <c:v>1591.6354931986882</c:v>
                </c:pt>
                <c:pt idx="6">
                  <c:v>8568.2218469021755</c:v>
                </c:pt>
                <c:pt idx="7">
                  <c:v>131.88763699857637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12303.668173335378</c:v>
                </c:pt>
                <c:pt idx="2">
                  <c:v>1690.8321369937728</c:v>
                </c:pt>
                <c:pt idx="3">
                  <c:v>111.36173195438798</c:v>
                </c:pt>
                <c:pt idx="4">
                  <c:v>1247.3672321693291</c:v>
                </c:pt>
                <c:pt idx="5">
                  <c:v>1591.6354931986882</c:v>
                </c:pt>
                <c:pt idx="6">
                  <c:v>8568.2218469021755</c:v>
                </c:pt>
                <c:pt idx="7">
                  <c:v>131.88763699857637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45061</v>
      </c>
      <c r="B6" s="383"/>
      <c r="C6" s="384"/>
    </row>
    <row r="7" spans="1:7" s="381" customFormat="1" ht="15.75" customHeight="1">
      <c r="A7" s="385" t="str">
        <f>txtMunicipality</f>
        <v>WORTEGEM-PETEGEM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6762.5566600000002</v>
      </c>
      <c r="D10" s="983">
        <f ca="1">tertiair!C16</f>
        <v>0</v>
      </c>
      <c r="E10" s="983">
        <f ca="1">tertiair!D16</f>
        <v>1208.4736840507023</v>
      </c>
      <c r="F10" s="983">
        <f>tertiair!E16</f>
        <v>63.751846085994288</v>
      </c>
      <c r="G10" s="983">
        <f ca="1">tertiair!F16</f>
        <v>896.22479135977142</v>
      </c>
      <c r="H10" s="983">
        <f>tertiair!G16</f>
        <v>0</v>
      </c>
      <c r="I10" s="983">
        <f>tertiair!H16</f>
        <v>0</v>
      </c>
      <c r="J10" s="983">
        <f>tertiair!I16</f>
        <v>0</v>
      </c>
      <c r="K10" s="983">
        <f>tertiair!J16</f>
        <v>0</v>
      </c>
      <c r="L10" s="983">
        <f>tertiair!K16</f>
        <v>0</v>
      </c>
      <c r="M10" s="983">
        <f ca="1">tertiair!L16</f>
        <v>0</v>
      </c>
      <c r="N10" s="983">
        <f>tertiair!M16</f>
        <v>0</v>
      </c>
      <c r="O10" s="983">
        <f ca="1">tertiair!N16</f>
        <v>400.71251639965527</v>
      </c>
      <c r="P10" s="983">
        <f>tertiair!O16</f>
        <v>0</v>
      </c>
      <c r="Q10" s="984">
        <f>tertiair!P16</f>
        <v>19.066666666666666</v>
      </c>
      <c r="R10" s="667">
        <f ca="1">SUM(C10:Q10)</f>
        <v>9350.7861645627909</v>
      </c>
      <c r="S10" s="67"/>
    </row>
    <row r="11" spans="1:19" s="440" customFormat="1">
      <c r="A11" s="776" t="s">
        <v>214</v>
      </c>
      <c r="B11" s="781"/>
      <c r="C11" s="983">
        <f>huishoudens!B8</f>
        <v>12588.156815517052</v>
      </c>
      <c r="D11" s="983">
        <f>huishoudens!C8</f>
        <v>0</v>
      </c>
      <c r="E11" s="983">
        <f>huishoudens!D8</f>
        <v>8065.1284590774303</v>
      </c>
      <c r="F11" s="983">
        <f>huishoudens!E8</f>
        <v>925.49692630780498</v>
      </c>
      <c r="G11" s="983">
        <f>huishoudens!F8</f>
        <v>29196.540654808912</v>
      </c>
      <c r="H11" s="983">
        <f>huishoudens!G8</f>
        <v>0</v>
      </c>
      <c r="I11" s="983">
        <f>huishoudens!H8</f>
        <v>0</v>
      </c>
      <c r="J11" s="983">
        <f>huishoudens!I8</f>
        <v>0</v>
      </c>
      <c r="K11" s="983">
        <f>huishoudens!J8</f>
        <v>680.86222512957841</v>
      </c>
      <c r="L11" s="983">
        <f>huishoudens!K8</f>
        <v>0</v>
      </c>
      <c r="M11" s="983">
        <f>huishoudens!L8</f>
        <v>0</v>
      </c>
      <c r="N11" s="983">
        <f>huishoudens!M8</f>
        <v>0</v>
      </c>
      <c r="O11" s="983">
        <f>huishoudens!N8</f>
        <v>3163.805754661772</v>
      </c>
      <c r="P11" s="983">
        <f>huishoudens!O8</f>
        <v>136.01000000000002</v>
      </c>
      <c r="Q11" s="984">
        <f>huishoudens!P8</f>
        <v>343.2</v>
      </c>
      <c r="R11" s="667">
        <f>SUM(C11:Q11)</f>
        <v>55099.200835502554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4163.9940000000006</v>
      </c>
      <c r="D13" s="983">
        <f>industrie!C18</f>
        <v>0</v>
      </c>
      <c r="E13" s="983">
        <f>industrie!D18</f>
        <v>357.84153998518826</v>
      </c>
      <c r="F13" s="983">
        <f>industrie!E18</f>
        <v>671.95376567679227</v>
      </c>
      <c r="G13" s="983">
        <f>industrie!F18</f>
        <v>2099.4715587314795</v>
      </c>
      <c r="H13" s="983">
        <f>industrie!G18</f>
        <v>0</v>
      </c>
      <c r="I13" s="983">
        <f>industrie!H18</f>
        <v>0</v>
      </c>
      <c r="J13" s="983">
        <f>industrie!I18</f>
        <v>0</v>
      </c>
      <c r="K13" s="983">
        <f>industrie!J18</f>
        <v>8.8550040813891453</v>
      </c>
      <c r="L13" s="983">
        <f>industrie!K18</f>
        <v>0</v>
      </c>
      <c r="M13" s="983">
        <f>industrie!L18</f>
        <v>0</v>
      </c>
      <c r="N13" s="983">
        <f>industrie!M18</f>
        <v>0</v>
      </c>
      <c r="O13" s="983">
        <f>industrie!N18</f>
        <v>280.3997514235632</v>
      </c>
      <c r="P13" s="983">
        <f>industrie!O18</f>
        <v>0</v>
      </c>
      <c r="Q13" s="984">
        <f>industrie!P18</f>
        <v>0</v>
      </c>
      <c r="R13" s="667">
        <f>SUM(C13:Q13)</f>
        <v>7582.5156198984132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23514.707475517054</v>
      </c>
      <c r="D16" s="699">
        <f t="shared" ref="D16:R16" ca="1" si="0">SUM(D9:D15)</f>
        <v>0</v>
      </c>
      <c r="E16" s="699">
        <f t="shared" ca="1" si="0"/>
        <v>9631.4436831133207</v>
      </c>
      <c r="F16" s="699">
        <f t="shared" si="0"/>
        <v>1661.2025380705916</v>
      </c>
      <c r="G16" s="699">
        <f t="shared" ca="1" si="0"/>
        <v>32192.237004900162</v>
      </c>
      <c r="H16" s="699">
        <f t="shared" si="0"/>
        <v>0</v>
      </c>
      <c r="I16" s="699">
        <f t="shared" si="0"/>
        <v>0</v>
      </c>
      <c r="J16" s="699">
        <f t="shared" si="0"/>
        <v>0</v>
      </c>
      <c r="K16" s="699">
        <f t="shared" si="0"/>
        <v>689.7172292109675</v>
      </c>
      <c r="L16" s="699">
        <f t="shared" si="0"/>
        <v>0</v>
      </c>
      <c r="M16" s="699">
        <f t="shared" ca="1" si="0"/>
        <v>0</v>
      </c>
      <c r="N16" s="699">
        <f t="shared" si="0"/>
        <v>0</v>
      </c>
      <c r="O16" s="699">
        <f t="shared" ca="1" si="0"/>
        <v>3844.9180224849906</v>
      </c>
      <c r="P16" s="699">
        <f t="shared" si="0"/>
        <v>136.01000000000002</v>
      </c>
      <c r="Q16" s="699">
        <f t="shared" si="0"/>
        <v>362.26666666666665</v>
      </c>
      <c r="R16" s="699">
        <f t="shared" ca="1" si="0"/>
        <v>72032.502619963765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2.5969366591646721</v>
      </c>
      <c r="D19" s="983">
        <f>transport!C54</f>
        <v>0</v>
      </c>
      <c r="E19" s="983">
        <f>transport!D54</f>
        <v>0</v>
      </c>
      <c r="F19" s="983">
        <f>transport!E54</f>
        <v>0</v>
      </c>
      <c r="G19" s="983">
        <f>transport!F54</f>
        <v>0</v>
      </c>
      <c r="H19" s="983">
        <f>transport!G54</f>
        <v>492.08523046609042</v>
      </c>
      <c r="I19" s="983">
        <f>transport!H54</f>
        <v>0</v>
      </c>
      <c r="J19" s="983">
        <f>transport!I54</f>
        <v>0</v>
      </c>
      <c r="K19" s="983">
        <f>transport!J54</f>
        <v>0</v>
      </c>
      <c r="L19" s="983">
        <f>transport!K54</f>
        <v>0</v>
      </c>
      <c r="M19" s="983">
        <f>transport!L54</f>
        <v>0</v>
      </c>
      <c r="N19" s="983">
        <f>transport!M54</f>
        <v>28.328380271754803</v>
      </c>
      <c r="O19" s="983">
        <f>transport!N54</f>
        <v>0</v>
      </c>
      <c r="P19" s="983">
        <f>transport!O54</f>
        <v>0</v>
      </c>
      <c r="Q19" s="984">
        <f>transport!P54</f>
        <v>0</v>
      </c>
      <c r="R19" s="667">
        <f>SUM(C19:Q19)</f>
        <v>523.01054739700987</v>
      </c>
      <c r="S19" s="67"/>
    </row>
    <row r="20" spans="1:19" s="440" customFormat="1">
      <c r="A20" s="776" t="s">
        <v>296</v>
      </c>
      <c r="B20" s="781"/>
      <c r="C20" s="983">
        <f>transport!B14</f>
        <v>5.3445017751208272</v>
      </c>
      <c r="D20" s="983">
        <f>transport!C14</f>
        <v>0</v>
      </c>
      <c r="E20" s="983">
        <f>transport!D14</f>
        <v>10.418856716198965</v>
      </c>
      <c r="F20" s="983">
        <f>transport!E14</f>
        <v>99.214536217190741</v>
      </c>
      <c r="G20" s="983">
        <f>transport!F14</f>
        <v>0</v>
      </c>
      <c r="H20" s="983">
        <f>transport!G14</f>
        <v>26482.047663512592</v>
      </c>
      <c r="I20" s="983">
        <f>transport!H14</f>
        <v>5911.0763003563716</v>
      </c>
      <c r="J20" s="983">
        <f>transport!I14</f>
        <v>0</v>
      </c>
      <c r="K20" s="983">
        <f>transport!J14</f>
        <v>0</v>
      </c>
      <c r="L20" s="983">
        <f>transport!K14</f>
        <v>0</v>
      </c>
      <c r="M20" s="983">
        <f>transport!L14</f>
        <v>0</v>
      </c>
      <c r="N20" s="983">
        <f>transport!M14</f>
        <v>1715.6584716448672</v>
      </c>
      <c r="O20" s="983">
        <f>transport!N14</f>
        <v>0</v>
      </c>
      <c r="P20" s="983">
        <f>transport!O14</f>
        <v>0</v>
      </c>
      <c r="Q20" s="984">
        <f>transport!P14</f>
        <v>0</v>
      </c>
      <c r="R20" s="667">
        <f>SUM(C20:Q20)</f>
        <v>34223.760330222343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7.9414384342854998</v>
      </c>
      <c r="D22" s="779">
        <f t="shared" ref="D22:R22" si="1">SUM(D18:D21)</f>
        <v>0</v>
      </c>
      <c r="E22" s="779">
        <f t="shared" si="1"/>
        <v>10.418856716198965</v>
      </c>
      <c r="F22" s="779">
        <f t="shared" si="1"/>
        <v>99.214536217190741</v>
      </c>
      <c r="G22" s="779">
        <f t="shared" si="1"/>
        <v>0</v>
      </c>
      <c r="H22" s="779">
        <f t="shared" si="1"/>
        <v>26974.132893978684</v>
      </c>
      <c r="I22" s="779">
        <f t="shared" si="1"/>
        <v>5911.0763003563716</v>
      </c>
      <c r="J22" s="779">
        <f t="shared" si="1"/>
        <v>0</v>
      </c>
      <c r="K22" s="779">
        <f t="shared" si="1"/>
        <v>0</v>
      </c>
      <c r="L22" s="779">
        <f t="shared" si="1"/>
        <v>0</v>
      </c>
      <c r="M22" s="779">
        <f t="shared" si="1"/>
        <v>0</v>
      </c>
      <c r="N22" s="779">
        <f t="shared" si="1"/>
        <v>1743.9868519166221</v>
      </c>
      <c r="O22" s="779">
        <f t="shared" si="1"/>
        <v>0</v>
      </c>
      <c r="P22" s="779">
        <f t="shared" si="1"/>
        <v>0</v>
      </c>
      <c r="Q22" s="779">
        <f t="shared" si="1"/>
        <v>0</v>
      </c>
      <c r="R22" s="779">
        <f t="shared" si="1"/>
        <v>34746.770877619354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1333.5249720000002</v>
      </c>
      <c r="D24" s="983">
        <f>+landbouw!C8</f>
        <v>62.357142857142847</v>
      </c>
      <c r="E24" s="983">
        <f>+landbouw!D8</f>
        <v>57.518632828460042</v>
      </c>
      <c r="F24" s="983">
        <f>+landbouw!E8</f>
        <v>12.351666822263574</v>
      </c>
      <c r="G24" s="983">
        <f>+landbouw!F8</f>
        <v>3383.4068902104691</v>
      </c>
      <c r="H24" s="983">
        <f>+landbouw!G8</f>
        <v>0</v>
      </c>
      <c r="I24" s="983">
        <f>+landbouw!H8</f>
        <v>0</v>
      </c>
      <c r="J24" s="983">
        <f>+landbouw!I8</f>
        <v>0</v>
      </c>
      <c r="K24" s="983">
        <f>+landbouw!J8</f>
        <v>204.44426038972261</v>
      </c>
      <c r="L24" s="983">
        <f>+landbouw!K8</f>
        <v>0</v>
      </c>
      <c r="M24" s="983">
        <f>+landbouw!L8</f>
        <v>0</v>
      </c>
      <c r="N24" s="983">
        <f>+landbouw!M8</f>
        <v>0</v>
      </c>
      <c r="O24" s="983">
        <f>+landbouw!N8</f>
        <v>0</v>
      </c>
      <c r="P24" s="983">
        <f>+landbouw!O8</f>
        <v>0</v>
      </c>
      <c r="Q24" s="984">
        <f>+landbouw!P8</f>
        <v>0</v>
      </c>
      <c r="R24" s="667">
        <f>SUM(C24:Q24)</f>
        <v>5053.6035651080583</v>
      </c>
      <c r="S24" s="67"/>
    </row>
    <row r="25" spans="1:19" s="440" customFormat="1" ht="15" thickBot="1">
      <c r="A25" s="798" t="s">
        <v>829</v>
      </c>
      <c r="B25" s="986"/>
      <c r="C25" s="987">
        <f>IF(Onbekend_ele_kWh="---",0,Onbekend_ele_kWh)/1000+IF(REST_rest_ele_kWh="---",0,REST_rest_ele_kWh)/1000</f>
        <v>444.90300000000002</v>
      </c>
      <c r="D25" s="987"/>
      <c r="E25" s="987">
        <f>IF(onbekend_gas_kWh="---",0,onbekend_gas_kWh)/1000+IF(REST_rest_gas_kWh="---",0,REST_rest_gas_kWh)/1000</f>
        <v>176.01096506581101</v>
      </c>
      <c r="F25" s="987"/>
      <c r="G25" s="987"/>
      <c r="H25" s="987"/>
      <c r="I25" s="987"/>
      <c r="J25" s="987"/>
      <c r="K25" s="987"/>
      <c r="L25" s="987"/>
      <c r="M25" s="987"/>
      <c r="N25" s="987"/>
      <c r="O25" s="987"/>
      <c r="P25" s="987"/>
      <c r="Q25" s="988"/>
      <c r="R25" s="667">
        <f>SUM(C25:Q25)</f>
        <v>620.913965065811</v>
      </c>
      <c r="S25" s="67"/>
    </row>
    <row r="26" spans="1:19" s="440" customFormat="1" ht="15.75" thickBot="1">
      <c r="A26" s="672" t="s">
        <v>830</v>
      </c>
      <c r="B26" s="784"/>
      <c r="C26" s="779">
        <f>SUM(C24:C25)</f>
        <v>1778.4279720000002</v>
      </c>
      <c r="D26" s="779">
        <f t="shared" ref="D26:R26" si="2">SUM(D24:D25)</f>
        <v>62.357142857142847</v>
      </c>
      <c r="E26" s="779">
        <f t="shared" si="2"/>
        <v>233.52959789427103</v>
      </c>
      <c r="F26" s="779">
        <f t="shared" si="2"/>
        <v>12.351666822263574</v>
      </c>
      <c r="G26" s="779">
        <f t="shared" si="2"/>
        <v>3383.4068902104691</v>
      </c>
      <c r="H26" s="779">
        <f t="shared" si="2"/>
        <v>0</v>
      </c>
      <c r="I26" s="779">
        <f t="shared" si="2"/>
        <v>0</v>
      </c>
      <c r="J26" s="779">
        <f t="shared" si="2"/>
        <v>0</v>
      </c>
      <c r="K26" s="779">
        <f t="shared" si="2"/>
        <v>204.44426038972261</v>
      </c>
      <c r="L26" s="779">
        <f t="shared" si="2"/>
        <v>0</v>
      </c>
      <c r="M26" s="779">
        <f t="shared" si="2"/>
        <v>0</v>
      </c>
      <c r="N26" s="779">
        <f t="shared" si="2"/>
        <v>0</v>
      </c>
      <c r="O26" s="779">
        <f t="shared" si="2"/>
        <v>0</v>
      </c>
      <c r="P26" s="779">
        <f t="shared" si="2"/>
        <v>0</v>
      </c>
      <c r="Q26" s="779">
        <f t="shared" si="2"/>
        <v>0</v>
      </c>
      <c r="R26" s="779">
        <f t="shared" si="2"/>
        <v>5674.5175301738691</v>
      </c>
      <c r="S26" s="67"/>
    </row>
    <row r="27" spans="1:19" s="440" customFormat="1" ht="17.25" thickTop="1" thickBot="1">
      <c r="A27" s="673" t="s">
        <v>109</v>
      </c>
      <c r="B27" s="772"/>
      <c r="C27" s="674">
        <f ca="1">C22+C16+C26</f>
        <v>25301.076885951341</v>
      </c>
      <c r="D27" s="674">
        <f t="shared" ref="D27:R27" ca="1" si="3">D22+D16+D26</f>
        <v>62.357142857142847</v>
      </c>
      <c r="E27" s="674">
        <f t="shared" ca="1" si="3"/>
        <v>9875.3921377237893</v>
      </c>
      <c r="F27" s="674">
        <f t="shared" si="3"/>
        <v>1772.7687411100458</v>
      </c>
      <c r="G27" s="674">
        <f t="shared" ca="1" si="3"/>
        <v>35575.643895110632</v>
      </c>
      <c r="H27" s="674">
        <f t="shared" si="3"/>
        <v>26974.132893978684</v>
      </c>
      <c r="I27" s="674">
        <f t="shared" si="3"/>
        <v>5911.0763003563716</v>
      </c>
      <c r="J27" s="674">
        <f t="shared" si="3"/>
        <v>0</v>
      </c>
      <c r="K27" s="674">
        <f t="shared" si="3"/>
        <v>894.16148960069017</v>
      </c>
      <c r="L27" s="674">
        <f t="shared" si="3"/>
        <v>0</v>
      </c>
      <c r="M27" s="674">
        <f t="shared" ca="1" si="3"/>
        <v>0</v>
      </c>
      <c r="N27" s="674">
        <f t="shared" si="3"/>
        <v>1743.9868519166221</v>
      </c>
      <c r="O27" s="674">
        <f t="shared" ca="1" si="3"/>
        <v>3844.9180224849906</v>
      </c>
      <c r="P27" s="674">
        <f t="shared" si="3"/>
        <v>136.01000000000002</v>
      </c>
      <c r="Q27" s="674">
        <f t="shared" si="3"/>
        <v>362.26666666666665</v>
      </c>
      <c r="R27" s="674">
        <f t="shared" ca="1" si="3"/>
        <v>112453.79102775698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1304.3184964153393</v>
      </c>
      <c r="D40" s="983">
        <f ca="1">tertiair!C20</f>
        <v>0</v>
      </c>
      <c r="E40" s="983">
        <f ca="1">tertiair!D20</f>
        <v>244.11168417824189</v>
      </c>
      <c r="F40" s="983">
        <f>tertiair!E20</f>
        <v>14.471669061520704</v>
      </c>
      <c r="G40" s="983">
        <f ca="1">tertiair!F20</f>
        <v>239.29201929305898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1802.1938689481608</v>
      </c>
    </row>
    <row r="41" spans="1:18">
      <c r="A41" s="789" t="s">
        <v>214</v>
      </c>
      <c r="B41" s="796"/>
      <c r="C41" s="983">
        <f ca="1">huishoudens!B12</f>
        <v>2427.922839800015</v>
      </c>
      <c r="D41" s="983">
        <f ca="1">huishoudens!C12</f>
        <v>0</v>
      </c>
      <c r="E41" s="983">
        <f>huishoudens!D12</f>
        <v>1629.155948733641</v>
      </c>
      <c r="F41" s="983">
        <f>huishoudens!E12</f>
        <v>210.08780227187174</v>
      </c>
      <c r="G41" s="983">
        <f>huishoudens!F12</f>
        <v>7795.4763548339797</v>
      </c>
      <c r="H41" s="983">
        <f>huishoudens!G12</f>
        <v>0</v>
      </c>
      <c r="I41" s="983">
        <f>huishoudens!H12</f>
        <v>0</v>
      </c>
      <c r="J41" s="983">
        <f>huishoudens!I12</f>
        <v>0</v>
      </c>
      <c r="K41" s="983">
        <f>huishoudens!J12</f>
        <v>241.02522769587074</v>
      </c>
      <c r="L41" s="983">
        <f>huishoudens!K12</f>
        <v>0</v>
      </c>
      <c r="M41" s="983">
        <f>huishoudens!L12</f>
        <v>0</v>
      </c>
      <c r="N41" s="983">
        <f>huishoudens!M12</f>
        <v>0</v>
      </c>
      <c r="O41" s="983">
        <f>huishoudens!N12</f>
        <v>0</v>
      </c>
      <c r="P41" s="983">
        <f>huishoudens!O12</f>
        <v>0</v>
      </c>
      <c r="Q41" s="741">
        <f>huishoudens!P12</f>
        <v>0</v>
      </c>
      <c r="R41" s="817">
        <f t="shared" ca="1" si="4"/>
        <v>12303.668173335378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803.12441968693156</v>
      </c>
      <c r="D43" s="983">
        <f ca="1">industrie!C22</f>
        <v>0</v>
      </c>
      <c r="E43" s="983">
        <f>industrie!D22</f>
        <v>72.283991077008039</v>
      </c>
      <c r="F43" s="983">
        <f>industrie!E22</f>
        <v>152.53350480863185</v>
      </c>
      <c r="G43" s="983">
        <f>industrie!F22</f>
        <v>560.55890618130502</v>
      </c>
      <c r="H43" s="983">
        <f>industrie!G22</f>
        <v>0</v>
      </c>
      <c r="I43" s="983">
        <f>industrie!H22</f>
        <v>0</v>
      </c>
      <c r="J43" s="983">
        <f>industrie!I22</f>
        <v>0</v>
      </c>
      <c r="K43" s="983">
        <f>industrie!J22</f>
        <v>3.1346714448117572</v>
      </c>
      <c r="L43" s="983">
        <f>industrie!K22</f>
        <v>0</v>
      </c>
      <c r="M43" s="983">
        <f>industrie!L22</f>
        <v>0</v>
      </c>
      <c r="N43" s="983">
        <f>industrie!M22</f>
        <v>0</v>
      </c>
      <c r="O43" s="983">
        <f>industrie!N22</f>
        <v>0</v>
      </c>
      <c r="P43" s="983">
        <f>industrie!O22</f>
        <v>0</v>
      </c>
      <c r="Q43" s="741">
        <f>industrie!P22</f>
        <v>0</v>
      </c>
      <c r="R43" s="816">
        <f t="shared" ca="1" si="4"/>
        <v>1591.6354931986882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4535.3657559022859</v>
      </c>
      <c r="D46" s="699">
        <f t="shared" ref="D46:Q46" ca="1" si="5">SUM(D39:D45)</f>
        <v>0</v>
      </c>
      <c r="E46" s="699">
        <f t="shared" ca="1" si="5"/>
        <v>1945.5516239888909</v>
      </c>
      <c r="F46" s="699">
        <f t="shared" si="5"/>
        <v>377.09297614202433</v>
      </c>
      <c r="G46" s="699">
        <f t="shared" ca="1" si="5"/>
        <v>8595.3272803083437</v>
      </c>
      <c r="H46" s="699">
        <f t="shared" si="5"/>
        <v>0</v>
      </c>
      <c r="I46" s="699">
        <f t="shared" si="5"/>
        <v>0</v>
      </c>
      <c r="J46" s="699">
        <f t="shared" si="5"/>
        <v>0</v>
      </c>
      <c r="K46" s="699">
        <f t="shared" si="5"/>
        <v>244.15989914068248</v>
      </c>
      <c r="L46" s="699">
        <f t="shared" si="5"/>
        <v>0</v>
      </c>
      <c r="M46" s="699">
        <f t="shared" ca="1" si="5"/>
        <v>0</v>
      </c>
      <c r="N46" s="699">
        <f t="shared" si="5"/>
        <v>0</v>
      </c>
      <c r="O46" s="699">
        <f t="shared" ca="1" si="5"/>
        <v>0</v>
      </c>
      <c r="P46" s="699">
        <f t="shared" si="5"/>
        <v>0</v>
      </c>
      <c r="Q46" s="699">
        <f t="shared" si="5"/>
        <v>0</v>
      </c>
      <c r="R46" s="699">
        <f ca="1">SUM(R39:R45)</f>
        <v>15697.497535482227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0.50088046413019471</v>
      </c>
      <c r="D49" s="983">
        <f ca="1">transport!C58</f>
        <v>0</v>
      </c>
      <c r="E49" s="983">
        <f>transport!D58</f>
        <v>0</v>
      </c>
      <c r="F49" s="983">
        <f>transport!E58</f>
        <v>0</v>
      </c>
      <c r="G49" s="983">
        <f>transport!F58</f>
        <v>0</v>
      </c>
      <c r="H49" s="983">
        <f>transport!G58</f>
        <v>131.38675653444616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131.88763699857637</v>
      </c>
    </row>
    <row r="50" spans="1:18">
      <c r="A50" s="792" t="s">
        <v>296</v>
      </c>
      <c r="B50" s="802"/>
      <c r="C50" s="670">
        <f ca="1">transport!B18</f>
        <v>1.0308131776029672</v>
      </c>
      <c r="D50" s="670">
        <f>transport!C18</f>
        <v>0</v>
      </c>
      <c r="E50" s="670">
        <f>transport!D18</f>
        <v>2.1046090566721909</v>
      </c>
      <c r="F50" s="670">
        <f>transport!E18</f>
        <v>22.521699721302298</v>
      </c>
      <c r="G50" s="670">
        <f>transport!F18</f>
        <v>0</v>
      </c>
      <c r="H50" s="670">
        <f>transport!G18</f>
        <v>7070.7067261578622</v>
      </c>
      <c r="I50" s="670">
        <f>transport!H18</f>
        <v>1471.8579987887365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8568.2218469021755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1.5316936417331619</v>
      </c>
      <c r="D52" s="699">
        <f t="shared" ref="D52:Q52" ca="1" si="6">SUM(D48:D51)</f>
        <v>0</v>
      </c>
      <c r="E52" s="699">
        <f t="shared" si="6"/>
        <v>2.1046090566721909</v>
      </c>
      <c r="F52" s="699">
        <f t="shared" si="6"/>
        <v>22.521699721302298</v>
      </c>
      <c r="G52" s="699">
        <f t="shared" si="6"/>
        <v>0</v>
      </c>
      <c r="H52" s="699">
        <f t="shared" si="6"/>
        <v>7202.0934826923085</v>
      </c>
      <c r="I52" s="699">
        <f t="shared" si="6"/>
        <v>1471.8579987887365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8700.109483900751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257.20173210516913</v>
      </c>
      <c r="D54" s="670">
        <f ca="1">+landbouw!C12</f>
        <v>0</v>
      </c>
      <c r="E54" s="670">
        <f>+landbouw!D12</f>
        <v>11.618763831348929</v>
      </c>
      <c r="F54" s="670">
        <f>+landbouw!E12</f>
        <v>2.8038283686538317</v>
      </c>
      <c r="G54" s="670">
        <f>+landbouw!F12</f>
        <v>903.36963968619534</v>
      </c>
      <c r="H54" s="670">
        <f>+landbouw!G12</f>
        <v>0</v>
      </c>
      <c r="I54" s="670">
        <f>+landbouw!H12</f>
        <v>0</v>
      </c>
      <c r="J54" s="670">
        <f>+landbouw!I12</f>
        <v>0</v>
      </c>
      <c r="K54" s="670">
        <f>+landbouw!J12</f>
        <v>72.373268177961805</v>
      </c>
      <c r="L54" s="670">
        <f>+landbouw!K12</f>
        <v>0</v>
      </c>
      <c r="M54" s="670">
        <f>+landbouw!L12</f>
        <v>0</v>
      </c>
      <c r="N54" s="670">
        <f>+landbouw!M12</f>
        <v>0</v>
      </c>
      <c r="O54" s="670">
        <f>+landbouw!N12</f>
        <v>0</v>
      </c>
      <c r="P54" s="670">
        <f>+landbouw!O12</f>
        <v>0</v>
      </c>
      <c r="Q54" s="671">
        <f>+landbouw!P12</f>
        <v>0</v>
      </c>
      <c r="R54" s="698">
        <f ca="1">SUM(C54:Q54)</f>
        <v>1247.3672321693291</v>
      </c>
    </row>
    <row r="55" spans="1:18" ht="15" thickBot="1">
      <c r="A55" s="792" t="s">
        <v>829</v>
      </c>
      <c r="B55" s="802"/>
      <c r="C55" s="670">
        <f ca="1">C25*'EF ele_warmte'!B12</f>
        <v>85.810033273817126</v>
      </c>
      <c r="D55" s="670"/>
      <c r="E55" s="670">
        <f>E25*EF_CO2_aardgas</f>
        <v>35.554214943293829</v>
      </c>
      <c r="F55" s="670"/>
      <c r="G55" s="670"/>
      <c r="H55" s="670"/>
      <c r="I55" s="670"/>
      <c r="J55" s="670"/>
      <c r="K55" s="670"/>
      <c r="L55" s="670"/>
      <c r="M55" s="670"/>
      <c r="N55" s="670"/>
      <c r="O55" s="670"/>
      <c r="P55" s="670"/>
      <c r="Q55" s="671"/>
      <c r="R55" s="698">
        <f ca="1">SUM(C55:Q55)</f>
        <v>121.36424821711095</v>
      </c>
    </row>
    <row r="56" spans="1:18" ht="15.75" thickBot="1">
      <c r="A56" s="790" t="s">
        <v>830</v>
      </c>
      <c r="B56" s="803"/>
      <c r="C56" s="699">
        <f ca="1">SUM(C54:C55)</f>
        <v>343.01176537898624</v>
      </c>
      <c r="D56" s="699">
        <f t="shared" ref="D56:Q56" ca="1" si="7">SUM(D54:D55)</f>
        <v>0</v>
      </c>
      <c r="E56" s="699">
        <f t="shared" si="7"/>
        <v>47.172978774642758</v>
      </c>
      <c r="F56" s="699">
        <f t="shared" si="7"/>
        <v>2.8038283686538317</v>
      </c>
      <c r="G56" s="699">
        <f t="shared" si="7"/>
        <v>903.36963968619534</v>
      </c>
      <c r="H56" s="699">
        <f t="shared" si="7"/>
        <v>0</v>
      </c>
      <c r="I56" s="699">
        <f t="shared" si="7"/>
        <v>0</v>
      </c>
      <c r="J56" s="699">
        <f t="shared" si="7"/>
        <v>0</v>
      </c>
      <c r="K56" s="699">
        <f t="shared" si="7"/>
        <v>72.373268177961805</v>
      </c>
      <c r="L56" s="699">
        <f t="shared" si="7"/>
        <v>0</v>
      </c>
      <c r="M56" s="699">
        <f t="shared" si="7"/>
        <v>0</v>
      </c>
      <c r="N56" s="699">
        <f t="shared" si="7"/>
        <v>0</v>
      </c>
      <c r="O56" s="699">
        <f t="shared" si="7"/>
        <v>0</v>
      </c>
      <c r="P56" s="699">
        <f t="shared" si="7"/>
        <v>0</v>
      </c>
      <c r="Q56" s="700">
        <f t="shared" si="7"/>
        <v>0</v>
      </c>
      <c r="R56" s="701">
        <f ca="1">SUM(R54:R55)</f>
        <v>1368.7314803864401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4879.9092149230055</v>
      </c>
      <c r="D61" s="707">
        <f t="shared" ref="D61:Q61" ca="1" si="8">D46+D52+D56</f>
        <v>0</v>
      </c>
      <c r="E61" s="707">
        <f t="shared" ca="1" si="8"/>
        <v>1994.829211820206</v>
      </c>
      <c r="F61" s="707">
        <f t="shared" si="8"/>
        <v>402.41850423198048</v>
      </c>
      <c r="G61" s="707">
        <f t="shared" ca="1" si="8"/>
        <v>9498.6969199945397</v>
      </c>
      <c r="H61" s="707">
        <f t="shared" si="8"/>
        <v>7202.0934826923085</v>
      </c>
      <c r="I61" s="707">
        <f t="shared" si="8"/>
        <v>1471.8579987887365</v>
      </c>
      <c r="J61" s="707">
        <f t="shared" si="8"/>
        <v>0</v>
      </c>
      <c r="K61" s="707">
        <f t="shared" si="8"/>
        <v>316.5331673186443</v>
      </c>
      <c r="L61" s="707">
        <f t="shared" si="8"/>
        <v>0</v>
      </c>
      <c r="M61" s="707">
        <f t="shared" ca="1" si="8"/>
        <v>0</v>
      </c>
      <c r="N61" s="707">
        <f t="shared" si="8"/>
        <v>0</v>
      </c>
      <c r="O61" s="707">
        <f t="shared" ca="1" si="8"/>
        <v>0</v>
      </c>
      <c r="P61" s="707">
        <f t="shared" si="8"/>
        <v>0</v>
      </c>
      <c r="Q61" s="707">
        <f t="shared" si="8"/>
        <v>0</v>
      </c>
      <c r="R61" s="707">
        <f ca="1">R46+R52+R56</f>
        <v>25766.338499769419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0.1928735775524488</v>
      </c>
      <c r="D63" s="748">
        <f t="shared" ca="1" si="9"/>
        <v>0</v>
      </c>
      <c r="E63" s="994">
        <f t="shared" ca="1" si="9"/>
        <v>0.20200000000000004</v>
      </c>
      <c r="F63" s="748">
        <f t="shared" si="9"/>
        <v>0.22700000000000006</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3176.3897143540325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3220.0397143540326</v>
      </c>
      <c r="C78" s="722">
        <f>SUM(C72:C77)</f>
        <v>0</v>
      </c>
      <c r="D78" s="723">
        <f t="shared" ref="D78:H78" si="10">SUM(D76:D77)</f>
        <v>0</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12588.156815517052</v>
      </c>
      <c r="C4" s="444">
        <f>huishoudens!C8</f>
        <v>0</v>
      </c>
      <c r="D4" s="444">
        <f>huishoudens!D8</f>
        <v>8065.1284590774303</v>
      </c>
      <c r="E4" s="444">
        <f>huishoudens!E8</f>
        <v>925.49692630780498</v>
      </c>
      <c r="F4" s="444">
        <f>huishoudens!F8</f>
        <v>29196.540654808912</v>
      </c>
      <c r="G4" s="444">
        <f>huishoudens!G8</f>
        <v>0</v>
      </c>
      <c r="H4" s="444">
        <f>huishoudens!H8</f>
        <v>0</v>
      </c>
      <c r="I4" s="444">
        <f>huishoudens!I8</f>
        <v>0</v>
      </c>
      <c r="J4" s="444">
        <f>huishoudens!J8</f>
        <v>680.86222512957841</v>
      </c>
      <c r="K4" s="444">
        <f>huishoudens!K8</f>
        <v>0</v>
      </c>
      <c r="L4" s="444">
        <f>huishoudens!L8</f>
        <v>0</v>
      </c>
      <c r="M4" s="444">
        <f>huishoudens!M8</f>
        <v>0</v>
      </c>
      <c r="N4" s="444">
        <f>huishoudens!N8</f>
        <v>3163.805754661772</v>
      </c>
      <c r="O4" s="444">
        <f>huishoudens!O8</f>
        <v>136.01000000000002</v>
      </c>
      <c r="P4" s="445">
        <f>huishoudens!P8</f>
        <v>343.2</v>
      </c>
      <c r="Q4" s="446">
        <f>SUM(B4:P4)</f>
        <v>55099.200835502554</v>
      </c>
    </row>
    <row r="5" spans="1:17">
      <c r="A5" s="443" t="s">
        <v>149</v>
      </c>
      <c r="B5" s="444">
        <f ca="1">tertiair!B16</f>
        <v>6185.1746600000006</v>
      </c>
      <c r="C5" s="444">
        <f ca="1">tertiair!C16</f>
        <v>0</v>
      </c>
      <c r="D5" s="444">
        <f ca="1">tertiair!D16</f>
        <v>1208.4736840507023</v>
      </c>
      <c r="E5" s="444">
        <f>tertiair!E16</f>
        <v>63.751846085994288</v>
      </c>
      <c r="F5" s="444">
        <f ca="1">tertiair!F16</f>
        <v>896.22479135977142</v>
      </c>
      <c r="G5" s="444">
        <f>tertiair!G16</f>
        <v>0</v>
      </c>
      <c r="H5" s="444">
        <f>tertiair!H16</f>
        <v>0</v>
      </c>
      <c r="I5" s="444">
        <f>tertiair!I16</f>
        <v>0</v>
      </c>
      <c r="J5" s="444">
        <f>tertiair!J16</f>
        <v>0</v>
      </c>
      <c r="K5" s="444">
        <f>tertiair!K16</f>
        <v>0</v>
      </c>
      <c r="L5" s="444">
        <f ca="1">tertiair!L16</f>
        <v>0</v>
      </c>
      <c r="M5" s="444">
        <f>tertiair!M16</f>
        <v>0</v>
      </c>
      <c r="N5" s="444">
        <f ca="1">tertiair!N16</f>
        <v>400.71251639965527</v>
      </c>
      <c r="O5" s="444">
        <f>tertiair!O16</f>
        <v>0</v>
      </c>
      <c r="P5" s="445">
        <f>tertiair!P16</f>
        <v>19.066666666666666</v>
      </c>
      <c r="Q5" s="443">
        <f t="shared" ref="Q5:Q14" ca="1" si="0">SUM(B5:P5)</f>
        <v>8773.4041645627913</v>
      </c>
    </row>
    <row r="6" spans="1:17">
      <c r="A6" s="443" t="s">
        <v>187</v>
      </c>
      <c r="B6" s="444">
        <f>'openbare verlichting'!B8</f>
        <v>577.38199999999995</v>
      </c>
      <c r="C6" s="444"/>
      <c r="D6" s="444"/>
      <c r="E6" s="444"/>
      <c r="F6" s="444"/>
      <c r="G6" s="444"/>
      <c r="H6" s="444"/>
      <c r="I6" s="444"/>
      <c r="J6" s="444"/>
      <c r="K6" s="444"/>
      <c r="L6" s="444"/>
      <c r="M6" s="444"/>
      <c r="N6" s="444"/>
      <c r="O6" s="444"/>
      <c r="P6" s="445"/>
      <c r="Q6" s="443">
        <f t="shared" si="0"/>
        <v>577.38199999999995</v>
      </c>
    </row>
    <row r="7" spans="1:17">
      <c r="A7" s="443" t="s">
        <v>105</v>
      </c>
      <c r="B7" s="444">
        <f>landbouw!B8</f>
        <v>1333.5249720000002</v>
      </c>
      <c r="C7" s="444">
        <f>landbouw!C8</f>
        <v>62.357142857142847</v>
      </c>
      <c r="D7" s="444">
        <f>landbouw!D8</f>
        <v>57.518632828460042</v>
      </c>
      <c r="E7" s="444">
        <f>landbouw!E8</f>
        <v>12.351666822263574</v>
      </c>
      <c r="F7" s="444">
        <f>landbouw!F8</f>
        <v>3383.4068902104691</v>
      </c>
      <c r="G7" s="444">
        <f>landbouw!G8</f>
        <v>0</v>
      </c>
      <c r="H7" s="444">
        <f>landbouw!H8</f>
        <v>0</v>
      </c>
      <c r="I7" s="444">
        <f>landbouw!I8</f>
        <v>0</v>
      </c>
      <c r="J7" s="444">
        <f>landbouw!J8</f>
        <v>204.44426038972261</v>
      </c>
      <c r="K7" s="444">
        <f>landbouw!K8</f>
        <v>0</v>
      </c>
      <c r="L7" s="444">
        <f>landbouw!L8</f>
        <v>0</v>
      </c>
      <c r="M7" s="444">
        <f>landbouw!M8</f>
        <v>0</v>
      </c>
      <c r="N7" s="444">
        <f>landbouw!N8</f>
        <v>0</v>
      </c>
      <c r="O7" s="444">
        <f>landbouw!O8</f>
        <v>0</v>
      </c>
      <c r="P7" s="445">
        <f>landbouw!P8</f>
        <v>0</v>
      </c>
      <c r="Q7" s="443">
        <f t="shared" si="0"/>
        <v>5053.6035651080583</v>
      </c>
    </row>
    <row r="8" spans="1:17">
      <c r="A8" s="443" t="s">
        <v>637</v>
      </c>
      <c r="B8" s="444">
        <f>industrie!B18</f>
        <v>4163.9940000000006</v>
      </c>
      <c r="C8" s="444">
        <f>industrie!C18</f>
        <v>0</v>
      </c>
      <c r="D8" s="444">
        <f>industrie!D18</f>
        <v>357.84153998518826</v>
      </c>
      <c r="E8" s="444">
        <f>industrie!E18</f>
        <v>671.95376567679227</v>
      </c>
      <c r="F8" s="444">
        <f>industrie!F18</f>
        <v>2099.4715587314795</v>
      </c>
      <c r="G8" s="444">
        <f>industrie!G18</f>
        <v>0</v>
      </c>
      <c r="H8" s="444">
        <f>industrie!H18</f>
        <v>0</v>
      </c>
      <c r="I8" s="444">
        <f>industrie!I18</f>
        <v>0</v>
      </c>
      <c r="J8" s="444">
        <f>industrie!J18</f>
        <v>8.8550040813891453</v>
      </c>
      <c r="K8" s="444">
        <f>industrie!K18</f>
        <v>0</v>
      </c>
      <c r="L8" s="444">
        <f>industrie!L18</f>
        <v>0</v>
      </c>
      <c r="M8" s="444">
        <f>industrie!M18</f>
        <v>0</v>
      </c>
      <c r="N8" s="444">
        <f>industrie!N18</f>
        <v>280.3997514235632</v>
      </c>
      <c r="O8" s="444">
        <f>industrie!O18</f>
        <v>0</v>
      </c>
      <c r="P8" s="445">
        <f>industrie!P18</f>
        <v>0</v>
      </c>
      <c r="Q8" s="443">
        <f t="shared" si="0"/>
        <v>7582.5156198984132</v>
      </c>
    </row>
    <row r="9" spans="1:17" s="449" customFormat="1">
      <c r="A9" s="447" t="s">
        <v>558</v>
      </c>
      <c r="B9" s="448">
        <f>transport!B14</f>
        <v>5.3445017751208272</v>
      </c>
      <c r="C9" s="448">
        <f>transport!C14</f>
        <v>0</v>
      </c>
      <c r="D9" s="448">
        <f>transport!D14</f>
        <v>10.418856716198965</v>
      </c>
      <c r="E9" s="448">
        <f>transport!E14</f>
        <v>99.214536217190741</v>
      </c>
      <c r="F9" s="448">
        <f>transport!F14</f>
        <v>0</v>
      </c>
      <c r="G9" s="448">
        <f>transport!G14</f>
        <v>26482.047663512592</v>
      </c>
      <c r="H9" s="448">
        <f>transport!H14</f>
        <v>5911.0763003563716</v>
      </c>
      <c r="I9" s="448">
        <f>transport!I14</f>
        <v>0</v>
      </c>
      <c r="J9" s="448">
        <f>transport!J14</f>
        <v>0</v>
      </c>
      <c r="K9" s="448">
        <f>transport!K14</f>
        <v>0</v>
      </c>
      <c r="L9" s="448">
        <f>transport!L14</f>
        <v>0</v>
      </c>
      <c r="M9" s="448">
        <f>transport!M14</f>
        <v>1715.6584716448672</v>
      </c>
      <c r="N9" s="448">
        <f>transport!N14</f>
        <v>0</v>
      </c>
      <c r="O9" s="448">
        <f>transport!O14</f>
        <v>0</v>
      </c>
      <c r="P9" s="448">
        <f>transport!P14</f>
        <v>0</v>
      </c>
      <c r="Q9" s="447">
        <f>SUM(B9:P9)</f>
        <v>34223.760330222343</v>
      </c>
    </row>
    <row r="10" spans="1:17">
      <c r="A10" s="443" t="s">
        <v>548</v>
      </c>
      <c r="B10" s="444">
        <f>transport!B54</f>
        <v>2.5969366591646721</v>
      </c>
      <c r="C10" s="444">
        <f>transport!C54</f>
        <v>0</v>
      </c>
      <c r="D10" s="444">
        <f>transport!D54</f>
        <v>0</v>
      </c>
      <c r="E10" s="444">
        <f>transport!E54</f>
        <v>0</v>
      </c>
      <c r="F10" s="444">
        <f>transport!F54</f>
        <v>0</v>
      </c>
      <c r="G10" s="444">
        <f>transport!G54</f>
        <v>492.08523046609042</v>
      </c>
      <c r="H10" s="444">
        <f>transport!H54</f>
        <v>0</v>
      </c>
      <c r="I10" s="444">
        <f>transport!I54</f>
        <v>0</v>
      </c>
      <c r="J10" s="444">
        <f>transport!J54</f>
        <v>0</v>
      </c>
      <c r="K10" s="444">
        <f>transport!K54</f>
        <v>0</v>
      </c>
      <c r="L10" s="444">
        <f>transport!L54</f>
        <v>0</v>
      </c>
      <c r="M10" s="444">
        <f>transport!M54</f>
        <v>28.328380271754803</v>
      </c>
      <c r="N10" s="444">
        <f>transport!N54</f>
        <v>0</v>
      </c>
      <c r="O10" s="444">
        <f>transport!O54</f>
        <v>0</v>
      </c>
      <c r="P10" s="445">
        <f>transport!P54</f>
        <v>0</v>
      </c>
      <c r="Q10" s="443">
        <f t="shared" si="0"/>
        <v>523.01054739700987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444.90300000000002</v>
      </c>
      <c r="C14" s="451"/>
      <c r="D14" s="451">
        <f>'SEAP template'!E25</f>
        <v>176.01096506581101</v>
      </c>
      <c r="E14" s="451"/>
      <c r="F14" s="451"/>
      <c r="G14" s="451"/>
      <c r="H14" s="451"/>
      <c r="I14" s="451"/>
      <c r="J14" s="451"/>
      <c r="K14" s="451"/>
      <c r="L14" s="451"/>
      <c r="M14" s="451"/>
      <c r="N14" s="451"/>
      <c r="O14" s="451"/>
      <c r="P14" s="452"/>
      <c r="Q14" s="443">
        <f t="shared" si="0"/>
        <v>620.913965065811</v>
      </c>
    </row>
    <row r="15" spans="1:17" s="453" customFormat="1">
      <c r="A15" s="1009" t="s">
        <v>552</v>
      </c>
      <c r="B15" s="949">
        <f ca="1">SUM(B4:B14)</f>
        <v>25301.076885951337</v>
      </c>
      <c r="C15" s="949">
        <f t="shared" ref="C15:Q15" ca="1" si="1">SUM(C4:C14)</f>
        <v>62.357142857142847</v>
      </c>
      <c r="D15" s="949">
        <f t="shared" ca="1" si="1"/>
        <v>9875.3921377237893</v>
      </c>
      <c r="E15" s="949">
        <f t="shared" si="1"/>
        <v>1772.7687411100458</v>
      </c>
      <c r="F15" s="949">
        <f t="shared" ca="1" si="1"/>
        <v>35575.643895110632</v>
      </c>
      <c r="G15" s="949">
        <f t="shared" si="1"/>
        <v>26974.132893978684</v>
      </c>
      <c r="H15" s="949">
        <f t="shared" si="1"/>
        <v>5911.0763003563716</v>
      </c>
      <c r="I15" s="949">
        <f t="shared" si="1"/>
        <v>0</v>
      </c>
      <c r="J15" s="949">
        <f t="shared" si="1"/>
        <v>894.16148960069017</v>
      </c>
      <c r="K15" s="949">
        <f t="shared" si="1"/>
        <v>0</v>
      </c>
      <c r="L15" s="949">
        <f t="shared" ca="1" si="1"/>
        <v>0</v>
      </c>
      <c r="M15" s="949">
        <f t="shared" si="1"/>
        <v>1743.9868519166221</v>
      </c>
      <c r="N15" s="949">
        <f t="shared" ca="1" si="1"/>
        <v>3844.9180224849906</v>
      </c>
      <c r="O15" s="949">
        <f t="shared" si="1"/>
        <v>136.01000000000002</v>
      </c>
      <c r="P15" s="949">
        <f t="shared" si="1"/>
        <v>362.26666666666665</v>
      </c>
      <c r="Q15" s="949">
        <f t="shared" ca="1" si="1"/>
        <v>112453.79102775699</v>
      </c>
    </row>
    <row r="17" spans="1:17">
      <c r="A17" s="454" t="s">
        <v>553</v>
      </c>
      <c r="B17" s="753">
        <f ca="1">huishoudens!B10</f>
        <v>0.1928735775524488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2427.922839800015</v>
      </c>
      <c r="C22" s="444">
        <f t="shared" ref="C22:C32" ca="1" si="3">C4*$C$17</f>
        <v>0</v>
      </c>
      <c r="D22" s="444">
        <f t="shared" ref="D22:D32" si="4">D4*$D$17</f>
        <v>1629.155948733641</v>
      </c>
      <c r="E22" s="444">
        <f t="shared" ref="E22:E32" si="5">E4*$E$17</f>
        <v>210.08780227187174</v>
      </c>
      <c r="F22" s="444">
        <f t="shared" ref="F22:F32" si="6">F4*$F$17</f>
        <v>7795.4763548339797</v>
      </c>
      <c r="G22" s="444">
        <f t="shared" ref="G22:G32" si="7">G4*$G$17</f>
        <v>0</v>
      </c>
      <c r="H22" s="444">
        <f t="shared" ref="H22:H32" si="8">H4*$H$17</f>
        <v>0</v>
      </c>
      <c r="I22" s="444">
        <f t="shared" ref="I22:I32" si="9">I4*$I$17</f>
        <v>0</v>
      </c>
      <c r="J22" s="444">
        <f t="shared" ref="J22:J32" si="10">J4*$J$17</f>
        <v>241.02522769587074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12303.668173335378</v>
      </c>
    </row>
    <row r="23" spans="1:17">
      <c r="A23" s="443" t="s">
        <v>149</v>
      </c>
      <c r="B23" s="444">
        <f t="shared" ca="1" si="2"/>
        <v>1192.9567644609513</v>
      </c>
      <c r="C23" s="444">
        <f t="shared" ca="1" si="3"/>
        <v>0</v>
      </c>
      <c r="D23" s="444">
        <f t="shared" ca="1" si="4"/>
        <v>244.11168417824189</v>
      </c>
      <c r="E23" s="444">
        <f t="shared" si="5"/>
        <v>14.471669061520704</v>
      </c>
      <c r="F23" s="444">
        <f t="shared" ca="1" si="6"/>
        <v>239.29201929305898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1690.8321369937728</v>
      </c>
    </row>
    <row r="24" spans="1:17">
      <c r="A24" s="443" t="s">
        <v>187</v>
      </c>
      <c r="B24" s="444">
        <f t="shared" ca="1" si="2"/>
        <v>111.36173195438798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111.36173195438798</v>
      </c>
    </row>
    <row r="25" spans="1:17">
      <c r="A25" s="443" t="s">
        <v>105</v>
      </c>
      <c r="B25" s="444">
        <f t="shared" ca="1" si="2"/>
        <v>257.20173210516913</v>
      </c>
      <c r="C25" s="444">
        <f t="shared" ca="1" si="3"/>
        <v>0</v>
      </c>
      <c r="D25" s="444">
        <f t="shared" si="4"/>
        <v>11.618763831348929</v>
      </c>
      <c r="E25" s="444">
        <f t="shared" si="5"/>
        <v>2.8038283686538317</v>
      </c>
      <c r="F25" s="444">
        <f t="shared" si="6"/>
        <v>903.36963968619534</v>
      </c>
      <c r="G25" s="444">
        <f t="shared" si="7"/>
        <v>0</v>
      </c>
      <c r="H25" s="444">
        <f t="shared" si="8"/>
        <v>0</v>
      </c>
      <c r="I25" s="444">
        <f t="shared" si="9"/>
        <v>0</v>
      </c>
      <c r="J25" s="444">
        <f t="shared" si="10"/>
        <v>72.373268177961805</v>
      </c>
      <c r="K25" s="444">
        <f t="shared" si="11"/>
        <v>0</v>
      </c>
      <c r="L25" s="444">
        <f t="shared" si="12"/>
        <v>0</v>
      </c>
      <c r="M25" s="444">
        <f t="shared" si="13"/>
        <v>0</v>
      </c>
      <c r="N25" s="444">
        <f t="shared" si="14"/>
        <v>0</v>
      </c>
      <c r="O25" s="444">
        <f t="shared" si="15"/>
        <v>0</v>
      </c>
      <c r="P25" s="445">
        <f t="shared" si="16"/>
        <v>0</v>
      </c>
      <c r="Q25" s="443">
        <f t="shared" ca="1" si="17"/>
        <v>1247.3672321693291</v>
      </c>
    </row>
    <row r="26" spans="1:17">
      <c r="A26" s="443" t="s">
        <v>637</v>
      </c>
      <c r="B26" s="444">
        <f t="shared" ca="1" si="2"/>
        <v>803.12441968693156</v>
      </c>
      <c r="C26" s="444">
        <f t="shared" ca="1" si="3"/>
        <v>0</v>
      </c>
      <c r="D26" s="444">
        <f t="shared" si="4"/>
        <v>72.283991077008039</v>
      </c>
      <c r="E26" s="444">
        <f t="shared" si="5"/>
        <v>152.53350480863185</v>
      </c>
      <c r="F26" s="444">
        <f t="shared" si="6"/>
        <v>560.55890618130502</v>
      </c>
      <c r="G26" s="444">
        <f t="shared" si="7"/>
        <v>0</v>
      </c>
      <c r="H26" s="444">
        <f t="shared" si="8"/>
        <v>0</v>
      </c>
      <c r="I26" s="444">
        <f t="shared" si="9"/>
        <v>0</v>
      </c>
      <c r="J26" s="444">
        <f t="shared" si="10"/>
        <v>3.1346714448117572</v>
      </c>
      <c r="K26" s="444">
        <f t="shared" si="11"/>
        <v>0</v>
      </c>
      <c r="L26" s="444">
        <f t="shared" si="12"/>
        <v>0</v>
      </c>
      <c r="M26" s="444">
        <f t="shared" si="13"/>
        <v>0</v>
      </c>
      <c r="N26" s="444">
        <f t="shared" si="14"/>
        <v>0</v>
      </c>
      <c r="O26" s="444">
        <f t="shared" si="15"/>
        <v>0</v>
      </c>
      <c r="P26" s="445">
        <f t="shared" si="16"/>
        <v>0</v>
      </c>
      <c r="Q26" s="443">
        <f t="shared" ca="1" si="17"/>
        <v>1591.6354931986882</v>
      </c>
    </row>
    <row r="27" spans="1:17" s="449" customFormat="1">
      <c r="A27" s="447" t="s">
        <v>558</v>
      </c>
      <c r="B27" s="747">
        <f t="shared" ca="1" si="2"/>
        <v>1.0308131776029672</v>
      </c>
      <c r="C27" s="448">
        <f t="shared" ca="1" si="3"/>
        <v>0</v>
      </c>
      <c r="D27" s="448">
        <f t="shared" si="4"/>
        <v>2.1046090566721909</v>
      </c>
      <c r="E27" s="448">
        <f t="shared" si="5"/>
        <v>22.521699721302298</v>
      </c>
      <c r="F27" s="448">
        <f t="shared" si="6"/>
        <v>0</v>
      </c>
      <c r="G27" s="448">
        <f t="shared" si="7"/>
        <v>7070.7067261578622</v>
      </c>
      <c r="H27" s="448">
        <f t="shared" si="8"/>
        <v>1471.8579987887365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8568.2218469021755</v>
      </c>
    </row>
    <row r="28" spans="1:17">
      <c r="A28" s="443" t="s">
        <v>548</v>
      </c>
      <c r="B28" s="444">
        <f t="shared" ca="1" si="2"/>
        <v>0.50088046413019471</v>
      </c>
      <c r="C28" s="444">
        <f t="shared" ca="1" si="3"/>
        <v>0</v>
      </c>
      <c r="D28" s="444">
        <f t="shared" si="4"/>
        <v>0</v>
      </c>
      <c r="E28" s="444">
        <f t="shared" si="5"/>
        <v>0</v>
      </c>
      <c r="F28" s="444">
        <f t="shared" si="6"/>
        <v>0</v>
      </c>
      <c r="G28" s="444">
        <f t="shared" si="7"/>
        <v>131.38675653444616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131.88763699857637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85.810033273817126</v>
      </c>
      <c r="C32" s="444">
        <f t="shared" ca="1" si="3"/>
        <v>0</v>
      </c>
      <c r="D32" s="444">
        <f t="shared" si="4"/>
        <v>35.554214943293829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121.36424821711095</v>
      </c>
    </row>
    <row r="33" spans="1:17" s="453" customFormat="1">
      <c r="A33" s="1009" t="s">
        <v>552</v>
      </c>
      <c r="B33" s="949">
        <f ca="1">SUM(B22:B32)</f>
        <v>4879.9092149230046</v>
      </c>
      <c r="C33" s="949">
        <f t="shared" ref="C33:Q33" ca="1" si="18">SUM(C22:C32)</f>
        <v>0</v>
      </c>
      <c r="D33" s="949">
        <f t="shared" ca="1" si="18"/>
        <v>1994.8292118202057</v>
      </c>
      <c r="E33" s="949">
        <f t="shared" si="18"/>
        <v>402.41850423198042</v>
      </c>
      <c r="F33" s="949">
        <f t="shared" ca="1" si="18"/>
        <v>9498.6969199945379</v>
      </c>
      <c r="G33" s="949">
        <f t="shared" si="18"/>
        <v>7202.0934826923085</v>
      </c>
      <c r="H33" s="949">
        <f t="shared" si="18"/>
        <v>1471.8579987887365</v>
      </c>
      <c r="I33" s="949">
        <f t="shared" si="18"/>
        <v>0</v>
      </c>
      <c r="J33" s="949">
        <f t="shared" si="18"/>
        <v>316.5331673186443</v>
      </c>
      <c r="K33" s="949">
        <f t="shared" si="18"/>
        <v>0</v>
      </c>
      <c r="L33" s="949">
        <f t="shared" ca="1" si="18"/>
        <v>0</v>
      </c>
      <c r="M33" s="949">
        <f t="shared" si="18"/>
        <v>0</v>
      </c>
      <c r="N33" s="949">
        <f t="shared" ca="1" si="18"/>
        <v>0</v>
      </c>
      <c r="O33" s="949">
        <f t="shared" si="18"/>
        <v>0</v>
      </c>
      <c r="P33" s="949">
        <f t="shared" si="18"/>
        <v>0</v>
      </c>
      <c r="Q33" s="949">
        <f t="shared" ca="1" si="18"/>
        <v>25766.338499769423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3176.3897143540325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3220.0397143540326</v>
      </c>
      <c r="C10" s="1030">
        <f>SUM(C4:C9)</f>
        <v>0</v>
      </c>
      <c r="D10" s="1030">
        <f t="shared" ref="D10:H10" si="0">SUM(D8:D9)</f>
        <v>0</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0.1928735775524488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0.1928735775524488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0.1928735775524488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0.1928735775524488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2479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2879</v>
      </c>
      <c r="C14" s="324"/>
      <c r="D14" s="324"/>
      <c r="E14" s="324"/>
      <c r="F14" s="324"/>
    </row>
    <row r="15" spans="1:6">
      <c r="A15" s="1302" t="s">
        <v>177</v>
      </c>
      <c r="B15" s="1303">
        <v>25</v>
      </c>
      <c r="C15" s="324"/>
      <c r="D15" s="324"/>
      <c r="E15" s="324"/>
      <c r="F15" s="324"/>
    </row>
    <row r="16" spans="1:6">
      <c r="A16" s="1302" t="s">
        <v>6</v>
      </c>
      <c r="B16" s="1303">
        <v>851</v>
      </c>
      <c r="C16" s="324"/>
      <c r="D16" s="324"/>
      <c r="E16" s="324"/>
      <c r="F16" s="324"/>
    </row>
    <row r="17" spans="1:6">
      <c r="A17" s="1302" t="s">
        <v>7</v>
      </c>
      <c r="B17" s="1303">
        <v>835</v>
      </c>
      <c r="C17" s="324"/>
      <c r="D17" s="324"/>
      <c r="E17" s="324"/>
      <c r="F17" s="324"/>
    </row>
    <row r="18" spans="1:6">
      <c r="A18" s="1302" t="s">
        <v>8</v>
      </c>
      <c r="B18" s="1303">
        <v>1121</v>
      </c>
      <c r="C18" s="324"/>
      <c r="D18" s="324"/>
      <c r="E18" s="324"/>
      <c r="F18" s="324"/>
    </row>
    <row r="19" spans="1:6">
      <c r="A19" s="1302" t="s">
        <v>9</v>
      </c>
      <c r="B19" s="1303">
        <v>1067</v>
      </c>
      <c r="C19" s="324"/>
      <c r="D19" s="324"/>
      <c r="E19" s="324"/>
      <c r="F19" s="324"/>
    </row>
    <row r="20" spans="1:6">
      <c r="A20" s="1302" t="s">
        <v>10</v>
      </c>
      <c r="B20" s="1303">
        <v>690</v>
      </c>
      <c r="C20" s="324"/>
      <c r="D20" s="324"/>
      <c r="E20" s="324"/>
      <c r="F20" s="324"/>
    </row>
    <row r="21" spans="1:6">
      <c r="A21" s="1302" t="s">
        <v>11</v>
      </c>
      <c r="B21" s="1303">
        <v>3844</v>
      </c>
      <c r="C21" s="324"/>
      <c r="D21" s="324"/>
      <c r="E21" s="324"/>
      <c r="F21" s="324"/>
    </row>
    <row r="22" spans="1:6">
      <c r="A22" s="1302" t="s">
        <v>12</v>
      </c>
      <c r="B22" s="1303">
        <v>13665</v>
      </c>
      <c r="C22" s="324"/>
      <c r="D22" s="324"/>
      <c r="E22" s="324"/>
      <c r="F22" s="324"/>
    </row>
    <row r="23" spans="1:6">
      <c r="A23" s="1302" t="s">
        <v>13</v>
      </c>
      <c r="B23" s="1303">
        <v>140</v>
      </c>
      <c r="C23" s="324"/>
      <c r="D23" s="324"/>
      <c r="E23" s="324"/>
      <c r="F23" s="324"/>
    </row>
    <row r="24" spans="1:6">
      <c r="A24" s="1302" t="s">
        <v>14</v>
      </c>
      <c r="B24" s="1303">
        <v>7</v>
      </c>
      <c r="C24" s="324"/>
      <c r="D24" s="324"/>
      <c r="E24" s="324"/>
      <c r="F24" s="324"/>
    </row>
    <row r="25" spans="1:6">
      <c r="A25" s="1302" t="s">
        <v>15</v>
      </c>
      <c r="B25" s="1303">
        <v>1041</v>
      </c>
      <c r="C25" s="324"/>
      <c r="D25" s="324"/>
      <c r="E25" s="324"/>
      <c r="F25" s="324"/>
    </row>
    <row r="26" spans="1:6">
      <c r="A26" s="1302" t="s">
        <v>16</v>
      </c>
      <c r="B26" s="1303">
        <v>183</v>
      </c>
      <c r="C26" s="324"/>
      <c r="D26" s="324"/>
      <c r="E26" s="324"/>
      <c r="F26" s="324"/>
    </row>
    <row r="27" spans="1:6">
      <c r="A27" s="1302" t="s">
        <v>17</v>
      </c>
      <c r="B27" s="1303">
        <v>4</v>
      </c>
      <c r="C27" s="324"/>
      <c r="D27" s="324"/>
      <c r="E27" s="324"/>
      <c r="F27" s="324"/>
    </row>
    <row r="28" spans="1:6">
      <c r="A28" s="1302" t="s">
        <v>18</v>
      </c>
      <c r="B28" s="1304">
        <v>13922</v>
      </c>
      <c r="C28" s="324"/>
      <c r="D28" s="324"/>
      <c r="E28" s="324"/>
      <c r="F28" s="324"/>
    </row>
    <row r="29" spans="1:6">
      <c r="A29" s="1302" t="s">
        <v>918</v>
      </c>
      <c r="B29" s="1304">
        <v>74</v>
      </c>
      <c r="C29" s="324"/>
      <c r="D29" s="324"/>
      <c r="E29" s="324"/>
      <c r="F29" s="324"/>
    </row>
    <row r="30" spans="1:6">
      <c r="A30" s="1297" t="s">
        <v>919</v>
      </c>
      <c r="B30" s="1305">
        <v>16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655</v>
      </c>
      <c r="D39" s="1303">
        <v>8941384.1009727605</v>
      </c>
      <c r="E39" s="1303">
        <v>2241</v>
      </c>
      <c r="F39" s="1303">
        <v>11434330</v>
      </c>
    </row>
    <row r="40" spans="1:6">
      <c r="A40" s="1302" t="s">
        <v>29</v>
      </c>
      <c r="B40" s="1302" t="s">
        <v>28</v>
      </c>
      <c r="C40" s="1303">
        <v>0</v>
      </c>
      <c r="D40" s="1303">
        <v>0</v>
      </c>
      <c r="E40" s="1303">
        <v>0</v>
      </c>
      <c r="F40" s="1303">
        <v>0</v>
      </c>
    </row>
    <row r="41" spans="1:6">
      <c r="A41" s="1302" t="s">
        <v>31</v>
      </c>
      <c r="B41" s="1302" t="s">
        <v>32</v>
      </c>
      <c r="C41" s="1303">
        <v>6</v>
      </c>
      <c r="D41" s="1303">
        <v>113746.539181634</v>
      </c>
      <c r="E41" s="1303">
        <v>84</v>
      </c>
      <c r="F41" s="1303">
        <v>2053313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13</v>
      </c>
      <c r="D48" s="1303">
        <v>282973.57166669</v>
      </c>
      <c r="E48" s="1303">
        <v>26</v>
      </c>
      <c r="F48" s="1303">
        <v>2110681</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4</v>
      </c>
      <c r="D51" s="1303">
        <v>63767.885619135297</v>
      </c>
      <c r="E51" s="1303">
        <v>96</v>
      </c>
      <c r="F51" s="1303">
        <v>1324487</v>
      </c>
    </row>
    <row r="52" spans="1:6">
      <c r="A52" s="1302" t="s">
        <v>41</v>
      </c>
      <c r="B52" s="1302" t="s">
        <v>28</v>
      </c>
      <c r="C52" s="1303">
        <v>0</v>
      </c>
      <c r="D52" s="1303">
        <v>0</v>
      </c>
      <c r="E52" s="1303">
        <v>3</v>
      </c>
      <c r="F52" s="1303">
        <v>9037.9719999999998</v>
      </c>
    </row>
    <row r="53" spans="1:6">
      <c r="A53" s="1302" t="s">
        <v>43</v>
      </c>
      <c r="B53" s="1302" t="s">
        <v>44</v>
      </c>
      <c r="C53" s="1303">
        <v>15</v>
      </c>
      <c r="D53" s="1303">
        <v>176010.965065811</v>
      </c>
      <c r="E53" s="1303">
        <v>109</v>
      </c>
      <c r="F53" s="1303">
        <v>444903</v>
      </c>
    </row>
    <row r="54" spans="1:6">
      <c r="A54" s="1302" t="s">
        <v>45</v>
      </c>
      <c r="B54" s="1302" t="s">
        <v>46</v>
      </c>
      <c r="C54" s="1303">
        <v>0</v>
      </c>
      <c r="D54" s="1303">
        <v>0</v>
      </c>
      <c r="E54" s="1303">
        <v>1</v>
      </c>
      <c r="F54" s="1303">
        <v>577382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0</v>
      </c>
      <c r="D57" s="1303">
        <v>0</v>
      </c>
      <c r="E57" s="1303">
        <v>15</v>
      </c>
      <c r="F57" s="1303">
        <v>181983.2</v>
      </c>
    </row>
    <row r="58" spans="1:6">
      <c r="A58" s="1302" t="s">
        <v>48</v>
      </c>
      <c r="B58" s="1302" t="s">
        <v>50</v>
      </c>
      <c r="C58" s="1303">
        <v>0</v>
      </c>
      <c r="D58" s="1303">
        <v>0</v>
      </c>
      <c r="E58" s="1303">
        <v>7</v>
      </c>
      <c r="F58" s="1303">
        <v>87037.08</v>
      </c>
    </row>
    <row r="59" spans="1:6">
      <c r="A59" s="1302" t="s">
        <v>48</v>
      </c>
      <c r="B59" s="1302" t="s">
        <v>51</v>
      </c>
      <c r="C59" s="1303">
        <v>0</v>
      </c>
      <c r="D59" s="1303">
        <v>0</v>
      </c>
      <c r="E59" s="1303">
        <v>35</v>
      </c>
      <c r="F59" s="1303">
        <v>896790.4</v>
      </c>
    </row>
    <row r="60" spans="1:6">
      <c r="A60" s="1302" t="s">
        <v>48</v>
      </c>
      <c r="B60" s="1302" t="s">
        <v>52</v>
      </c>
      <c r="C60" s="1303">
        <v>0</v>
      </c>
      <c r="D60" s="1303">
        <v>0</v>
      </c>
      <c r="E60" s="1303">
        <v>21</v>
      </c>
      <c r="F60" s="1303">
        <v>538018.69999999995</v>
      </c>
    </row>
    <row r="61" spans="1:6">
      <c r="A61" s="1302" t="s">
        <v>48</v>
      </c>
      <c r="B61" s="1302" t="s">
        <v>53</v>
      </c>
      <c r="C61" s="1303">
        <v>25</v>
      </c>
      <c r="D61" s="1303">
        <v>571280.29342875502</v>
      </c>
      <c r="E61" s="1303">
        <v>126</v>
      </c>
      <c r="F61" s="1303">
        <v>1518792</v>
      </c>
    </row>
    <row r="62" spans="1:6">
      <c r="A62" s="1302" t="s">
        <v>48</v>
      </c>
      <c r="B62" s="1302" t="s">
        <v>54</v>
      </c>
      <c r="C62" s="1303">
        <v>0</v>
      </c>
      <c r="D62" s="1303">
        <v>0</v>
      </c>
      <c r="E62" s="1303">
        <v>4</v>
      </c>
      <c r="F62" s="1303">
        <v>41073.279999999999</v>
      </c>
    </row>
    <row r="63" spans="1:6">
      <c r="A63" s="1302" t="s">
        <v>48</v>
      </c>
      <c r="B63" s="1302" t="s">
        <v>28</v>
      </c>
      <c r="C63" s="1303">
        <v>28</v>
      </c>
      <c r="D63" s="1303">
        <v>768490.97492013895</v>
      </c>
      <c r="E63" s="1303">
        <v>89</v>
      </c>
      <c r="F63" s="1303">
        <v>2921480</v>
      </c>
    </row>
    <row r="64" spans="1:6">
      <c r="A64" s="1302" t="s">
        <v>55</v>
      </c>
      <c r="B64" s="1302" t="s">
        <v>56</v>
      </c>
      <c r="C64" s="1303">
        <v>0</v>
      </c>
      <c r="D64" s="1303">
        <v>0</v>
      </c>
      <c r="E64" s="1303">
        <v>0</v>
      </c>
      <c r="F64" s="1303">
        <v>0</v>
      </c>
    </row>
    <row r="65" spans="1:6">
      <c r="A65" s="1302" t="s">
        <v>55</v>
      </c>
      <c r="B65" s="1302" t="s">
        <v>28</v>
      </c>
      <c r="C65" s="1303">
        <v>1</v>
      </c>
      <c r="D65" s="1303">
        <v>14264.261305931999</v>
      </c>
      <c r="E65" s="1303">
        <v>1</v>
      </c>
      <c r="F65" s="1303">
        <v>2787</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155464.5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14977444</v>
      </c>
      <c r="E73" s="442"/>
      <c r="F73" s="324"/>
    </row>
    <row r="74" spans="1:6">
      <c r="A74" s="1302" t="s">
        <v>63</v>
      </c>
      <c r="B74" s="1302" t="s">
        <v>695</v>
      </c>
      <c r="C74" s="1315" t="s">
        <v>697</v>
      </c>
      <c r="D74" s="1303">
        <v>901491.13874061534</v>
      </c>
      <c r="E74" s="442"/>
      <c r="F74" s="324"/>
    </row>
    <row r="75" spans="1:6">
      <c r="A75" s="1302" t="s">
        <v>64</v>
      </c>
      <c r="B75" s="1302" t="s">
        <v>694</v>
      </c>
      <c r="C75" s="1315" t="s">
        <v>698</v>
      </c>
      <c r="D75" s="1303">
        <v>22092875</v>
      </c>
      <c r="E75" s="442"/>
      <c r="F75" s="324"/>
    </row>
    <row r="76" spans="1:6">
      <c r="A76" s="1302" t="s">
        <v>64</v>
      </c>
      <c r="B76" s="1302" t="s">
        <v>695</v>
      </c>
      <c r="C76" s="1315" t="s">
        <v>699</v>
      </c>
      <c r="D76" s="1303">
        <v>777225.13874061534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140471.72251876924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1153.8268155170513</v>
      </c>
      <c r="C91" s="324"/>
      <c r="D91" s="324"/>
      <c r="E91" s="324"/>
      <c r="F91" s="324"/>
    </row>
    <row r="92" spans="1:6">
      <c r="A92" s="1297" t="s">
        <v>68</v>
      </c>
      <c r="B92" s="1298">
        <v>2022.562898836981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7</v>
      </c>
      <c r="C97" s="324"/>
      <c r="D97" s="324"/>
      <c r="E97" s="324"/>
      <c r="F97" s="324"/>
    </row>
    <row r="98" spans="1:6">
      <c r="A98" s="1302" t="s">
        <v>71</v>
      </c>
      <c r="B98" s="1303">
        <v>1</v>
      </c>
      <c r="C98" s="324"/>
      <c r="D98" s="324"/>
      <c r="E98" s="324"/>
      <c r="F98" s="324"/>
    </row>
    <row r="99" spans="1:6">
      <c r="A99" s="1302" t="s">
        <v>72</v>
      </c>
      <c r="B99" s="1303">
        <v>72</v>
      </c>
      <c r="C99" s="324"/>
      <c r="D99" s="324"/>
      <c r="E99" s="324"/>
      <c r="F99" s="324"/>
    </row>
    <row r="100" spans="1:6">
      <c r="A100" s="1302" t="s">
        <v>73</v>
      </c>
      <c r="B100" s="1303">
        <v>217</v>
      </c>
      <c r="C100" s="324"/>
      <c r="D100" s="324"/>
      <c r="E100" s="324"/>
      <c r="F100" s="324"/>
    </row>
    <row r="101" spans="1:6">
      <c r="A101" s="1302" t="s">
        <v>74</v>
      </c>
      <c r="B101" s="1303">
        <v>54</v>
      </c>
      <c r="C101" s="324"/>
      <c r="D101" s="324"/>
      <c r="E101" s="324"/>
      <c r="F101" s="324"/>
    </row>
    <row r="102" spans="1:6">
      <c r="A102" s="1302" t="s">
        <v>75</v>
      </c>
      <c r="B102" s="1303">
        <v>37</v>
      </c>
      <c r="C102" s="324"/>
      <c r="D102" s="324"/>
      <c r="E102" s="324"/>
      <c r="F102" s="324"/>
    </row>
    <row r="103" spans="1:6">
      <c r="A103" s="1302" t="s">
        <v>76</v>
      </c>
      <c r="B103" s="1303">
        <v>154</v>
      </c>
      <c r="C103" s="324"/>
      <c r="D103" s="324"/>
      <c r="E103" s="324"/>
      <c r="F103" s="324"/>
    </row>
    <row r="104" spans="1:6">
      <c r="A104" s="1302" t="s">
        <v>77</v>
      </c>
      <c r="B104" s="1303">
        <v>1613</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14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73</v>
      </c>
      <c r="C129" s="324"/>
      <c r="D129" s="324"/>
      <c r="E129" s="324"/>
      <c r="F129" s="324"/>
    </row>
    <row r="130" spans="1:6">
      <c r="A130" s="1302" t="s">
        <v>284</v>
      </c>
      <c r="B130" s="1303">
        <v>0</v>
      </c>
      <c r="C130" s="324"/>
      <c r="D130" s="324"/>
      <c r="E130" s="324"/>
      <c r="F130" s="324"/>
    </row>
    <row r="131" spans="1:6">
      <c r="A131" s="1302" t="s">
        <v>285</v>
      </c>
      <c r="B131" s="1303">
        <v>1</v>
      </c>
      <c r="C131" s="324"/>
      <c r="D131" s="324"/>
      <c r="E131" s="324"/>
      <c r="F131" s="324"/>
    </row>
    <row r="132" spans="1:6">
      <c r="A132" s="1297" t="s">
        <v>286</v>
      </c>
      <c r="B132" s="1298">
        <v>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25301.076885951341</v>
      </c>
      <c r="C3" s="43" t="s">
        <v>163</v>
      </c>
      <c r="D3" s="43"/>
      <c r="E3" s="154"/>
      <c r="F3" s="43"/>
      <c r="G3" s="43"/>
      <c r="H3" s="43"/>
      <c r="I3" s="43"/>
      <c r="J3" s="43"/>
      <c r="K3" s="96"/>
    </row>
    <row r="4" spans="1:11">
      <c r="A4" s="351" t="s">
        <v>164</v>
      </c>
      <c r="B4" s="49">
        <f>IF(ISERROR('SEAP template'!B78+'SEAP template'!C78),0,'SEAP template'!B78+'SEAP template'!C78)</f>
        <v>3220.0397143540326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0.1928735775524488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577.38199999999995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577.38199999999995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0.1928735775524488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111.36173195438798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11434.33</v>
      </c>
      <c r="C5" s="17">
        <f>IF(ISERROR('Eigen informatie GS &amp; warmtenet'!B57),0,'Eigen informatie GS &amp; warmtenet'!B57)</f>
        <v>0</v>
      </c>
      <c r="D5" s="30">
        <f>(SUM(HH_hh_gas_kWh,HH_rest_gas_kWh)/1000)*0.902</f>
        <v>8065.1284590774303</v>
      </c>
      <c r="E5" s="17">
        <f>B32*B41</f>
        <v>925.49692630780498</v>
      </c>
      <c r="F5" s="17">
        <f>B36*B45</f>
        <v>29196.540654808912</v>
      </c>
      <c r="G5" s="18"/>
      <c r="H5" s="17"/>
      <c r="I5" s="17"/>
      <c r="J5" s="17">
        <f>B35*B44+C35*C44</f>
        <v>680.86222512957841</v>
      </c>
      <c r="K5" s="17"/>
      <c r="L5" s="17"/>
      <c r="M5" s="17"/>
      <c r="N5" s="17">
        <f>B34*B43+C34*C43</f>
        <v>3163.805754661772</v>
      </c>
      <c r="O5" s="17">
        <f>B52*B53*B54</f>
        <v>136.01000000000002</v>
      </c>
      <c r="P5" s="17">
        <f>B60*B61*B62/1000-B60*B61*B62/1000/B63</f>
        <v>343.2</v>
      </c>
    </row>
    <row r="6" spans="1:16">
      <c r="A6" s="16" t="s">
        <v>618</v>
      </c>
      <c r="B6" s="755">
        <f>kWh_PV_kleiner_dan_10kW</f>
        <v>1153.8268155170513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12588.156815517052</v>
      </c>
      <c r="C8" s="21">
        <f>C5</f>
        <v>0</v>
      </c>
      <c r="D8" s="21">
        <f>D5</f>
        <v>8065.1284590774303</v>
      </c>
      <c r="E8" s="21">
        <f>E5</f>
        <v>925.49692630780498</v>
      </c>
      <c r="F8" s="21">
        <f>F5</f>
        <v>29196.540654808912</v>
      </c>
      <c r="G8" s="21"/>
      <c r="H8" s="21"/>
      <c r="I8" s="21"/>
      <c r="J8" s="21">
        <f>J5</f>
        <v>680.86222512957841</v>
      </c>
      <c r="K8" s="21"/>
      <c r="L8" s="21">
        <f>L5</f>
        <v>0</v>
      </c>
      <c r="M8" s="21">
        <f>M5</f>
        <v>0</v>
      </c>
      <c r="N8" s="21">
        <f>N5</f>
        <v>3163.805754661772</v>
      </c>
      <c r="O8" s="21">
        <f>O5</f>
        <v>136.01000000000002</v>
      </c>
      <c r="P8" s="21">
        <f>P5</f>
        <v>343.2</v>
      </c>
    </row>
    <row r="9" spans="1:16">
      <c r="B9" s="19"/>
      <c r="C9" s="19"/>
      <c r="D9" s="254"/>
      <c r="E9" s="19"/>
      <c r="F9" s="19"/>
      <c r="G9" s="19"/>
      <c r="H9" s="19"/>
      <c r="I9" s="19"/>
      <c r="J9" s="19"/>
      <c r="K9" s="19"/>
      <c r="L9" s="19"/>
      <c r="M9" s="19"/>
      <c r="N9" s="19"/>
      <c r="O9" s="19"/>
      <c r="P9" s="19"/>
    </row>
    <row r="10" spans="1:16">
      <c r="A10" s="24" t="s">
        <v>207</v>
      </c>
      <c r="B10" s="25">
        <f ca="1">'EF ele_warmte'!B12</f>
        <v>0.1928735775524488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2427.922839800015</v>
      </c>
      <c r="C12" s="23">
        <f ca="1">C10*C8</f>
        <v>0</v>
      </c>
      <c r="D12" s="23">
        <f>D8*D10</f>
        <v>1629.155948733641</v>
      </c>
      <c r="E12" s="23">
        <f>E10*E8</f>
        <v>210.08780227187174</v>
      </c>
      <c r="F12" s="23">
        <f>F10*F8</f>
        <v>7795.4763548339797</v>
      </c>
      <c r="G12" s="23"/>
      <c r="H12" s="23"/>
      <c r="I12" s="23"/>
      <c r="J12" s="23">
        <f>J10*J8</f>
        <v>241.02522769587074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2479</v>
      </c>
      <c r="C26" s="36"/>
      <c r="D26" s="225"/>
    </row>
    <row r="27" spans="1:5" s="15" customFormat="1">
      <c r="A27" s="227" t="s">
        <v>721</v>
      </c>
      <c r="B27" s="37">
        <f>SUM(HH_hh_gas_aantal,HH_rest_gas_aantal)</f>
        <v>655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622.25</v>
      </c>
      <c r="C31" s="34" t="s">
        <v>104</v>
      </c>
      <c r="D31" s="171"/>
    </row>
    <row r="32" spans="1:5">
      <c r="A32" s="168" t="s">
        <v>72</v>
      </c>
      <c r="B32" s="33">
        <f>IF((B21*($B$26-($B$27-0.05*$B$27)-$B$60))&lt;0,0,B21*($B$26-($B$27-0.05*$B$27)-$B$60))</f>
        <v>11.593724101710647</v>
      </c>
      <c r="C32" s="34" t="s">
        <v>104</v>
      </c>
      <c r="D32" s="171"/>
    </row>
    <row r="33" spans="1:6">
      <c r="A33" s="168" t="s">
        <v>73</v>
      </c>
      <c r="B33" s="33">
        <f>IF((B22*($B$26-($B$27-0.05*$B$27)-$B$60))&lt;0,0,B22*($B$26-($B$27-0.05*$B$27)-$B$60))</f>
        <v>403.73558991122678</v>
      </c>
      <c r="C33" s="34" t="s">
        <v>104</v>
      </c>
      <c r="D33" s="171"/>
    </row>
    <row r="34" spans="1:6">
      <c r="A34" s="168" t="s">
        <v>74</v>
      </c>
      <c r="B34" s="33">
        <f>IF((B24*($B$26-($B$27-0.05*$B$27)-$B$60))&lt;0,0,B24*($B$26-($B$27-0.05*$B$27)-$B$60))</f>
        <v>80.139728501133519</v>
      </c>
      <c r="C34" s="33">
        <f>B26*C24</f>
        <v>507.20261273033293</v>
      </c>
      <c r="D34" s="230"/>
    </row>
    <row r="35" spans="1:6">
      <c r="A35" s="168" t="s">
        <v>76</v>
      </c>
      <c r="B35" s="33">
        <f>IF((B19*($B$26-($B$27-0.05*$B$27)-$B$60))&lt;0,0,B19*($B$26-($B$27-0.05*$B$27)-$B$60))</f>
        <v>39.152814885380586</v>
      </c>
      <c r="C35" s="33">
        <f>B35/2</f>
        <v>19.576407442690293</v>
      </c>
      <c r="D35" s="230"/>
    </row>
    <row r="36" spans="1:6">
      <c r="A36" s="168" t="s">
        <v>77</v>
      </c>
      <c r="B36" s="33">
        <f>IF((B18*($B$26-($B$27-0.05*$B$27)-$B$60))&lt;0,0,B18*($B$26-($B$27-0.05*$B$27)-$B$60))</f>
        <v>1304.1281426005492</v>
      </c>
      <c r="C36" s="34" t="s">
        <v>104</v>
      </c>
      <c r="D36" s="171"/>
    </row>
    <row r="37" spans="1:6">
      <c r="A37" s="168" t="s">
        <v>78</v>
      </c>
      <c r="B37" s="33">
        <f>B60</f>
        <v>18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6185.1746600000006</v>
      </c>
      <c r="C5" s="17">
        <f>IF(ISERROR('Eigen informatie GS &amp; warmtenet'!B58),0,'Eigen informatie GS &amp; warmtenet'!B58)</f>
        <v>0</v>
      </c>
      <c r="D5" s="30">
        <f>SUM(D6:D12)</f>
        <v>1208.4736840507023</v>
      </c>
      <c r="E5" s="17">
        <f>SUM(E6:E12)</f>
        <v>63.751846085994288</v>
      </c>
      <c r="F5" s="17">
        <f>SUM(F6:F12)</f>
        <v>896.22479135977142</v>
      </c>
      <c r="G5" s="18"/>
      <c r="H5" s="17"/>
      <c r="I5" s="17"/>
      <c r="J5" s="17">
        <f>SUM(J6:J12)</f>
        <v>0</v>
      </c>
      <c r="K5" s="17"/>
      <c r="L5" s="17"/>
      <c r="M5" s="17"/>
      <c r="N5" s="17">
        <f>SUM(N6:N12)</f>
        <v>400.71251639965527</v>
      </c>
      <c r="O5" s="17">
        <f>B38*B39*B40</f>
        <v>0</v>
      </c>
      <c r="P5" s="17">
        <f>B46*B47*B48/1000-B46*B47*B48/1000/B49</f>
        <v>19.066666666666666</v>
      </c>
      <c r="R5" s="32"/>
    </row>
    <row r="6" spans="1:18">
      <c r="A6" s="32" t="s">
        <v>53</v>
      </c>
      <c r="B6" s="37">
        <f>B26</f>
        <v>1518.7919999999999</v>
      </c>
      <c r="C6" s="33"/>
      <c r="D6" s="37">
        <f>IF(ISERROR(TER_kantoor_gas_kWh/1000),0,TER_kantoor_gas_kWh/1000)*0.902</f>
        <v>515.29482467273704</v>
      </c>
      <c r="E6" s="33">
        <f>$C$26*'E Balans VL '!I12/100/3.6*1000000</f>
        <v>4.4001632623832334</v>
      </c>
      <c r="F6" s="33">
        <f>$C$26*('E Balans VL '!L12+'E Balans VL '!N12)/100/3.6*1000000</f>
        <v>171.89379281788507</v>
      </c>
      <c r="G6" s="34"/>
      <c r="H6" s="33"/>
      <c r="I6" s="33"/>
      <c r="J6" s="33">
        <f>$C$26*('E Balans VL '!D12+'E Balans VL '!E12)/100/3.6*1000000</f>
        <v>0</v>
      </c>
      <c r="K6" s="33"/>
      <c r="L6" s="33"/>
      <c r="M6" s="33"/>
      <c r="N6" s="33">
        <f>$C$26*'E Balans VL '!Y12/100/3.6*1000000</f>
        <v>15.201988824088145</v>
      </c>
      <c r="O6" s="33"/>
      <c r="P6" s="33"/>
      <c r="R6" s="32"/>
    </row>
    <row r="7" spans="1:18">
      <c r="A7" s="32" t="s">
        <v>52</v>
      </c>
      <c r="B7" s="37">
        <f t="shared" ref="B7:B12" si="0">B27</f>
        <v>538.01869999999997</v>
      </c>
      <c r="C7" s="33"/>
      <c r="D7" s="37">
        <f>IF(ISERROR(TER_horeca_gas_kWh/1000),0,TER_horeca_gas_kWh/1000)*0.902</f>
        <v>0</v>
      </c>
      <c r="E7" s="33">
        <f>$C$27*'E Balans VL '!I9/100/3.6*1000000</f>
        <v>22.584521831461089</v>
      </c>
      <c r="F7" s="33">
        <f>$C$27*('E Balans VL '!L9+'E Balans VL '!N9)/100/3.6*1000000</f>
        <v>115.60435080757455</v>
      </c>
      <c r="G7" s="34"/>
      <c r="H7" s="33"/>
      <c r="I7" s="33"/>
      <c r="J7" s="33">
        <f>$C$27*('E Balans VL '!D9+'E Balans VL '!E9)/100/3.6*1000000</f>
        <v>0</v>
      </c>
      <c r="K7" s="33"/>
      <c r="L7" s="33"/>
      <c r="M7" s="33"/>
      <c r="N7" s="33">
        <f>$C$27*'E Balans VL '!Y9/100/3.6*1000000</f>
        <v>0.13864271384577848</v>
      </c>
      <c r="O7" s="33"/>
      <c r="P7" s="33"/>
      <c r="R7" s="32"/>
    </row>
    <row r="8" spans="1:18">
      <c r="A8" s="6" t="s">
        <v>51</v>
      </c>
      <c r="B8" s="37">
        <f t="shared" si="0"/>
        <v>896.79039999999998</v>
      </c>
      <c r="C8" s="33"/>
      <c r="D8" s="37">
        <f>IF(ISERROR(TER_handel_gas_kWh/1000),0,TER_handel_gas_kWh/1000)*0.902</f>
        <v>0</v>
      </c>
      <c r="E8" s="33">
        <f>$C$28*'E Balans VL '!I13/100/3.6*1000000</f>
        <v>9.6322752734329544</v>
      </c>
      <c r="F8" s="33">
        <f>$C$28*('E Balans VL '!L13+'E Balans VL '!N13)/100/3.6*1000000</f>
        <v>116.09692282245949</v>
      </c>
      <c r="G8" s="34"/>
      <c r="H8" s="33"/>
      <c r="I8" s="33"/>
      <c r="J8" s="33">
        <f>$C$28*('E Balans VL '!D13+'E Balans VL '!E13)/100/3.6*1000000</f>
        <v>0</v>
      </c>
      <c r="K8" s="33"/>
      <c r="L8" s="33"/>
      <c r="M8" s="33"/>
      <c r="N8" s="33">
        <f>$C$28*'E Balans VL '!Y13/100/3.6*1000000</f>
        <v>7.2748126916848959</v>
      </c>
      <c r="O8" s="33"/>
      <c r="P8" s="33"/>
      <c r="R8" s="32"/>
    </row>
    <row r="9" spans="1:18">
      <c r="A9" s="32" t="s">
        <v>50</v>
      </c>
      <c r="B9" s="37">
        <f t="shared" si="0"/>
        <v>87.037080000000003</v>
      </c>
      <c r="C9" s="33"/>
      <c r="D9" s="37">
        <f>IF(ISERROR(TER_gezond_gas_kWh/1000),0,TER_gezond_gas_kWh/1000)*0.902</f>
        <v>0</v>
      </c>
      <c r="E9" s="33">
        <f>$C$29*'E Balans VL '!I10/100/3.6*1000000</f>
        <v>6.9287145087518126E-2</v>
      </c>
      <c r="F9" s="33">
        <f>$C$29*('E Balans VL '!L10+'E Balans VL '!N10)/100/3.6*1000000</f>
        <v>10.580614873096474</v>
      </c>
      <c r="G9" s="34"/>
      <c r="H9" s="33"/>
      <c r="I9" s="33"/>
      <c r="J9" s="33">
        <f>$C$29*('E Balans VL '!D10+'E Balans VL '!E10)/100/3.6*1000000</f>
        <v>0</v>
      </c>
      <c r="K9" s="33"/>
      <c r="L9" s="33"/>
      <c r="M9" s="33"/>
      <c r="N9" s="33">
        <f>$C$29*'E Balans VL '!Y10/100/3.6*1000000</f>
        <v>0.70306247328071314</v>
      </c>
      <c r="O9" s="33"/>
      <c r="P9" s="33"/>
      <c r="R9" s="32"/>
    </row>
    <row r="10" spans="1:18">
      <c r="A10" s="32" t="s">
        <v>49</v>
      </c>
      <c r="B10" s="37">
        <f t="shared" si="0"/>
        <v>181.98320000000001</v>
      </c>
      <c r="C10" s="33"/>
      <c r="D10" s="37">
        <f>IF(ISERROR(TER_ander_gas_kWh/1000),0,TER_ander_gas_kWh/1000)*0.902</f>
        <v>0</v>
      </c>
      <c r="E10" s="33">
        <f>$C$30*'E Balans VL '!I14/100/3.6*1000000</f>
        <v>0.62366598657184824</v>
      </c>
      <c r="F10" s="33">
        <f>$C$30*('E Balans VL '!L14+'E Balans VL '!N14)/100/3.6*1000000</f>
        <v>40.647651953848445</v>
      </c>
      <c r="G10" s="34"/>
      <c r="H10" s="33"/>
      <c r="I10" s="33"/>
      <c r="J10" s="33">
        <f>$C$30*('E Balans VL '!D14+'E Balans VL '!E14)/100/3.6*1000000</f>
        <v>0</v>
      </c>
      <c r="K10" s="33"/>
      <c r="L10" s="33"/>
      <c r="M10" s="33"/>
      <c r="N10" s="33">
        <f>$C$30*'E Balans VL '!Y14/100/3.6*1000000</f>
        <v>128.1899602347886</v>
      </c>
      <c r="O10" s="33"/>
      <c r="P10" s="33"/>
      <c r="R10" s="32"/>
    </row>
    <row r="11" spans="1:18">
      <c r="A11" s="32" t="s">
        <v>54</v>
      </c>
      <c r="B11" s="37">
        <f t="shared" si="0"/>
        <v>41.073279999999997</v>
      </c>
      <c r="C11" s="33"/>
      <c r="D11" s="37">
        <f>IF(ISERROR(TER_onderwijs_gas_kWh/1000),0,TER_onderwijs_gas_kWh/1000)*0.902</f>
        <v>0</v>
      </c>
      <c r="E11" s="33">
        <f>$C$31*'E Balans VL '!I11/100/3.6*1000000</f>
        <v>2.8392693506529725E-2</v>
      </c>
      <c r="F11" s="33">
        <f>$C$31*('E Balans VL '!L11+'E Balans VL '!N11)/100/3.6*1000000</f>
        <v>10.751791606169631</v>
      </c>
      <c r="G11" s="34"/>
      <c r="H11" s="33"/>
      <c r="I11" s="33"/>
      <c r="J11" s="33">
        <f>$C$31*('E Balans VL '!D11+'E Balans VL '!E11)/100/3.6*1000000</f>
        <v>0</v>
      </c>
      <c r="K11" s="33"/>
      <c r="L11" s="33"/>
      <c r="M11" s="33"/>
      <c r="N11" s="33">
        <f>$C$31*'E Balans VL '!Y11/100/3.6*1000000</f>
        <v>4.0884951890909731E-2</v>
      </c>
      <c r="O11" s="33"/>
      <c r="P11" s="33"/>
      <c r="R11" s="32"/>
    </row>
    <row r="12" spans="1:18">
      <c r="A12" s="32" t="s">
        <v>249</v>
      </c>
      <c r="B12" s="37">
        <f t="shared" si="0"/>
        <v>2921.48</v>
      </c>
      <c r="C12" s="33"/>
      <c r="D12" s="37">
        <f>IF(ISERROR(TER_rest_gas_kWh/1000),0,TER_rest_gas_kWh/1000)*0.902</f>
        <v>693.1788593779653</v>
      </c>
      <c r="E12" s="33">
        <f>$C$32*'E Balans VL '!I8/100/3.6*1000000</f>
        <v>26.4135398935511</v>
      </c>
      <c r="F12" s="33">
        <f>$C$32*('E Balans VL '!L8+'E Balans VL '!N8)/100/3.6*1000000</f>
        <v>430.64966647873774</v>
      </c>
      <c r="G12" s="34"/>
      <c r="H12" s="33"/>
      <c r="I12" s="33"/>
      <c r="J12" s="33">
        <f>$C$32*('E Balans VL '!D8+'E Balans VL '!E8)/100/3.6*1000000</f>
        <v>0</v>
      </c>
      <c r="K12" s="33"/>
      <c r="L12" s="33"/>
      <c r="M12" s="33"/>
      <c r="N12" s="33">
        <f>$C$32*'E Balans VL '!Y8/100/3.6*1000000</f>
        <v>249.16316451007623</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6185.1746600000006</v>
      </c>
      <c r="C16" s="21">
        <f t="shared" ca="1" si="1"/>
        <v>0</v>
      </c>
      <c r="D16" s="21">
        <f t="shared" ca="1" si="1"/>
        <v>1208.4736840507023</v>
      </c>
      <c r="E16" s="21">
        <f t="shared" si="1"/>
        <v>63.751846085994288</v>
      </c>
      <c r="F16" s="21">
        <f t="shared" ca="1" si="1"/>
        <v>896.22479135977142</v>
      </c>
      <c r="G16" s="21">
        <f t="shared" si="1"/>
        <v>0</v>
      </c>
      <c r="H16" s="21">
        <f t="shared" si="1"/>
        <v>0</v>
      </c>
      <c r="I16" s="21">
        <f t="shared" si="1"/>
        <v>0</v>
      </c>
      <c r="J16" s="21">
        <f t="shared" si="1"/>
        <v>0</v>
      </c>
      <c r="K16" s="21">
        <f t="shared" si="1"/>
        <v>0</v>
      </c>
      <c r="L16" s="21">
        <f t="shared" ca="1" si="1"/>
        <v>0</v>
      </c>
      <c r="M16" s="21">
        <f t="shared" si="1"/>
        <v>0</v>
      </c>
      <c r="N16" s="21">
        <f t="shared" ca="1" si="1"/>
        <v>400.71251639965527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0.1928735775524488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1192.9567644609513</v>
      </c>
      <c r="C20" s="23">
        <f t="shared" ref="C20:P20" ca="1" si="2">C16*C18</f>
        <v>0</v>
      </c>
      <c r="D20" s="23">
        <f t="shared" ca="1" si="2"/>
        <v>244.11168417824189</v>
      </c>
      <c r="E20" s="23">
        <f t="shared" si="2"/>
        <v>14.471669061520704</v>
      </c>
      <c r="F20" s="23">
        <f t="shared" ca="1" si="2"/>
        <v>239.29201929305898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1518.7919999999999</v>
      </c>
      <c r="C26" s="39">
        <f>IF(ISERROR(B26*3.6/1000000/'E Balans VL '!Z12*100),0,B26*3.6/1000000/'E Balans VL '!Z12*100)</f>
        <v>3.3362022179382923E-2</v>
      </c>
      <c r="D26" s="233" t="s">
        <v>676</v>
      </c>
      <c r="F26" s="6"/>
    </row>
    <row r="27" spans="1:18">
      <c r="A27" s="228" t="s">
        <v>52</v>
      </c>
      <c r="B27" s="33">
        <f>IF(ISERROR(TER_horeca_ele_kWh/1000),0,TER_horeca_ele_kWh/1000)</f>
        <v>538.01869999999997</v>
      </c>
      <c r="C27" s="39">
        <f>IF(ISERROR(B27*3.6/1000000/'E Balans VL '!Z9*100),0,B27*3.6/1000000/'E Balans VL '!Z9*100)</f>
        <v>4.3235165578744815E-2</v>
      </c>
      <c r="D27" s="233" t="s">
        <v>676</v>
      </c>
      <c r="F27" s="6"/>
    </row>
    <row r="28" spans="1:18">
      <c r="A28" s="168" t="s">
        <v>51</v>
      </c>
      <c r="B28" s="33">
        <f>IF(ISERROR(TER_handel_ele_kWh/1000),0,TER_handel_ele_kWh/1000)</f>
        <v>896.79039999999998</v>
      </c>
      <c r="C28" s="39">
        <f>IF(ISERROR(B28*3.6/1000000/'E Balans VL '!Z13*100),0,B28*3.6/1000000/'E Balans VL '!Z13*100)</f>
        <v>2.6517465617071977E-2</v>
      </c>
      <c r="D28" s="233" t="s">
        <v>676</v>
      </c>
      <c r="F28" s="6"/>
    </row>
    <row r="29" spans="1:18">
      <c r="A29" s="228" t="s">
        <v>50</v>
      </c>
      <c r="B29" s="33">
        <f>IF(ISERROR(TER_gezond_ele_kWh/1000),0,TER_gezond_ele_kWh/1000)</f>
        <v>87.037080000000003</v>
      </c>
      <c r="C29" s="39">
        <f>IF(ISERROR(B29*3.6/1000000/'E Balans VL '!Z10*100),0,B29*3.6/1000000/'E Balans VL '!Z10*100)</f>
        <v>9.8068318166767074E-3</v>
      </c>
      <c r="D29" s="233" t="s">
        <v>676</v>
      </c>
      <c r="F29" s="6"/>
    </row>
    <row r="30" spans="1:18">
      <c r="A30" s="228" t="s">
        <v>49</v>
      </c>
      <c r="B30" s="33">
        <f>IF(ISERROR(TER_ander_ele_kWh/1000),0,TER_ander_ele_kWh/1000)</f>
        <v>181.98320000000001</v>
      </c>
      <c r="C30" s="39">
        <f>IF(ISERROR(B30*3.6/1000000/'E Balans VL '!Z14*100),0,B30*3.6/1000000/'E Balans VL '!Z14*100)</f>
        <v>1.3763078329771387E-2</v>
      </c>
      <c r="D30" s="233" t="s">
        <v>676</v>
      </c>
      <c r="F30" s="6"/>
    </row>
    <row r="31" spans="1:18">
      <c r="A31" s="228" t="s">
        <v>54</v>
      </c>
      <c r="B31" s="33">
        <f>IF(ISERROR(TER_onderwijs_ele_kWh/1000),0,TER_onderwijs_ele_kWh/1000)</f>
        <v>41.073279999999997</v>
      </c>
      <c r="C31" s="39">
        <f>IF(ISERROR(B31*3.6/1000000/'E Balans VL '!Z11*100),0,B31*3.6/1000000/'E Balans VL '!Z11*100)</f>
        <v>8.5258594527378977E-3</v>
      </c>
      <c r="D31" s="233" t="s">
        <v>676</v>
      </c>
    </row>
    <row r="32" spans="1:18">
      <c r="A32" s="228" t="s">
        <v>249</v>
      </c>
      <c r="B32" s="33">
        <f>IF(ISERROR(TER_rest_ele_kWh/1000),0,TER_rest_ele_kWh/1000)</f>
        <v>2921.48</v>
      </c>
      <c r="C32" s="39">
        <f>IF(ISERROR(B32*3.6/1000000/'E Balans VL '!Z8*100),0,B32*3.6/1000000/'E Balans VL '!Z8*100)</f>
        <v>2.4611750351517418E-2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4163.9940000000006</v>
      </c>
      <c r="C5" s="17">
        <f>IF(ISERROR('Eigen informatie GS &amp; warmtenet'!B59),0,'Eigen informatie GS &amp; warmtenet'!B59)</f>
        <v>0</v>
      </c>
      <c r="D5" s="30">
        <f>SUM(D6:D15)</f>
        <v>357.84153998518826</v>
      </c>
      <c r="E5" s="17">
        <f>SUM(E6:E15)</f>
        <v>671.95376567679227</v>
      </c>
      <c r="F5" s="17">
        <f>SUM(F6:F15)</f>
        <v>2099.4715587314795</v>
      </c>
      <c r="G5" s="18"/>
      <c r="H5" s="17"/>
      <c r="I5" s="17"/>
      <c r="J5" s="17">
        <f>SUM(J6:J15)</f>
        <v>8.8550040813891453</v>
      </c>
      <c r="K5" s="17"/>
      <c r="L5" s="17"/>
      <c r="M5" s="17"/>
      <c r="N5" s="17">
        <f>SUM(N6:N15)</f>
        <v>280.3997514235632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2053.3130000000001</v>
      </c>
      <c r="C9" s="33"/>
      <c r="D9" s="37">
        <f>IF( ISERROR(IND_andere_gas_kWh/1000),0,IND_andere_gas_kWh/1000)*0.902</f>
        <v>102.59937834183387</v>
      </c>
      <c r="E9" s="33">
        <f>C31*'E Balans VL '!I19/100/3.6*1000000</f>
        <v>564.57685825315275</v>
      </c>
      <c r="F9" s="33">
        <f>C31*'E Balans VL '!L19/100/3.6*1000000+C31*'E Balans VL '!N19/100/3.6*1000000</f>
        <v>1618.367946115563</v>
      </c>
      <c r="G9" s="34"/>
      <c r="H9" s="33"/>
      <c r="I9" s="33"/>
      <c r="J9" s="40">
        <f>C31*'E Balans VL '!D19/100/3.6*1000000+C31*'E Balans VL '!E19/100/3.6*1000000</f>
        <v>0</v>
      </c>
      <c r="K9" s="33"/>
      <c r="L9" s="33"/>
      <c r="M9" s="33"/>
      <c r="N9" s="33">
        <f>C31*'E Balans VL '!Y19/100/3.6*1000000</f>
        <v>165.4161891864249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2110.681</v>
      </c>
      <c r="C15" s="33"/>
      <c r="D15" s="37">
        <f>IF( ISERROR(IND_rest_gas_kWh/1000),0,IND_rest_gas_kWh/1000)*0.902</f>
        <v>255.24216164335439</v>
      </c>
      <c r="E15" s="33">
        <f>C37*'E Balans VL '!I15/100/3.6*1000000</f>
        <v>107.37690742363957</v>
      </c>
      <c r="F15" s="33">
        <f>C37*'E Balans VL '!L15/100/3.6*1000000+C37*'E Balans VL '!N15/100/3.6*1000000</f>
        <v>481.10361261591652</v>
      </c>
      <c r="G15" s="34"/>
      <c r="H15" s="33"/>
      <c r="I15" s="33"/>
      <c r="J15" s="40">
        <f>C37*'E Balans VL '!D15/100/3.6*1000000+C37*'E Balans VL '!E15/100/3.6*1000000</f>
        <v>8.8550040813891453</v>
      </c>
      <c r="K15" s="33"/>
      <c r="L15" s="33"/>
      <c r="M15" s="33"/>
      <c r="N15" s="33">
        <f>C37*'E Balans VL '!Y15/100/3.6*1000000</f>
        <v>114.98356223713832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4163.9940000000006</v>
      </c>
      <c r="C18" s="21">
        <f>C5+C16</f>
        <v>0</v>
      </c>
      <c r="D18" s="21">
        <f>MAX((D5+D16),0)</f>
        <v>357.84153998518826</v>
      </c>
      <c r="E18" s="21">
        <f>MAX((E5+E16),0)</f>
        <v>671.95376567679227</v>
      </c>
      <c r="F18" s="21">
        <f>MAX((F5+F16),0)</f>
        <v>2099.4715587314795</v>
      </c>
      <c r="G18" s="21"/>
      <c r="H18" s="21"/>
      <c r="I18" s="21"/>
      <c r="J18" s="21">
        <f>MAX((J5+J16),0)</f>
        <v>8.8550040813891453</v>
      </c>
      <c r="K18" s="21"/>
      <c r="L18" s="21">
        <f>MAX((L5+L16),0)</f>
        <v>0</v>
      </c>
      <c r="M18" s="21"/>
      <c r="N18" s="21">
        <f>MAX((N5+N16),0)</f>
        <v>280.3997514235632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0.1928735775524488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803.12441968693156</v>
      </c>
      <c r="C22" s="23">
        <f ca="1">C18*C20</f>
        <v>0</v>
      </c>
      <c r="D22" s="23">
        <f>D18*D20</f>
        <v>72.283991077008039</v>
      </c>
      <c r="E22" s="23">
        <f>E18*E20</f>
        <v>152.53350480863185</v>
      </c>
      <c r="F22" s="23">
        <f>F18*F20</f>
        <v>560.55890618130502</v>
      </c>
      <c r="G22" s="23"/>
      <c r="H22" s="23"/>
      <c r="I22" s="23"/>
      <c r="J22" s="23">
        <f>J18*J20</f>
        <v>3.1346714448117572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2053.3130000000001</v>
      </c>
      <c r="C31" s="39">
        <f>IF(ISERROR(B31*3.6/1000000/'E Balans VL '!Z19*100),0,B31*3.6/1000000/'E Balans VL '!Z19*100)</f>
        <v>8.987317691530719E-2</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2110.681</v>
      </c>
      <c r="C37" s="39">
        <f>IF(ISERROR(B37*3.6/1000000/'E Balans VL '!Z15*100),0,B37*3.6/1000000/'E Balans VL '!Z15*100)</f>
        <v>1.5650338251121165E-2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1333.5249720000002</v>
      </c>
      <c r="C5" s="17">
        <f>'Eigen informatie GS &amp; warmtenet'!B60</f>
        <v>0</v>
      </c>
      <c r="D5" s="30">
        <f>IF(ISERROR(SUM(LB_lb_gas_kWh,LB_rest_gas_kWh)/1000),0,SUM(LB_lb_gas_kWh,LB_rest_gas_kWh)/1000)*0.902</f>
        <v>57.518632828460042</v>
      </c>
      <c r="E5" s="17">
        <f>B17*'E Balans VL '!I25/3.6*1000000/100</f>
        <v>12.351666822263574</v>
      </c>
      <c r="F5" s="17">
        <f>B17*('E Balans VL '!L25/3.6*1000000+'E Balans VL '!N25/3.6*1000000)/100</f>
        <v>3383.4068902104691</v>
      </c>
      <c r="G5" s="18"/>
      <c r="H5" s="17"/>
      <c r="I5" s="17"/>
      <c r="J5" s="17">
        <f>('E Balans VL '!D25+'E Balans VL '!E25)/3.6*1000000*landbouw!B17/100</f>
        <v>204.44426038972261</v>
      </c>
      <c r="K5" s="17"/>
      <c r="L5" s="17">
        <f>L6*(-1)</f>
        <v>0</v>
      </c>
      <c r="M5" s="17"/>
      <c r="N5" s="17">
        <f>N6*(-1)</f>
        <v>124.71428571428569</v>
      </c>
      <c r="O5" s="17"/>
      <c r="P5" s="17"/>
      <c r="R5" s="32"/>
    </row>
    <row r="6" spans="1:18">
      <c r="A6" s="16" t="s">
        <v>481</v>
      </c>
      <c r="B6" s="17" t="s">
        <v>204</v>
      </c>
      <c r="C6" s="17">
        <f>'lokale energieproductie'!O39+'lokale energieproductie'!O32</f>
        <v>62.357142857142847</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1333.5249720000002</v>
      </c>
      <c r="C8" s="21">
        <f>C5+C6</f>
        <v>62.357142857142847</v>
      </c>
      <c r="D8" s="21">
        <f>MAX((D5+D6),0)</f>
        <v>57.518632828460042</v>
      </c>
      <c r="E8" s="21">
        <f>MAX((E5+E6),0)</f>
        <v>12.351666822263574</v>
      </c>
      <c r="F8" s="21">
        <f>MAX((F5+F6),0)</f>
        <v>3383.4068902104691</v>
      </c>
      <c r="G8" s="21"/>
      <c r="H8" s="21"/>
      <c r="I8" s="21"/>
      <c r="J8" s="21">
        <f>MAX((J5+J6),0)</f>
        <v>204.44426038972261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0.1928735775524488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257.20173210516913</v>
      </c>
      <c r="C12" s="23">
        <f ca="1">C8*C10</f>
        <v>0</v>
      </c>
      <c r="D12" s="23">
        <f>D8*D10</f>
        <v>11.618763831348929</v>
      </c>
      <c r="E12" s="23">
        <f>E8*E10</f>
        <v>2.8038283686538317</v>
      </c>
      <c r="F12" s="23">
        <f>F8*F10</f>
        <v>903.36963968619534</v>
      </c>
      <c r="G12" s="23"/>
      <c r="H12" s="23"/>
      <c r="I12" s="23"/>
      <c r="J12" s="23">
        <f>J8*J10</f>
        <v>72.373268177961805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0.18959897540157955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307.66928482415199</v>
      </c>
      <c r="C26" s="243">
        <f>B26*'GWP N2O_CH4'!B5</f>
        <v>6461.0549813071921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122.73444839753672</v>
      </c>
      <c r="C27" s="243">
        <f>B27*'GWP N2O_CH4'!B5</f>
        <v>2577.4234163482711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4.7714775779912921</v>
      </c>
      <c r="C28" s="243">
        <f>B28*'GWP N2O_CH4'!B4</f>
        <v>1479.1580491773007</v>
      </c>
      <c r="D28" s="50"/>
    </row>
    <row r="29" spans="1:4">
      <c r="A29" s="41" t="s">
        <v>266</v>
      </c>
      <c r="B29" s="243">
        <f>B34*'ha_N2O bodem landbouw'!B4</f>
        <v>19.058367197909821</v>
      </c>
      <c r="C29" s="243">
        <f>B29*'GWP N2O_CH4'!B4</f>
        <v>5908.0938313520446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4.2744560053211708E-3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1.9240206390434977E-5</v>
      </c>
      <c r="C5" s="430" t="s">
        <v>204</v>
      </c>
      <c r="D5" s="415">
        <f>SUM(D6:D11)</f>
        <v>3.7507884178316268E-5</v>
      </c>
      <c r="E5" s="415">
        <f>SUM(E6:E11)</f>
        <v>3.5717233038188667E-4</v>
      </c>
      <c r="F5" s="428" t="s">
        <v>204</v>
      </c>
      <c r="G5" s="415">
        <f>SUM(G6:G11)</f>
        <v>9.5335371588645343E-2</v>
      </c>
      <c r="H5" s="415">
        <f>SUM(H6:H11)</f>
        <v>2.1279874681282937E-2</v>
      </c>
      <c r="I5" s="430" t="s">
        <v>204</v>
      </c>
      <c r="J5" s="430" t="s">
        <v>204</v>
      </c>
      <c r="K5" s="430" t="s">
        <v>204</v>
      </c>
      <c r="L5" s="430" t="s">
        <v>204</v>
      </c>
      <c r="M5" s="415">
        <f>SUM(M6:M11)</f>
        <v>6.1763704979215222E-3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7.0251601359752585E-6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1.061036686843162E-5</v>
      </c>
      <c r="E6" s="858">
        <f>vkm_GW_PW*SUMIFS(TableVerdeelsleutelVkm[LPG],TableVerdeelsleutelVkm[Voertuigtype],"Lichte voertuigen")*SUMIFS(TableECFTransport[EnergieConsumptieFactor (PJ per km)],TableECFTransport[Index],CONCATENATE($A6,"_LPG_LPG"))</f>
        <v>1.0450690975460217E-4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2.3908985572145117E-2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6.1700185766835371E-3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1.5743781573309412E-3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2.1974964988791969E-7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8.4340831032897485E-3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1.5947525801836886E-7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4.8898894619512951E-4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1.1805838333954807E-5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2.689751730988465E-5</v>
      </c>
      <c r="E8" s="418">
        <f>vkm_NGW_PW*SUMIFS(TableVerdeelsleutelVkm[LPG],TableVerdeelsleutelVkm[Voertuigtype],"Lichte voertuigen")*SUMIFS(TableECFTransport[EnergieConsumptieFactor (PJ per km)],TableECFTransport[Index],CONCATENATE($A8,"_LPG_LPG"))</f>
        <v>2.5266542062728448E-4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5.3649792300556089E-2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1.5109530672509088E-2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3.5713462146142331E-3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1.8945827061699227E-7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9.3425106126543839E-3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1.6595683229396459E-7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5.4165717978121853E-4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5.3445017751208272</v>
      </c>
      <c r="C14" s="21"/>
      <c r="D14" s="21">
        <f t="shared" ref="D14:M14" si="0">((D5)*10^9/3600)+D12</f>
        <v>10.418856716198965</v>
      </c>
      <c r="E14" s="21">
        <f t="shared" si="0"/>
        <v>99.214536217190741</v>
      </c>
      <c r="F14" s="21"/>
      <c r="G14" s="21">
        <f t="shared" si="0"/>
        <v>26482.047663512592</v>
      </c>
      <c r="H14" s="21">
        <f t="shared" si="0"/>
        <v>5911.0763003563716</v>
      </c>
      <c r="I14" s="21"/>
      <c r="J14" s="21"/>
      <c r="K14" s="21"/>
      <c r="L14" s="21"/>
      <c r="M14" s="21">
        <f t="shared" si="0"/>
        <v>1715.6584716448672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0.1928735775524488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1.0308131776029672</v>
      </c>
      <c r="C18" s="23"/>
      <c r="D18" s="23">
        <f t="shared" ref="D18:M18" si="1">D14*D16</f>
        <v>2.1046090566721909</v>
      </c>
      <c r="E18" s="23">
        <f t="shared" si="1"/>
        <v>22.521699721302298</v>
      </c>
      <c r="F18" s="23"/>
      <c r="G18" s="23">
        <f t="shared" si="1"/>
        <v>7070.7067261578622</v>
      </c>
      <c r="H18" s="23">
        <f t="shared" si="1"/>
        <v>1471.8579987887365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9.3489719729928202E-6</v>
      </c>
      <c r="C50" s="313">
        <f t="shared" ref="C50:P50" si="2">SUM(C51:C52)</f>
        <v>0</v>
      </c>
      <c r="D50" s="313">
        <f t="shared" si="2"/>
        <v>0</v>
      </c>
      <c r="E50" s="313">
        <f t="shared" si="2"/>
        <v>0</v>
      </c>
      <c r="F50" s="313">
        <f t="shared" si="2"/>
        <v>0</v>
      </c>
      <c r="G50" s="313">
        <f t="shared" si="2"/>
        <v>1.7715068296779255E-3</v>
      </c>
      <c r="H50" s="313">
        <f t="shared" si="2"/>
        <v>0</v>
      </c>
      <c r="I50" s="313">
        <f t="shared" si="2"/>
        <v>0</v>
      </c>
      <c r="J50" s="313">
        <f t="shared" si="2"/>
        <v>0</v>
      </c>
      <c r="K50" s="313">
        <f t="shared" si="2"/>
        <v>0</v>
      </c>
      <c r="L50" s="313">
        <f t="shared" si="2"/>
        <v>0</v>
      </c>
      <c r="M50" s="313">
        <f t="shared" si="2"/>
        <v>1.0198216897831729E-4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9.3489719729928202E-6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1.7715068296779255E-3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1.0198216897831729E-4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2.5969366591646721</v>
      </c>
      <c r="C54" s="21">
        <f t="shared" ref="C54:P54" si="3">(C50)*10^9/3600</f>
        <v>0</v>
      </c>
      <c r="D54" s="21">
        <f t="shared" si="3"/>
        <v>0</v>
      </c>
      <c r="E54" s="21">
        <f t="shared" si="3"/>
        <v>0</v>
      </c>
      <c r="F54" s="21">
        <f t="shared" si="3"/>
        <v>0</v>
      </c>
      <c r="G54" s="21">
        <f t="shared" si="3"/>
        <v>492.08523046609042</v>
      </c>
      <c r="H54" s="21">
        <f t="shared" si="3"/>
        <v>0</v>
      </c>
      <c r="I54" s="21">
        <f t="shared" si="3"/>
        <v>0</v>
      </c>
      <c r="J54" s="21">
        <f t="shared" si="3"/>
        <v>0</v>
      </c>
      <c r="K54" s="21">
        <f t="shared" si="3"/>
        <v>0</v>
      </c>
      <c r="L54" s="21">
        <f t="shared" si="3"/>
        <v>0</v>
      </c>
      <c r="M54" s="21">
        <f t="shared" si="3"/>
        <v>28.328380271754803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0.1928735775524488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0.50088046413019471</v>
      </c>
      <c r="C58" s="23">
        <f t="shared" ref="C58:P58" ca="1" si="4">C54*C56</f>
        <v>0</v>
      </c>
      <c r="D58" s="23">
        <f t="shared" si="4"/>
        <v>0</v>
      </c>
      <c r="E58" s="23">
        <f t="shared" si="4"/>
        <v>0</v>
      </c>
      <c r="F58" s="23">
        <f t="shared" si="4"/>
        <v>0</v>
      </c>
      <c r="G58" s="23">
        <f t="shared" si="4"/>
        <v>131.38675653444616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3176.3897143540325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B48</f>
        <v>0</v>
      </c>
      <c r="D8" s="1014"/>
      <c r="E8" s="1014">
        <f>E48</f>
        <v>0</v>
      </c>
      <c r="F8" s="1015"/>
      <c r="G8" s="538"/>
      <c r="H8" s="1014">
        <f>I48</f>
        <v>0</v>
      </c>
      <c r="I8" s="1014">
        <f>G48+F48</f>
        <v>0</v>
      </c>
      <c r="J8" s="1014">
        <f>H48+D48+C48</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3220.0397143540326</v>
      </c>
      <c r="C10" s="550">
        <f t="shared" ref="C10:L10" si="0">SUM(C8:C9)</f>
        <v>0</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B49</f>
        <v>0</v>
      </c>
      <c r="D17" s="563"/>
      <c r="E17" s="563">
        <f>E49</f>
        <v>0</v>
      </c>
      <c r="F17" s="1020"/>
      <c r="G17" s="564"/>
      <c r="H17" s="562">
        <f>I49</f>
        <v>0</v>
      </c>
      <c r="I17" s="563">
        <f>G49+F49</f>
        <v>0</v>
      </c>
      <c r="J17" s="563">
        <f>H49+D49+C49</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45061</v>
      </c>
      <c r="C28" s="763">
        <v>9790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9.6999999999999993</v>
      </c>
      <c r="N32" s="582">
        <f>SUMIF($Z$28:$Z$28,"landbouw",N28:N28)</f>
        <v>43.649999999999991</v>
      </c>
      <c r="O32" s="582">
        <f>SUMIF($Z$28:$Z$28,"landbouw",O28:O28)</f>
        <v>62.357142857142847</v>
      </c>
      <c r="P32" s="582">
        <f>SUMIF($Z$28:$Z$28,"landbouw",P28:P28)</f>
        <v>0</v>
      </c>
      <c r="Q32" s="582">
        <f>SUMIF($Z$28:$Z$28,"landbouw",Q28:Q28)</f>
        <v>124.71428571428569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51.35294117647058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73.361344537815114</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2021-11-11T13:15:32Z</dcterms:modified>
</cp:coreProperties>
</file>