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6D0E2C4-DC65-4327-9B3A-BF06B64044E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I9" i="18" s="1"/>
  <c r="S42" i="18"/>
  <c r="E9" i="18" s="1"/>
  <c r="R42" i="18"/>
  <c r="Q42" i="18"/>
  <c r="P42" i="18"/>
  <c r="C9" i="18" s="1"/>
  <c r="O42" i="18"/>
  <c r="N42" i="18"/>
  <c r="B9" i="18" s="1"/>
  <c r="M42" i="18"/>
  <c r="W38" i="18"/>
  <c r="V38" i="18"/>
  <c r="U38" i="18"/>
  <c r="T38" i="18"/>
  <c r="S38" i="18"/>
  <c r="F6" i="17" s="1"/>
  <c r="R38" i="18"/>
  <c r="Q38" i="18"/>
  <c r="P38" i="18"/>
  <c r="O38" i="18"/>
  <c r="N38" i="18"/>
  <c r="M38" i="18"/>
  <c r="W37" i="18"/>
  <c r="V37" i="18"/>
  <c r="U37" i="18"/>
  <c r="T37" i="18"/>
  <c r="S37" i="18"/>
  <c r="F13" i="15" s="1"/>
  <c r="R37" i="18"/>
  <c r="Q37" i="18"/>
  <c r="P37" i="18"/>
  <c r="O37" i="18"/>
  <c r="C13" i="15" s="1"/>
  <c r="N37" i="18"/>
  <c r="M37" i="18"/>
  <c r="W36" i="18"/>
  <c r="V36" i="18"/>
  <c r="U36" i="18"/>
  <c r="T36" i="18"/>
  <c r="S36" i="18"/>
  <c r="R36" i="18"/>
  <c r="Q36" i="18"/>
  <c r="P36" i="18"/>
  <c r="O36" i="18"/>
  <c r="N36" i="18"/>
  <c r="M36" i="18"/>
  <c r="W35" i="18"/>
  <c r="V35" i="18"/>
  <c r="U35" i="18"/>
  <c r="T35" i="18"/>
  <c r="S35" i="18"/>
  <c r="R35" i="18"/>
  <c r="Q35" i="18"/>
  <c r="P35" i="18"/>
  <c r="O35" i="18"/>
  <c r="B17" i="18" s="1"/>
  <c r="N35" i="18"/>
  <c r="B8" i="18" s="1"/>
  <c r="M35"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51" i="18"/>
  <c r="C55" i="18" s="1"/>
  <c r="C6" i="17"/>
  <c r="J9" i="18"/>
  <c r="J77" i="14" s="1"/>
  <c r="J9" i="59" s="1"/>
  <c r="K20" i="18"/>
  <c r="L10" i="59"/>
  <c r="B16" i="16"/>
  <c r="C51" i="18"/>
  <c r="E54"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5" i="18" l="1"/>
  <c r="H17" i="18" s="1"/>
  <c r="Q14" i="48"/>
  <c r="D55" i="18"/>
  <c r="H55" i="18"/>
  <c r="E55" i="18"/>
  <c r="E17" i="18" s="1"/>
  <c r="E20" i="18" s="1"/>
  <c r="G78" i="14"/>
  <c r="B54" i="18"/>
  <c r="C8" i="18" s="1"/>
  <c r="D76" i="14" s="1"/>
  <c r="D8" i="59" s="1"/>
  <c r="D10" i="59" s="1"/>
  <c r="H54" i="18"/>
  <c r="F54" i="18"/>
  <c r="C54" i="18"/>
  <c r="I54" i="18"/>
  <c r="H8" i="18" s="1"/>
  <c r="M76" i="14" s="1"/>
  <c r="D54" i="18"/>
  <c r="B55" i="18"/>
  <c r="C17" i="18" s="1"/>
  <c r="D87" i="14" s="1"/>
  <c r="D17" i="59" s="1"/>
  <c r="D20" i="59" s="1"/>
  <c r="F55" i="18"/>
  <c r="O9" i="18"/>
  <c r="G55" i="18"/>
  <c r="G54"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<sst xmlns="http://schemas.openxmlformats.org/spreadsheetml/2006/main" count="2541" uniqueCount="930">
  <si>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</si>
  <si>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</si>
  <si>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</si>
  <si>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</si>
  <si>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</si>
  <si>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</si>
  <si>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</si>
  <si>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</si>
  <si>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</si>
  <si>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</si>
  <si>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</si>
  <si>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</si>
  <si>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</si>
  <si>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</si>
  <si>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</si>
  <si>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</si>
  <si>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</si>
  <si>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</si>
  <si>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</si>
  <si>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</si>
  <si>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</si>
  <si>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</si>
  <si>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</si>
  <si>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</si>
  <si>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</si>
  <si>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</si>
  <si>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</si>
  <si>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</si>
  <si>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</si>
  <si>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</si>
  <si>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</si>
  <si>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</si>
  <si>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</si>
  <si>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</si>
  <si>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</si>
  <si>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</si>
  <si>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</si>
  <si>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</si>
  <si>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</si>
  <si>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</si>
  <si>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</si>
  <si>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</si>
  <si>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</si>
  <si>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</si>
  <si>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</si>
  <si>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</si>
  <si>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</si>
  <si>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</si>
  <si>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</si>
  <si>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</si>
  <si>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</si>
  <si>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</si>
  <si>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</si>
  <si>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</si>
  <si>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</si>
  <si>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</si>
  <si>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</si>
  <si>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</si>
  <si>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</si>
  <si>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</si>
  <si>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</si>
  <si>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</si>
  <si>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</si>
  <si>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</si>
  <si>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</si>
  <si>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</si>
  <si>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</si>
  <si>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</si>
  <si>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</si>
  <si>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</si>
  <si>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</si>
  <si>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</si>
  <si>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</si>
  <si>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</si>
  <si>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</si>
  <si>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</si>
  <si>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</si>
  <si>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</si>
  <si>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</si>
  <si>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</si>
  <si>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</si>
  <si>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</si>
  <si>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</si>
  <si>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</si>
  <si>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</si>
  <si>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</si>
  <si>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</si>
  <si>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</si>
  <si>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</si>
  <si>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</si>
  <si>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</si>
  <si>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</si>
  <si>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</si>
  <si>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</si>
  <si>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</si>
  <si>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</si>
  <si>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</si>
  <si>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</si>
  <si>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</si>
  <si>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</si>
  <si>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</si>
  <si>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</si>
  <si>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</si>
  <si>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</si>
  <si>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</si>
  <si>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</si>
  <si>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</si>
  <si>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</si>
  <si>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</si>
  <si>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</si>
  <si>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</si>
  <si>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</si>
  <si>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</si>
  <si>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</si>
  <si>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</si>
  <si>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</si>
  <si>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</si>
  <si>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</si>
  <si>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</si>
  <si>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</si>
  <si>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</si>
  <si>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</si>
  <si>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</si>
  <si>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</si>
  <si>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</si>
  <si>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</si>
  <si>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</si>
  <si>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</si>
  <si>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</si>
  <si>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</si>
  <si>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</si>
  <si>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</si>
  <si>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</si>
  <si>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</si>
  <si>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</si>
  <si>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</si>
  <si>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</si>
  <si>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</si>
  <si>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</si>
  <si>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</si>
  <si>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</si>
  <si>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</si>
  <si>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</si>
  <si>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</si>
  <si>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</si>
  <si>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</si>
  <si>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</si>
  <si>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</si>
  <si>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</si>
  <si>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</si>
  <si>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</si>
  <si>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</si>
  <si>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</si>
  <si>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</si>
  <si>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</si>
  <si>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</si>
  <si>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</si>
  <si>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</si>
  <si>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</si>
  <si>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</si>
  <si>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</si>
  <si>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</si>
  <si>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</si>
  <si>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</si>
  <si>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</si>
  <si>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</si>
  <si>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</si>
  <si>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</si>
  <si>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</si>
  <si>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</si>
  <si>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</si>
  <si>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</si>
  <si>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</si>
  <si>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</si>
  <si>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</si>
  <si>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</si>
  <si>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</si>
  <si>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</si>
  <si>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</si>
  <si>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</si>
  <si>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</si>
  <si>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</si>
  <si>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</si>
  <si>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</si>
  <si>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</si>
  <si>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</si>
  <si>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</si>
  <si>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</si>
  <si>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</si>
  <si>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</si>
  <si>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</si>
  <si>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</si>
  <si>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</si>
  <si>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</si>
  <si>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</si>
  <si>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</si>
  <si>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</si>
  <si>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</si>
  <si>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</si>
  <si>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</si>
  <si>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</si>
  <si>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</si>
  <si>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</si>
  <si>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</si>
  <si>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</si>
  <si>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</si>
  <si>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</si>
  <si>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</si>
  <si>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</si>
  <si>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</si>
  <si>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</si>
  <si>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</si>
  <si>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</si>
  <si>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</si>
  <si>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</si>
  <si>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</si>
  <si>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</si>
  <si>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</si>
  <si>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</si>
  <si>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</si>
  <si>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</si>
  <si>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</si>
  <si>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</si>
  <si>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</si>
  <si>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</si>
  <si>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</si>
  <si>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</si>
  <si>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</si>
  <si>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</si>
  <si>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</si>
  <si>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</si>
  <si>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</si>
  <si>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</si>
  <si>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</si>
  <si>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</si>
  <si>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</si>
  <si>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</si>
  <si>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</si>
  <si>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</si>
  <si>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</si>
  <si>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</si>
  <si>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</si>
  <si>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</si>
  <si>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</si>
  <si>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</si>
  <si>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</si>
  <si>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</si>
  <si>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</si>
  <si>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</si>
  <si>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</si>
  <si>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</si>
  <si>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</si>
  <si>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</si>
  <si>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</si>
  <si>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</si>
  <si>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</si>
  <si>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</si>
  <si>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</si>
  <si>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</si>
  <si>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</si>
  <si>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</si>
  <si>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</si>
  <si>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</si>
  <si>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</si>
  <si>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</si>
  <si>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</si>
  <si>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</si>
  <si>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</si>
  <si>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</si>
  <si>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</si>
  <si>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</si>
  <si>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</si>
  <si>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</si>
  <si>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</si>
  <si>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</si>
  <si>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</si>
  <si>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</si>
  <si>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</si>
  <si>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</si>
  <si>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</si>
  <si>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</si>
  <si>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</si>
  <si>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</si>
  <si>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</si>
  <si>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</si>
  <si>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</si>
  <si>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</si>
  <si>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</si>
  <si>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</si>
  <si>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</si>
  <si>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</si>
  <si>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</si>
  <si>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</si>
  <si>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</si>
  <si>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</si>
  <si>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</si>
  <si>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</si>
  <si>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</si>
  <si>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</si>
  <si>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</si>
  <si>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</si>
  <si>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</si>
  <si>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</si>
  <si>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</si>
  <si>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</si>
  <si>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</si>
  <si>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</si>
  <si>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</si>
  <si>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</si>
  <si>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</si>
  <si>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</si>
  <si>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</si>
  <si>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</si>
  <si>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</si>
  <si>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</si>
  <si>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</si>
  <si>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</si>
  <si>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</si>
  <si>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</si>
  <si>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</si>
  <si>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</si>
  <si>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</si>
  <si>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</si>
  <si>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</si>
  <si>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</si>
  <si>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</si>
  <si>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</si>
  <si>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</si>
  <si>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</si>
  <si>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</si>
  <si>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</si>
  <si>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</si>
  <si>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</si>
  <si>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</si>
  <si>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</si>
  <si>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</si>
  <si>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</si>
  <si>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</si>
  <si>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</si>
  <si>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</si>
  <si>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</si>
  <si>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</si>
  <si>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</si>
  <si>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</si>
  <si>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</si>
  <si>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</si>
  <si>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</si>
  <si>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</si>
  <si>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</si>
  <si>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</si>
  <si>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</si>
  <si>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</si>
  <si>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</si>
  <si>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</si>
  <si>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</si>
  <si>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</si>
  <si>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</si>
  <si>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</si>
  <si>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</si>
  <si>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</si>
  <si>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</si>
  <si>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</si>
  <si>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</si>
  <si>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</si>
  <si>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</si>
  <si>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</si>
  <si>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</si>
  <si>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</si>
  <si>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</si>
  <si>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</si>
  <si>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</si>
  <si>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</si>
  <si>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</si>
  <si>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</si>
  <si>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</si>
  <si>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</si>
  <si>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</si>
  <si>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</si>
  <si>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</si>
  <si>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</si>
  <si>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</si>
  <si>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</si>
  <si>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</si>
  <si>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</si>
  <si>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</si>
  <si>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</si>
  <si>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</si>
  <si>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</si>
  <si>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</si>
  <si>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</si>
  <si>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</si>
  <si>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</si>
  <si>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</si>
  <si>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</si>
  <si>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</si>
  <si>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</si>
  <si>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</si>
  <si>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</si>
  <si>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</si>
  <si>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</si>
  <si>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</si>
  <si>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</si>
  <si>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</si>
  <si>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</si>
  <si>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</si>
  <si>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</si>
  <si>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</si>
  <si>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</si>
  <si>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</si>
  <si>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</si>
  <si>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</si>
  <si>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</si>
  <si>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</si>
  <si>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</si>
  <si>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</si>
  <si>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</si>
  <si>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</si>
  <si>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</si>
  <si>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</si>
  <si>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</si>
  <si>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</si>
  <si>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</si>
  <si>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</si>
  <si>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</si>
  <si>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</si>
  <si>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</si>
  <si>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</si>
  <si>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</si>
  <si>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</si>
  <si>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</si>
  <si>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</si>
  <si>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</si>
  <si>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</si>
  <si>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</si>
  <si>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</si>
  <si>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</si>
  <si>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</si>
  <si>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</si>
  <si>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</si>
  <si>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</si>
  <si>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</si>
  <si>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</si>
  <si>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</si>
  <si>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</si>
  <si>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</si>
  <si>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</si>
  <si>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</si>
  <si>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</si>
  <si>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</si>
  <si>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</si>
  <si>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</si>
  <si>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</si>
  <si>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</si>
  <si>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</si>
  <si>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</si>
  <si>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</si>
  <si>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</si>
  <si>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</si>
  <si>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</si>
  <si>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</si>
  <si>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</si>
  <si>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</si>
  <si>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</si>
  <si>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</si>
  <si>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</si>
  <si>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</si>
  <si>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</si>
  <si>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</si>
  <si>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</si>
  <si>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</si>
  <si>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</si>
  <si>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</si>
  <si>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</si>
  <si>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</si>
  <si>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</si>
  <si>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</si>
  <si>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</si>
  <si>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</si>
  <si>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</si>
  <si>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</si>
  <si>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</si>
  <si>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</si>
  <si>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</si>
  <si>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</si>
  <si>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</si>
  <si>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</si>
  <si>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</si>
  <si>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</si>
  <si>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</si>
  <si>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</si>
  <si>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</si>
  <si>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</si>
  <si>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</si>
  <si>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</si>
  <si>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</si>
  <si>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</si>
  <si>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</si>
  <si>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</si>
  <si>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</si>
  <si>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</si>
  <si>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</si>
  <si>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</si>
  <si>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</si>
  <si>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</si>
  <si>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</si>
  <si>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</si>
  <si>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</si>
  <si>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</si>
  <si>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</si>
  <si>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</si>
  <si>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</si>
  <si>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</si>
  <si>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</si>
  <si>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</si>
  <si>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</si>
  <si>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</si>
  <si>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</si>
  <si>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</si>
  <si>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</si>
  <si>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</si>
  <si>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</si>
  <si>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</si>
  <si>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</si>
  <si>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</si>
  <si>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</si>
  <si>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</si>
  <si>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</si>
  <si>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</si>
  <si>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</si>
  <si>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</si>
  <si>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</si>
  <si>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</si>
  <si>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</si>
  <si>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</si>
  <si>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</si>
  <si>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</si>
  <si>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</si>
  <si>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</si>
  <si>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</si>
  <si>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</si>
  <si>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</si>
  <si>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</si>
  <si>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</si>
  <si>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</si>
  <si>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</si>
  <si>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</si>
  <si>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</si>
  <si>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</si>
  <si>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</si>
  <si>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</si>
  <si>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</si>
  <si>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</si>
  <si>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</si>
  <si>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</si>
  <si>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</si>
  <si>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</si>
  <si>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</si>
  <si>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</si>
  <si>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</si>
  <si>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</si>
  <si>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</si>
  <si>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</si>
  <si>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</si>
  <si>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</si>
  <si>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</si>
  <si>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</si>
  <si>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</si>
  <si>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</si>
  <si>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</si>
  <si>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</si>
  <si>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</si>
  <si>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</si>
  <si>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</si>
  <si>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</si>
  <si>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</si>
  <si>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</si>
  <si>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</si>
  <si>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</si>
  <si>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</si>
  <si>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</si>
  <si>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</si>
  <si>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</si>
  <si>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</si>
  <si>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</si>
  <si>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</si>
  <si>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</si>
  <si>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</si>
  <si>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</si>
  <si>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</si>
  <si>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</si>
  <si>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</si>
  <si>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</si>
  <si>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</si>
  <si>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</si>
  <si>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</si>
  <si>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</si>
  <si>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</si>
  <si>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</si>
  <si>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</si>
  <si>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</si>
  <si>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</si>
  <si>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</si>
  <si>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</si>
  <si>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</si>
  <si>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</si>
  <si>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</si>
  <si>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</si>
  <si>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</si>
  <si>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</si>
  <si>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</si>
  <si>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</si>
  <si>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</si>
  <si>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</si>
  <si>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</si>
  <si>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</si>
  <si>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</si>
  <si>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</si>
  <si>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</si>
  <si>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</si>
  <si>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</si>
  <si>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</si>
  <si>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</si>
  <si>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</si>
  <si>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</si>
  <si>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</si>
  <si>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</si>
  <si>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</si>
  <si>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</si>
  <si>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</si>
  <si>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</si>
  <si>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</si>
  <si>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</si>
  <si>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</si>
  <si>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</si>
  <si>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</si>
  <si>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</si>
  <si>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</si>
  <si>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</si>
  <si>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</si>
  <si>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</si>
  <si>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</si>
  <si>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</si>
  <si>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</si>
  <si>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</si>
  <si>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</si>
  <si>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</si>
  <si>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</si>
  <si>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</si>
  <si>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</si>
  <si>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</si>
  <si>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</si>
  <si>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</si>
  <si>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</si>
  <si>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</si>
  <si>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</si>
  <si>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</si>
  <si>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</si>
  <si>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</si>
  <si>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</si>
  <si>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</si>
  <si>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</si>
  <si>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</si>
  <si>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</si>
  <si>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</si>
  <si>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</si>
  <si>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</si>
  <si>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</si>
  <si>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</si>
  <si>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</si>
  <si>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</si>
  <si>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</si>
  <si>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</si>
  <si>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</si>
  <si>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</si>
  <si>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</si>
  <si>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</si>
  <si>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</si>
  <si>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</si>
  <si>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</si>
  <si>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</si>
  <si>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</si>
  <si>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</si>
  <si>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</si>
  <si>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</si>
  <si>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</si>
  <si>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</si>
  <si>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</si>
  <si>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</si>
  <si>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</si>
  <si>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</si>
  <si>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</si>
  <si>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</si>
  <si>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</si>
  <si>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</si>
  <si>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</si>
  <si>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</si>
  <si>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</si>
  <si>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</si>
  <si>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</si>
  <si>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</si>
  <si>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</si>
  <si>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</si>
  <si>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</si>
  <si>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</si>
  <si>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</si>
  <si>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</si>
  <si>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</si>
  <si>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</si>
  <si>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</si>
  <si>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</si>
  <si>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</si>
  <si>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</si>
  <si>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</si>
  <si>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</si>
  <si>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</si>
  <si>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</si>
  <si>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</si>
  <si>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</si>
  <si>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</si>
  <si>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</si>
  <si>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</si>
  <si>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</si>
  <si>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</si>
  <si>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</si>
  <si>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</si>
  <si>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</si>
  <si>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</si>
  <si>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</si>
  <si>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</si>
  <si>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</si>
  <si>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</si>
  <si>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</si>
  <si>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</si>
  <si>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</si>
  <si>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</si>
  <si>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</si>
  <si>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</si>
  <si>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</si>
  <si>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</si>
  <si>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</si>
  <si>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</si>
  <si>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</si>
  <si>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</si>
  <si>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</si>
  <si>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</si>
  <si>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</si>
  <si>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</si>
  <si>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</si>
  <si>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</si>
  <si>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</si>
  <si>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</si>
  <si>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</si>
  <si>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</si>
  <si>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</si>
  <si>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</si>
  <si>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</si>
  <si>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</si>
  <si>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</si>
  <si>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</si>
  <si>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</si>
  <si>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</si>
  <si>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</si>
  <si>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</si>
  <si>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</si>
  <si>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</si>
  <si>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</si>
  <si>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</si>
  <si>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</si>
  <si>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</si>
  <si>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</si>
  <si>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</si>
  <si>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</si>
  <si>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</si>
  <si>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</si>
  <si>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</si>
  <si>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</si>
  <si>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</si>
  <si>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</si>
  <si>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</si>
  <si>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</si>
  <si>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</si>
  <si>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</si>
  <si>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</si>
  <si>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</si>
  <si>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</si>
  <si>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</si>
  <si>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</si>
  <si>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</si>
  <si>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</si>
  <si>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</si>
  <si>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</si>
  <si>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</si>
  <si>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</si>
  <si>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</si>
  <si>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</si>
  <si>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</si>
  <si>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</si>
  <si>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</si>
  <si>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</si>
  <si>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</si>
  <si>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</si>
  <si>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</si>
  <si>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</si>
  <si>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</si>
  <si>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</si>
  <si>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</si>
  <si>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</si>
  <si>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</si>
  <si>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</si>
  <si>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</si>
  <si>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</si>
  <si>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</si>
  <si>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</si>
  <si>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</si>
  <si>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</si>
  <si>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</si>
  <si>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</si>
  <si>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</si>
  <si>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</si>
  <si>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</si>
  <si>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</si>
  <si>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</si>
  <si>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</si>
  <si>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</si>
  <si>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</si>
  <si>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</si>
  <si>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</si>
  <si>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</si>
  <si>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</si>
  <si>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</si>
  <si>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</si>
  <si>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</si>
  <si>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</si>
  <si>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</si>
  <si>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</si>
  <si>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</si>
  <si>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</si>
  <si>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</si>
  <si>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</si>
  <si>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</si>
  <si>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</si>
  <si>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</si>
  <si>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</si>
  <si>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</si>
  <si>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</si>
  <si>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</si>
  <si>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</si>
  <si>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</si>
  <si>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</si>
  <si>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</si>
  <si>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</si>
  <si>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</si>
  <si>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</si>
  <si>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</si>
  <si>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</si>
  <si>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</si>
  <si>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</si>
  <si>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</si>
  <si>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</si>
  <si>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</si>
  <si>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</si>
  <si>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</si>
  <si>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</si>
  <si>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</si>
  <si>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</si>
  <si>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</si>
  <si>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</si>
  <si>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</si>
  <si>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</si>
  <si>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</si>
  <si>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</si>
  <si>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</si>
  <si>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</si>
  <si>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</si>
  <si>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</si>
  <si>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</si>
  <si>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</si>
  <si>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</si>
  <si>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</si>
  <si>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</si>
  <si>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</si>
  <si>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</si>
  <si>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</si>
  <si>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</si>
  <si>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</si>
  <si>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</si>
  <si>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</si>
  <si>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</si>
  <si>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</si>
  <si>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</si>
  <si>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</si>
  <si>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</si>
  <si>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</si>
  <si>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</si>
  <si>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</si>
  <si>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</si>
  <si>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</si>
  <si>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</si>
  <si>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</si>
  <si>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</si>
  <si>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</si>
  <si>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</si>
  <si>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</si>
  <si>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</si>
  <si>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</si>
  <si>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</si>
  <si>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</si>
  <si>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</si>
  <si>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</si>
  <si>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</si>
  <si>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</si>
  <si>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</si>
  <si>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</si>
  <si>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</si>
  <si>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</si>
  <si>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</si>
  <si>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44021</t>
  </si>
  <si>
    <t>GENT</t>
  </si>
  <si>
    <t>Paarden&amp;pony's 200 - 600 kg</t>
  </si>
  <si>
    <t>Paarden&amp;pony's &lt; 200 kg</t>
  </si>
  <si>
    <t>Fluvius</t>
  </si>
  <si>
    <t>referentietaak LNE (2017); Jaarverslag De Lijn</t>
  </si>
  <si>
    <t>interne verbrandingsmotor</t>
  </si>
  <si>
    <t>WKK interne verbrandinsgmotor (vloeibaar)</t>
  </si>
  <si>
    <t>IMEWO</t>
  </si>
  <si>
    <t>WKK interne verbrandinsgmotor (gas)</t>
  </si>
  <si>
    <t>stirlingmotor</t>
  </si>
  <si>
    <t>biogas - RWZI</t>
  </si>
  <si>
    <t>niet WKK interne verbrandingsmotor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</si>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</sst>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F544975-BCA1-4669-82BC-8FBAE4AE3BE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2089333.076442346</c:v>
                </c:pt>
                <c:pt idx="1">
                  <c:v>1592295.1997882123</c:v>
                </c:pt>
                <c:pt idx="2">
                  <c:v>14492.38</c:v>
                </c:pt>
                <c:pt idx="3">
                  <c:v>16371.669144909745</c:v>
                </c:pt>
                <c:pt idx="4">
                  <c:v>785622.99998284725</c:v>
                </c:pt>
                <c:pt idx="5">
                  <c:v>2164257.6060892195</c:v>
                </c:pt>
                <c:pt idx="6">
                  <c:v>46858.241674937053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2089333.076442346</c:v>
                </c:pt>
                <c:pt idx="1">
                  <c:v>1592295.1997882123</c:v>
                </c:pt>
                <c:pt idx="2">
                  <c:v>14492.38</c:v>
                </c:pt>
                <c:pt idx="3">
                  <c:v>16371.669144909745</c:v>
                </c:pt>
                <c:pt idx="4">
                  <c:v>785622.99998284725</c:v>
                </c:pt>
                <c:pt idx="5">
                  <c:v>2164257.6060892195</c:v>
                </c:pt>
                <c:pt idx="6">
                  <c:v>46858.241674937053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431726.77451825957</c:v>
                </c:pt>
                <c:pt idx="2">
                  <c:v>319236.95634842338</c:v>
                </c:pt>
                <c:pt idx="3">
                  <c:v>2907.53341971704</c:v>
                </c:pt>
                <c:pt idx="4">
                  <c:v>3895.1240401873206</c:v>
                </c:pt>
                <c:pt idx="5">
                  <c:v>159469.49834490381</c:v>
                </c:pt>
                <c:pt idx="6">
                  <c:v>543103.00353340246</c:v>
                </c:pt>
                <c:pt idx="7">
                  <c:v>11355.46423296612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431726.77451825957</c:v>
                </c:pt>
                <c:pt idx="2">
                  <c:v>319236.95634842338</c:v>
                </c:pt>
                <c:pt idx="3">
                  <c:v>2907.53341971704</c:v>
                </c:pt>
                <c:pt idx="4">
                  <c:v>3895.1240401873206</c:v>
                </c:pt>
                <c:pt idx="5">
                  <c:v>159469.49834490381</c:v>
                </c:pt>
                <c:pt idx="6">
                  <c:v>543103.00353340246</c:v>
                </c:pt>
                <c:pt idx="7">
                  <c:v>11355.46423296612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44021</v>
      </c>
      <c r="B6" s="383"/>
      <c r="C6" s="384"/>
    </row>
    <row r="7" spans="1:7" s="381" customFormat="1" ht="15.75" customHeight="1">
      <c r="A7" s="385" t="str">
        <f>txtMunicipality</f>
        <v>GENT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732141.29299999995</v>
      </c>
      <c r="D10" s="983">
        <f ca="1">tertiair!C16</f>
        <v>3539.4642857142858</v>
      </c>
      <c r="E10" s="983">
        <f ca="1">tertiair!D16</f>
        <v>710482.77204088366</v>
      </c>
      <c r="F10" s="983">
        <f>tertiair!E16</f>
        <v>5721.5270003776113</v>
      </c>
      <c r="G10" s="983">
        <f ca="1">tertiair!F16</f>
        <v>112514.24697300165</v>
      </c>
      <c r="H10" s="983">
        <f>tertiair!G16</f>
        <v>0</v>
      </c>
      <c r="I10" s="983">
        <f>tertiair!H16</f>
        <v>0</v>
      </c>
      <c r="J10" s="983">
        <f>tertiair!I16</f>
        <v>0</v>
      </c>
      <c r="K10" s="983">
        <f>tertiair!J16</f>
        <v>0</v>
      </c>
      <c r="L10" s="983">
        <f>tertiair!K16</f>
        <v>0</v>
      </c>
      <c r="M10" s="983">
        <f ca="1">tertiair!L16</f>
        <v>0</v>
      </c>
      <c r="N10" s="983">
        <f>tertiair!M16</f>
        <v>0</v>
      </c>
      <c r="O10" s="983">
        <f ca="1">tertiair!N16</f>
        <v>42064.75648823518</v>
      </c>
      <c r="P10" s="983">
        <f>tertiair!O16</f>
        <v>37.520000000000003</v>
      </c>
      <c r="Q10" s="984">
        <f>tertiair!P16</f>
        <v>286</v>
      </c>
      <c r="R10" s="667">
        <f ca="1">SUM(C10:Q10)</f>
        <v>1606787.5797882124</v>
      </c>
      <c r="S10" s="67"/>
    </row>
    <row r="11" spans="1:19" s="440" customFormat="1">
      <c r="A11" s="776" t="s">
        <v>214</v>
      </c>
      <c r="B11" s="781"/>
      <c r="C11" s="983">
        <f>huishoudens!B8</f>
        <v>386738.70030113281</v>
      </c>
      <c r="D11" s="983">
        <f>huishoudens!C8</f>
        <v>0</v>
      </c>
      <c r="E11" s="983">
        <f>huishoudens!D8</f>
        <v>997754.39592284558</v>
      </c>
      <c r="F11" s="983">
        <f>huishoudens!E8</f>
        <v>17124.952194531426</v>
      </c>
      <c r="G11" s="983">
        <f>huishoudens!F8</f>
        <v>540238.81522109744</v>
      </c>
      <c r="H11" s="983">
        <f>huishoudens!G8</f>
        <v>0</v>
      </c>
      <c r="I11" s="983">
        <f>huishoudens!H8</f>
        <v>0</v>
      </c>
      <c r="J11" s="983">
        <f>huishoudens!I8</f>
        <v>0</v>
      </c>
      <c r="K11" s="983">
        <f>huishoudens!J8</f>
        <v>12598.348762671621</v>
      </c>
      <c r="L11" s="983">
        <f>huishoudens!K8</f>
        <v>0</v>
      </c>
      <c r="M11" s="983">
        <f>huishoudens!L8</f>
        <v>0</v>
      </c>
      <c r="N11" s="983">
        <f>huishoudens!M8</f>
        <v>0</v>
      </c>
      <c r="O11" s="983">
        <f>huishoudens!N8</f>
        <v>130213.19404006717</v>
      </c>
      <c r="P11" s="983">
        <f>huishoudens!O8</f>
        <v>1671.2033333333334</v>
      </c>
      <c r="Q11" s="984">
        <f>huishoudens!P8</f>
        <v>2993.4666666666667</v>
      </c>
      <c r="R11" s="667">
        <f>SUM(C11:Q11)</f>
        <v>2089333.076442346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371216.08289999998</v>
      </c>
      <c r="D13" s="983">
        <f>industrie!C18</f>
        <v>11137.5</v>
      </c>
      <c r="E13" s="983">
        <f>industrie!D18</f>
        <v>284359.69630985655</v>
      </c>
      <c r="F13" s="983">
        <f>industrie!E18</f>
        <v>17387.881894585084</v>
      </c>
      <c r="G13" s="983">
        <f>industrie!F18</f>
        <v>82316.436816713045</v>
      </c>
      <c r="H13" s="983">
        <f>industrie!G18</f>
        <v>0</v>
      </c>
      <c r="I13" s="983">
        <f>industrie!H18</f>
        <v>0</v>
      </c>
      <c r="J13" s="983">
        <f>industrie!I18</f>
        <v>0</v>
      </c>
      <c r="K13" s="983">
        <f>industrie!J18</f>
        <v>1034.2355743648895</v>
      </c>
      <c r="L13" s="983">
        <f>industrie!K18</f>
        <v>0</v>
      </c>
      <c r="M13" s="983">
        <f>industrie!L18</f>
        <v>0</v>
      </c>
      <c r="N13" s="983">
        <f>industrie!M18</f>
        <v>0</v>
      </c>
      <c r="O13" s="983">
        <f>industrie!N18</f>
        <v>18171.16648732765</v>
      </c>
      <c r="P13" s="983">
        <f>industrie!O18</f>
        <v>0</v>
      </c>
      <c r="Q13" s="984">
        <f>industrie!P18</f>
        <v>0</v>
      </c>
      <c r="R13" s="667">
        <f>SUM(C13:Q13)</f>
        <v>785622.99998284725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1490096.0762011327</v>
      </c>
      <c r="D16" s="699">
        <f t="shared" ref="D16:R16" ca="1" si="0">SUM(D9:D15)</f>
        <v>14676.964285714286</v>
      </c>
      <c r="E16" s="699">
        <f t="shared" ca="1" si="0"/>
        <v>1992596.8642735858</v>
      </c>
      <c r="F16" s="699">
        <f t="shared" si="0"/>
        <v>40234.361089494123</v>
      </c>
      <c r="G16" s="699">
        <f t="shared" ca="1" si="0"/>
        <v>735069.49901081214</v>
      </c>
      <c r="H16" s="699">
        <f t="shared" si="0"/>
        <v>0</v>
      </c>
      <c r="I16" s="699">
        <f t="shared" si="0"/>
        <v>0</v>
      </c>
      <c r="J16" s="699">
        <f t="shared" si="0"/>
        <v>0</v>
      </c>
      <c r="K16" s="699">
        <f t="shared" si="0"/>
        <v>13632.584337036511</v>
      </c>
      <c r="L16" s="699">
        <f t="shared" si="0"/>
        <v>0</v>
      </c>
      <c r="M16" s="699">
        <f t="shared" ca="1" si="0"/>
        <v>0</v>
      </c>
      <c r="N16" s="699">
        <f t="shared" si="0"/>
        <v>0</v>
      </c>
      <c r="O16" s="699">
        <f t="shared" ca="1" si="0"/>
        <v>190449.11701563001</v>
      </c>
      <c r="P16" s="699">
        <f t="shared" si="0"/>
        <v>1708.7233333333334</v>
      </c>
      <c r="Q16" s="699">
        <f t="shared" si="0"/>
        <v>3279.4666666666667</v>
      </c>
      <c r="R16" s="699">
        <f t="shared" ca="1" si="0"/>
        <v>4481743.6562134055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9155.8691954961414</v>
      </c>
      <c r="D19" s="983">
        <f>transport!C54</f>
        <v>0</v>
      </c>
      <c r="E19" s="983">
        <f>transport!D54</f>
        <v>0</v>
      </c>
      <c r="F19" s="983">
        <f>transport!E54</f>
        <v>0</v>
      </c>
      <c r="G19" s="983">
        <f>transport!F54</f>
        <v>0</v>
      </c>
      <c r="H19" s="983">
        <f>transport!G54</f>
        <v>35650.06807635149</v>
      </c>
      <c r="I19" s="983">
        <f>transport!H54</f>
        <v>0</v>
      </c>
      <c r="J19" s="983">
        <f>transport!I54</f>
        <v>0</v>
      </c>
      <c r="K19" s="983">
        <f>transport!J54</f>
        <v>0</v>
      </c>
      <c r="L19" s="983">
        <f>transport!K54</f>
        <v>0</v>
      </c>
      <c r="M19" s="983">
        <f>transport!L54</f>
        <v>0</v>
      </c>
      <c r="N19" s="983">
        <f>transport!M54</f>
        <v>2052.3044030894234</v>
      </c>
      <c r="O19" s="983">
        <f>transport!N54</f>
        <v>0</v>
      </c>
      <c r="P19" s="983">
        <f>transport!O54</f>
        <v>0</v>
      </c>
      <c r="Q19" s="984">
        <f>transport!P54</f>
        <v>0</v>
      </c>
      <c r="R19" s="667">
        <f>SUM(C19:Q19)</f>
        <v>46858.241674937053</v>
      </c>
      <c r="S19" s="67"/>
    </row>
    <row r="20" spans="1:19" s="440" customFormat="1">
      <c r="A20" s="776" t="s">
        <v>296</v>
      </c>
      <c r="B20" s="781"/>
      <c r="C20" s="983">
        <f>transport!B14</f>
        <v>299.82506779553631</v>
      </c>
      <c r="D20" s="983">
        <f>transport!C14</f>
        <v>0</v>
      </c>
      <c r="E20" s="983">
        <f>transport!D14</f>
        <v>450.588031951848</v>
      </c>
      <c r="F20" s="983">
        <f>transport!E14</f>
        <v>4796.4832968305573</v>
      </c>
      <c r="G20" s="983">
        <f>transport!F14</f>
        <v>0</v>
      </c>
      <c r="H20" s="983">
        <f>transport!G14</f>
        <v>1782757.0936414211</v>
      </c>
      <c r="I20" s="983">
        <f>transport!H14</f>
        <v>264525.64916729339</v>
      </c>
      <c r="J20" s="983">
        <f>transport!I14</f>
        <v>0</v>
      </c>
      <c r="K20" s="983">
        <f>transport!J14</f>
        <v>0</v>
      </c>
      <c r="L20" s="983">
        <f>transport!K14</f>
        <v>0</v>
      </c>
      <c r="M20" s="983">
        <f>transport!L14</f>
        <v>0</v>
      </c>
      <c r="N20" s="983">
        <f>transport!M14</f>
        <v>111427.96688392696</v>
      </c>
      <c r="O20" s="983">
        <f>transport!N14</f>
        <v>0</v>
      </c>
      <c r="P20" s="983">
        <f>transport!O14</f>
        <v>0</v>
      </c>
      <c r="Q20" s="984">
        <f>transport!P14</f>
        <v>0</v>
      </c>
      <c r="R20" s="667">
        <f>SUM(C20:Q20)</f>
        <v>2164257.6060892195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9455.694263291678</v>
      </c>
      <c r="D22" s="779">
        <f t="shared" ref="D22:R22" si="1">SUM(D18:D21)</f>
        <v>0</v>
      </c>
      <c r="E22" s="779">
        <f t="shared" si="1"/>
        <v>450.588031951848</v>
      </c>
      <c r="F22" s="779">
        <f t="shared" si="1"/>
        <v>4796.4832968305573</v>
      </c>
      <c r="G22" s="779">
        <f t="shared" si="1"/>
        <v>0</v>
      </c>
      <c r="H22" s="779">
        <f t="shared" si="1"/>
        <v>1818407.1617177725</v>
      </c>
      <c r="I22" s="779">
        <f t="shared" si="1"/>
        <v>264525.64916729339</v>
      </c>
      <c r="J22" s="779">
        <f t="shared" si="1"/>
        <v>0</v>
      </c>
      <c r="K22" s="779">
        <f t="shared" si="1"/>
        <v>0</v>
      </c>
      <c r="L22" s="779">
        <f t="shared" si="1"/>
        <v>0</v>
      </c>
      <c r="M22" s="779">
        <f t="shared" si="1"/>
        <v>0</v>
      </c>
      <c r="N22" s="779">
        <f t="shared" si="1"/>
        <v>113480.27128701638</v>
      </c>
      <c r="O22" s="779">
        <f t="shared" si="1"/>
        <v>0</v>
      </c>
      <c r="P22" s="779">
        <f t="shared" si="1"/>
        <v>0</v>
      </c>
      <c r="Q22" s="779">
        <f t="shared" si="1"/>
        <v>0</v>
      </c>
      <c r="R22" s="779">
        <f t="shared" si="1"/>
        <v>2211115.8477641563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3162.0052000000001</v>
      </c>
      <c r="D24" s="983">
        <f>+landbouw!C8</f>
        <v>39.375</v>
      </c>
      <c r="E24" s="983">
        <f>+landbouw!D8</f>
        <v>4633.6208893643607</v>
      </c>
      <c r="F24" s="983">
        <f>+landbouw!E8</f>
        <v>29.287816531916359</v>
      </c>
      <c r="G24" s="983">
        <f>+landbouw!F8</f>
        <v>8022.6095537724459</v>
      </c>
      <c r="H24" s="983">
        <f>+landbouw!G8</f>
        <v>0</v>
      </c>
      <c r="I24" s="983">
        <f>+landbouw!H8</f>
        <v>0</v>
      </c>
      <c r="J24" s="983">
        <f>+landbouw!I8</f>
        <v>0</v>
      </c>
      <c r="K24" s="983">
        <f>+landbouw!J8</f>
        <v>484.77068524102373</v>
      </c>
      <c r="L24" s="983">
        <f>+landbouw!K8</f>
        <v>0</v>
      </c>
      <c r="M24" s="983">
        <f>+landbouw!L8</f>
        <v>0</v>
      </c>
      <c r="N24" s="983">
        <f>+landbouw!M8</f>
        <v>0</v>
      </c>
      <c r="O24" s="983">
        <f>+landbouw!N8</f>
        <v>0</v>
      </c>
      <c r="P24" s="983">
        <f>+landbouw!O8</f>
        <v>0</v>
      </c>
      <c r="Q24" s="984">
        <f>+landbouw!P8</f>
        <v>0</v>
      </c>
      <c r="R24" s="667">
        <f>SUM(C24:Q24)</f>
        <v>16371.669144909745</v>
      </c>
      <c r="S24" s="67"/>
    </row>
    <row r="25" spans="1:19" s="440" customFormat="1" ht="15" thickBot="1">
      <c r="A25" s="798" t="s">
        <v>829</v>
      </c>
      <c r="B25" s="986"/>
      <c r="C25" s="987">
        <f>IF(Onbekend_ele_kWh="---",0,Onbekend_ele_kWh)/1000+IF(REST_rest_ele_kWh="---",0,REST_rest_ele_kWh)/1000</f>
        <v>25851.044999999998</v>
      </c>
      <c r="D25" s="987"/>
      <c r="E25" s="987">
        <f>IF(onbekend_gas_kWh="---",0,onbekend_gas_kWh)/1000+IF(REST_rest_gas_kWh="---",0,REST_rest_gas_kWh)/1000</f>
        <v>81595.012323919596</v>
      </c>
      <c r="F25" s="987"/>
      <c r="G25" s="987"/>
      <c r="H25" s="987"/>
      <c r="I25" s="987"/>
      <c r="J25" s="987"/>
      <c r="K25" s="987"/>
      <c r="L25" s="987"/>
      <c r="M25" s="987"/>
      <c r="N25" s="987"/>
      <c r="O25" s="987"/>
      <c r="P25" s="987"/>
      <c r="Q25" s="988"/>
      <c r="R25" s="667">
        <f>SUM(C25:Q25)</f>
        <v>107446.05732391959</v>
      </c>
      <c r="S25" s="67"/>
    </row>
    <row r="26" spans="1:19" s="440" customFormat="1" ht="15.75" thickBot="1">
      <c r="A26" s="672" t="s">
        <v>830</v>
      </c>
      <c r="B26" s="784"/>
      <c r="C26" s="779">
        <f>SUM(C24:C25)</f>
        <v>29013.050199999998</v>
      </c>
      <c r="D26" s="779">
        <f t="shared" ref="D26:R26" si="2">SUM(D24:D25)</f>
        <v>39.375</v>
      </c>
      <c r="E26" s="779">
        <f t="shared" si="2"/>
        <v>86228.63321328396</v>
      </c>
      <c r="F26" s="779">
        <f t="shared" si="2"/>
        <v>29.287816531916359</v>
      </c>
      <c r="G26" s="779">
        <f t="shared" si="2"/>
        <v>8022.6095537724459</v>
      </c>
      <c r="H26" s="779">
        <f t="shared" si="2"/>
        <v>0</v>
      </c>
      <c r="I26" s="779">
        <f t="shared" si="2"/>
        <v>0</v>
      </c>
      <c r="J26" s="779">
        <f t="shared" si="2"/>
        <v>0</v>
      </c>
      <c r="K26" s="779">
        <f t="shared" si="2"/>
        <v>484.77068524102373</v>
      </c>
      <c r="L26" s="779">
        <f t="shared" si="2"/>
        <v>0</v>
      </c>
      <c r="M26" s="779">
        <f t="shared" si="2"/>
        <v>0</v>
      </c>
      <c r="N26" s="779">
        <f t="shared" si="2"/>
        <v>0</v>
      </c>
      <c r="O26" s="779">
        <f t="shared" si="2"/>
        <v>0</v>
      </c>
      <c r="P26" s="779">
        <f t="shared" si="2"/>
        <v>0</v>
      </c>
      <c r="Q26" s="779">
        <f t="shared" si="2"/>
        <v>0</v>
      </c>
      <c r="R26" s="779">
        <f t="shared" si="2"/>
        <v>123817.72646882934</v>
      </c>
      <c r="S26" s="67"/>
    </row>
    <row r="27" spans="1:19" s="440" customFormat="1" ht="17.25" thickTop="1" thickBot="1">
      <c r="A27" s="673" t="s">
        <v>109</v>
      </c>
      <c r="B27" s="772"/>
      <c r="C27" s="674">
        <f ca="1">C22+C16+C26</f>
        <v>1528564.8206644244</v>
      </c>
      <c r="D27" s="674">
        <f t="shared" ref="D27:R27" ca="1" si="3">D22+D16+D26</f>
        <v>14716.339285714286</v>
      </c>
      <c r="E27" s="674">
        <f t="shared" ca="1" si="3"/>
        <v>2079276.0855188216</v>
      </c>
      <c r="F27" s="674">
        <f t="shared" si="3"/>
        <v>45060.132202856599</v>
      </c>
      <c r="G27" s="674">
        <f t="shared" ca="1" si="3"/>
        <v>743092.10856458463</v>
      </c>
      <c r="H27" s="674">
        <f t="shared" si="3"/>
        <v>1818407.1617177725</v>
      </c>
      <c r="I27" s="674">
        <f t="shared" si="3"/>
        <v>264525.64916729339</v>
      </c>
      <c r="J27" s="674">
        <f t="shared" si="3"/>
        <v>0</v>
      </c>
      <c r="K27" s="674">
        <f t="shared" si="3"/>
        <v>14117.355022277534</v>
      </c>
      <c r="L27" s="674">
        <f t="shared" si="3"/>
        <v>0</v>
      </c>
      <c r="M27" s="674">
        <f t="shared" ca="1" si="3"/>
        <v>0</v>
      </c>
      <c r="N27" s="674">
        <f t="shared" si="3"/>
        <v>113480.27128701638</v>
      </c>
      <c r="O27" s="674">
        <f t="shared" ca="1" si="3"/>
        <v>190449.11701563001</v>
      </c>
      <c r="P27" s="674">
        <f t="shared" si="3"/>
        <v>1708.7233333333334</v>
      </c>
      <c r="Q27" s="674">
        <f t="shared" si="3"/>
        <v>3279.4666666666667</v>
      </c>
      <c r="R27" s="674">
        <f t="shared" ca="1" si="3"/>
        <v>6816677.2304463908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146885.83085403126</v>
      </c>
      <c r="D40" s="983">
        <f ca="1">tertiair!C20</f>
        <v>401.04839097349179</v>
      </c>
      <c r="E40" s="983">
        <f ca="1">tertiair!D20</f>
        <v>143517.5199522585</v>
      </c>
      <c r="F40" s="983">
        <f>tertiair!E20</f>
        <v>1298.7866290857178</v>
      </c>
      <c r="G40" s="983">
        <f ca="1">tertiair!F20</f>
        <v>30041.303941791441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322144.48976814048</v>
      </c>
    </row>
    <row r="41" spans="1:18">
      <c r="A41" s="789" t="s">
        <v>214</v>
      </c>
      <c r="B41" s="796"/>
      <c r="C41" s="983">
        <f ca="1">huishoudens!B12</f>
        <v>77589.443267667302</v>
      </c>
      <c r="D41" s="983">
        <f ca="1">huishoudens!C12</f>
        <v>0</v>
      </c>
      <c r="E41" s="983">
        <f>huishoudens!D12</f>
        <v>201546.38797641482</v>
      </c>
      <c r="F41" s="983">
        <f>huishoudens!E12</f>
        <v>3887.3641481586337</v>
      </c>
      <c r="G41" s="983">
        <f>huishoudens!F12</f>
        <v>144243.76366403303</v>
      </c>
      <c r="H41" s="983">
        <f>huishoudens!G12</f>
        <v>0</v>
      </c>
      <c r="I41" s="983">
        <f>huishoudens!H12</f>
        <v>0</v>
      </c>
      <c r="J41" s="983">
        <f>huishoudens!I12</f>
        <v>0</v>
      </c>
      <c r="K41" s="983">
        <f>huishoudens!J12</f>
        <v>4459.8154619857542</v>
      </c>
      <c r="L41" s="983">
        <f>huishoudens!K12</f>
        <v>0</v>
      </c>
      <c r="M41" s="983">
        <f>huishoudens!L12</f>
        <v>0</v>
      </c>
      <c r="N41" s="983">
        <f>huishoudens!M12</f>
        <v>0</v>
      </c>
      <c r="O41" s="983">
        <f>huishoudens!N12</f>
        <v>0</v>
      </c>
      <c r="P41" s="983">
        <f>huishoudens!O12</f>
        <v>0</v>
      </c>
      <c r="Q41" s="741">
        <f>huishoudens!P12</f>
        <v>0</v>
      </c>
      <c r="R41" s="817">
        <f t="shared" ca="1" si="4"/>
        <v>431726.77451825957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74475.218491938605</v>
      </c>
      <c r="D43" s="983">
        <f ca="1">industrie!C22</f>
        <v>1261.9639849158309</v>
      </c>
      <c r="E43" s="983">
        <f>industrie!D22</f>
        <v>57440.658654591025</v>
      </c>
      <c r="F43" s="983">
        <f>industrie!E22</f>
        <v>3947.0491900708139</v>
      </c>
      <c r="G43" s="983">
        <f>industrie!F22</f>
        <v>21978.488630062384</v>
      </c>
      <c r="H43" s="983">
        <f>industrie!G22</f>
        <v>0</v>
      </c>
      <c r="I43" s="983">
        <f>industrie!H22</f>
        <v>0</v>
      </c>
      <c r="J43" s="983">
        <f>industrie!I22</f>
        <v>0</v>
      </c>
      <c r="K43" s="983">
        <f>industrie!J22</f>
        <v>366.1193933251709</v>
      </c>
      <c r="L43" s="983">
        <f>industrie!K22</f>
        <v>0</v>
      </c>
      <c r="M43" s="983">
        <f>industrie!L22</f>
        <v>0</v>
      </c>
      <c r="N43" s="983">
        <f>industrie!M22</f>
        <v>0</v>
      </c>
      <c r="O43" s="983">
        <f>industrie!N22</f>
        <v>0</v>
      </c>
      <c r="P43" s="983">
        <f>industrie!O22</f>
        <v>0</v>
      </c>
      <c r="Q43" s="741">
        <f>industrie!P22</f>
        <v>0</v>
      </c>
      <c r="R43" s="816">
        <f t="shared" ca="1" si="4"/>
        <v>159469.49834490381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298950.49261363718</v>
      </c>
      <c r="D46" s="699">
        <f t="shared" ref="D46:Q46" ca="1" si="5">SUM(D39:D45)</f>
        <v>1663.0123758893228</v>
      </c>
      <c r="E46" s="699">
        <f t="shared" ca="1" si="5"/>
        <v>402504.56658326433</v>
      </c>
      <c r="F46" s="699">
        <f t="shared" si="5"/>
        <v>9133.1999673151658</v>
      </c>
      <c r="G46" s="699">
        <f t="shared" ca="1" si="5"/>
        <v>196263.55623588685</v>
      </c>
      <c r="H46" s="699">
        <f t="shared" si="5"/>
        <v>0</v>
      </c>
      <c r="I46" s="699">
        <f t="shared" si="5"/>
        <v>0</v>
      </c>
      <c r="J46" s="699">
        <f t="shared" si="5"/>
        <v>0</v>
      </c>
      <c r="K46" s="699">
        <f t="shared" si="5"/>
        <v>4825.9348553109248</v>
      </c>
      <c r="L46" s="699">
        <f t="shared" si="5"/>
        <v>0</v>
      </c>
      <c r="M46" s="699">
        <f t="shared" ca="1" si="5"/>
        <v>0</v>
      </c>
      <c r="N46" s="699">
        <f t="shared" si="5"/>
        <v>0</v>
      </c>
      <c r="O46" s="699">
        <f t="shared" ca="1" si="5"/>
        <v>0</v>
      </c>
      <c r="P46" s="699">
        <f t="shared" si="5"/>
        <v>0</v>
      </c>
      <c r="Q46" s="699">
        <f t="shared" si="5"/>
        <v>0</v>
      </c>
      <c r="R46" s="699">
        <f ca="1">SUM(R39:R45)</f>
        <v>913340.76263130386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1836.896056580272</v>
      </c>
      <c r="D49" s="983">
        <f ca="1">transport!C58</f>
        <v>0</v>
      </c>
      <c r="E49" s="983">
        <f>transport!D58</f>
        <v>0</v>
      </c>
      <c r="F49" s="983">
        <f>transport!E58</f>
        <v>0</v>
      </c>
      <c r="G49" s="983">
        <f>transport!F58</f>
        <v>0</v>
      </c>
      <c r="H49" s="983">
        <f>transport!G58</f>
        <v>9518.5681763858483</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11355.46423296612</v>
      </c>
    </row>
    <row r="50" spans="1:18">
      <c r="A50" s="792" t="s">
        <v>296</v>
      </c>
      <c r="B50" s="802"/>
      <c r="C50" s="670">
        <f ca="1">transport!B18</f>
        <v>60.152397652038459</v>
      </c>
      <c r="D50" s="670">
        <f>transport!C18</f>
        <v>0</v>
      </c>
      <c r="E50" s="670">
        <f>transport!D18</f>
        <v>91.018782454273307</v>
      </c>
      <c r="F50" s="670">
        <f>transport!E18</f>
        <v>1088.8017083805366</v>
      </c>
      <c r="G50" s="670">
        <f>transport!F18</f>
        <v>0</v>
      </c>
      <c r="H50" s="670">
        <f>transport!G18</f>
        <v>475996.14400225948</v>
      </c>
      <c r="I50" s="670">
        <f>transport!H18</f>
        <v>65866.886642656056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543103.00353340246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1897.0484542323104</v>
      </c>
      <c r="D52" s="699">
        <f t="shared" ref="D52:Q52" ca="1" si="6">SUM(D48:D51)</f>
        <v>0</v>
      </c>
      <c r="E52" s="699">
        <f t="shared" si="6"/>
        <v>91.018782454273307</v>
      </c>
      <c r="F52" s="699">
        <f t="shared" si="6"/>
        <v>1088.8017083805366</v>
      </c>
      <c r="G52" s="699">
        <f t="shared" si="6"/>
        <v>0</v>
      </c>
      <c r="H52" s="699">
        <f t="shared" si="6"/>
        <v>485514.71217864531</v>
      </c>
      <c r="I52" s="699">
        <f t="shared" si="6"/>
        <v>65866.886642656056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554458.46776636853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634.37722391484795</v>
      </c>
      <c r="D54" s="670">
        <f ca="1">+landbouw!C12</f>
        <v>4.4614888355610187</v>
      </c>
      <c r="E54" s="670">
        <f>+landbouw!D12</f>
        <v>935.99141965160095</v>
      </c>
      <c r="F54" s="670">
        <f>+landbouw!E12</f>
        <v>6.6483343527450138</v>
      </c>
      <c r="G54" s="670">
        <f>+landbouw!F12</f>
        <v>2142.0367508572431</v>
      </c>
      <c r="H54" s="670">
        <f>+landbouw!G12</f>
        <v>0</v>
      </c>
      <c r="I54" s="670">
        <f>+landbouw!H12</f>
        <v>0</v>
      </c>
      <c r="J54" s="670">
        <f>+landbouw!I12</f>
        <v>0</v>
      </c>
      <c r="K54" s="670">
        <f>+landbouw!J12</f>
        <v>171.60882257532239</v>
      </c>
      <c r="L54" s="670">
        <f>+landbouw!K12</f>
        <v>0</v>
      </c>
      <c r="M54" s="670">
        <f>+landbouw!L12</f>
        <v>0</v>
      </c>
      <c r="N54" s="670">
        <f>+landbouw!M12</f>
        <v>0</v>
      </c>
      <c r="O54" s="670">
        <f>+landbouw!N12</f>
        <v>0</v>
      </c>
      <c r="P54" s="670">
        <f>+landbouw!O12</f>
        <v>0</v>
      </c>
      <c r="Q54" s="671">
        <f>+landbouw!P12</f>
        <v>0</v>
      </c>
      <c r="R54" s="698">
        <f ca="1">SUM(C54:Q54)</f>
        <v>3895.1240401873206</v>
      </c>
    </row>
    <row r="55" spans="1:18" ht="15" thickBot="1">
      <c r="A55" s="792" t="s">
        <v>829</v>
      </c>
      <c r="B55" s="802"/>
      <c r="C55" s="670">
        <f ca="1">C25*'EF ele_warmte'!B12</f>
        <v>5186.365336273896</v>
      </c>
      <c r="D55" s="670"/>
      <c r="E55" s="670">
        <f>E25*EF_CO2_aardgas</f>
        <v>16482.19248943176</v>
      </c>
      <c r="F55" s="670"/>
      <c r="G55" s="670"/>
      <c r="H55" s="670"/>
      <c r="I55" s="670"/>
      <c r="J55" s="670"/>
      <c r="K55" s="670"/>
      <c r="L55" s="670"/>
      <c r="M55" s="670"/>
      <c r="N55" s="670"/>
      <c r="O55" s="670"/>
      <c r="P55" s="670"/>
      <c r="Q55" s="671"/>
      <c r="R55" s="698">
        <f ca="1">SUM(C55:Q55)</f>
        <v>21668.557825705655</v>
      </c>
    </row>
    <row r="56" spans="1:18" ht="15.75" thickBot="1">
      <c r="A56" s="790" t="s">
        <v>830</v>
      </c>
      <c r="B56" s="803"/>
      <c r="C56" s="699">
        <f ca="1">SUM(C54:C55)</f>
        <v>5820.7425601887444</v>
      </c>
      <c r="D56" s="699">
        <f t="shared" ref="D56:Q56" ca="1" si="7">SUM(D54:D55)</f>
        <v>4.4614888355610187</v>
      </c>
      <c r="E56" s="699">
        <f t="shared" si="7"/>
        <v>17418.18390908336</v>
      </c>
      <c r="F56" s="699">
        <f t="shared" si="7"/>
        <v>6.6483343527450138</v>
      </c>
      <c r="G56" s="699">
        <f t="shared" si="7"/>
        <v>2142.0367508572431</v>
      </c>
      <c r="H56" s="699">
        <f t="shared" si="7"/>
        <v>0</v>
      </c>
      <c r="I56" s="699">
        <f t="shared" si="7"/>
        <v>0</v>
      </c>
      <c r="J56" s="699">
        <f t="shared" si="7"/>
        <v>0</v>
      </c>
      <c r="K56" s="699">
        <f t="shared" si="7"/>
        <v>171.60882257532239</v>
      </c>
      <c r="L56" s="699">
        <f t="shared" si="7"/>
        <v>0</v>
      </c>
      <c r="M56" s="699">
        <f t="shared" si="7"/>
        <v>0</v>
      </c>
      <c r="N56" s="699">
        <f t="shared" si="7"/>
        <v>0</v>
      </c>
      <c r="O56" s="699">
        <f t="shared" si="7"/>
        <v>0</v>
      </c>
      <c r="P56" s="699">
        <f t="shared" si="7"/>
        <v>0</v>
      </c>
      <c r="Q56" s="700">
        <f t="shared" si="7"/>
        <v>0</v>
      </c>
      <c r="R56" s="701">
        <f ca="1">SUM(R54:R55)</f>
        <v>25563.681865892977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306668.28362805827</v>
      </c>
      <c r="D61" s="707">
        <f t="shared" ref="D61:Q61" ca="1" si="8">D46+D52+D56</f>
        <v>1667.4738647248839</v>
      </c>
      <c r="E61" s="707">
        <f t="shared" ca="1" si="8"/>
        <v>420013.76927480195</v>
      </c>
      <c r="F61" s="707">
        <f t="shared" si="8"/>
        <v>10228.650010048448</v>
      </c>
      <c r="G61" s="707">
        <f t="shared" ca="1" si="8"/>
        <v>198405.5929867441</v>
      </c>
      <c r="H61" s="707">
        <f t="shared" si="8"/>
        <v>485514.71217864531</v>
      </c>
      <c r="I61" s="707">
        <f t="shared" si="8"/>
        <v>65866.886642656056</v>
      </c>
      <c r="J61" s="707">
        <f t="shared" si="8"/>
        <v>0</v>
      </c>
      <c r="K61" s="707">
        <f t="shared" si="8"/>
        <v>4997.5436778862477</v>
      </c>
      <c r="L61" s="707">
        <f t="shared" si="8"/>
        <v>0</v>
      </c>
      <c r="M61" s="707">
        <f t="shared" ca="1" si="8"/>
        <v>0</v>
      </c>
      <c r="N61" s="707">
        <f t="shared" si="8"/>
        <v>0</v>
      </c>
      <c r="O61" s="707">
        <f t="shared" ca="1" si="8"/>
        <v>0</v>
      </c>
      <c r="P61" s="707">
        <f t="shared" si="8"/>
        <v>0</v>
      </c>
      <c r="Q61" s="707">
        <f t="shared" si="8"/>
        <v>0</v>
      </c>
      <c r="R61" s="707">
        <f ca="1">R46+R52+R56</f>
        <v>1493362.9122635655</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0.20062497807241053</v>
      </c>
      <c r="D63" s="748">
        <f t="shared" ca="1" si="9"/>
        <v>0.11330765296662905</v>
      </c>
      <c r="E63" s="994">
        <f t="shared" ca="1" si="9"/>
        <v>0.20199999999999999</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79800.895603954152</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53225.706646131686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7259.1423685566006</v>
      </c>
      <c r="C76" s="717">
        <f>'lokale energieproductie'!B8*IFERROR(SUM(D76:H76)/SUM(D76:O76),0)</f>
        <v>5136.6701314434004</v>
      </c>
      <c r="D76" s="1004">
        <f>'lokale energieproductie'!C8</f>
        <v>3213.9065150510728</v>
      </c>
      <c r="E76" s="1005">
        <f>'lokale energieproductie'!D8</f>
        <v>0</v>
      </c>
      <c r="F76" s="1005">
        <f>'lokale energieproductie'!E8</f>
        <v>2828.9561983111817</v>
      </c>
      <c r="G76" s="1005">
        <f>'lokale energieproductie'!F8</f>
        <v>0</v>
      </c>
      <c r="H76" s="1005">
        <f>'lokale energieproductie'!G8</f>
        <v>0</v>
      </c>
      <c r="I76" s="1005">
        <f>'lokale energieproductie'!I8</f>
        <v>8539.7737498110528</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1404.5404209894023</v>
      </c>
      <c r="R76" s="819">
        <v>0</v>
      </c>
    </row>
    <row r="77" spans="1:18" ht="30.75" thickBot="1">
      <c r="A77" s="720" t="s">
        <v>340</v>
      </c>
      <c r="B77" s="717">
        <f>'lokale energieproductie'!B9*IFERROR(SUM(I77:O77)/SUM(D77:O77),0)</f>
        <v>1858.5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5310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142144.24461864246</v>
      </c>
      <c r="C78" s="722">
        <f>SUM(C72:C77)</f>
        <v>5136.6701314434004</v>
      </c>
      <c r="D78" s="723">
        <f t="shared" ref="D78:H78" si="10">SUM(D76:D77)</f>
        <v>3213.9065150510728</v>
      </c>
      <c r="E78" s="723">
        <f t="shared" si="10"/>
        <v>0</v>
      </c>
      <c r="F78" s="723">
        <f t="shared" si="10"/>
        <v>2828.9561983111817</v>
      </c>
      <c r="G78" s="723">
        <f t="shared" si="10"/>
        <v>0</v>
      </c>
      <c r="H78" s="723">
        <f t="shared" si="10"/>
        <v>0</v>
      </c>
      <c r="I78" s="723">
        <f>SUM(I76:I77)</f>
        <v>8539.7737498110528</v>
      </c>
      <c r="J78" s="723">
        <f>SUM(J76:J77)</f>
        <v>5310</v>
      </c>
      <c r="K78" s="723">
        <f t="shared" ref="K78:L78" si="11">SUM(K76:K77)</f>
        <v>0</v>
      </c>
      <c r="L78" s="723">
        <f t="shared" si="11"/>
        <v>0</v>
      </c>
      <c r="M78" s="723">
        <f>SUM(M76:M77)</f>
        <v>0</v>
      </c>
      <c r="N78" s="723">
        <f>SUM(N76:N77)</f>
        <v>0</v>
      </c>
      <c r="O78" s="827">
        <f>SUM(O76:O77)</f>
        <v>0</v>
      </c>
      <c r="P78" s="724">
        <v>0</v>
      </c>
      <c r="Q78" s="724">
        <f>SUM(Q76:Q77)</f>
        <v>1404.5404209894023</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8618.0717898873154</v>
      </c>
      <c r="C87" s="733">
        <f>'lokale energieproductie'!B17*IFERROR(SUM(D87:H87)/SUM(D87:O87),0)</f>
        <v>6098.2674958269727</v>
      </c>
      <c r="D87" s="744">
        <f>'lokale energieproductie'!C17</f>
        <v>3815.5577706632134</v>
      </c>
      <c r="E87" s="744">
        <f>'lokale energieproductie'!D17</f>
        <v>0</v>
      </c>
      <c r="F87" s="744">
        <f>'lokale energieproductie'!E17</f>
        <v>3358.5438016888183</v>
      </c>
      <c r="G87" s="744">
        <f>'lokale energieproductie'!F17</f>
        <v>0</v>
      </c>
      <c r="H87" s="744">
        <f>'lokale energieproductie'!G17</f>
        <v>0</v>
      </c>
      <c r="I87" s="744">
        <f>'lokale energieproductie'!I17</f>
        <v>10138.440535903233</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1667.4738647248837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8618.0717898873154</v>
      </c>
      <c r="C90" s="722">
        <f>SUM(C87:C89)</f>
        <v>6098.2674958269727</v>
      </c>
      <c r="D90" s="722">
        <f t="shared" ref="D90:H90" si="12">SUM(D87:D89)</f>
        <v>3815.5577706632134</v>
      </c>
      <c r="E90" s="722">
        <f t="shared" si="12"/>
        <v>0</v>
      </c>
      <c r="F90" s="722">
        <f t="shared" si="12"/>
        <v>3358.5438016888183</v>
      </c>
      <c r="G90" s="722">
        <f t="shared" si="12"/>
        <v>0</v>
      </c>
      <c r="H90" s="722">
        <f t="shared" si="12"/>
        <v>0</v>
      </c>
      <c r="I90" s="722">
        <f>SUM(I87:I89)</f>
        <v>10138.440535903233</v>
      </c>
      <c r="J90" s="722">
        <f>SUM(J87:J89)</f>
        <v>0</v>
      </c>
      <c r="K90" s="722">
        <f t="shared" ref="K90:L90" si="13">SUM(K87:K89)</f>
        <v>0</v>
      </c>
      <c r="L90" s="722">
        <f t="shared" si="13"/>
        <v>0</v>
      </c>
      <c r="M90" s="722">
        <f>SUM(M87:M89)</f>
        <v>0</v>
      </c>
      <c r="N90" s="722">
        <f>SUM(N87:N89)</f>
        <v>0</v>
      </c>
      <c r="O90" s="722">
        <f>SUM(O87:O89)</f>
        <v>0</v>
      </c>
      <c r="P90" s="722">
        <v>0</v>
      </c>
      <c r="Q90" s="722">
        <f>SUM(Q87:Q89)</f>
        <v>1667.4738647248837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386738.70030113281</v>
      </c>
      <c r="C4" s="444">
        <f>huishoudens!C8</f>
        <v>0</v>
      </c>
      <c r="D4" s="444">
        <f>huishoudens!D8</f>
        <v>997754.39592284558</v>
      </c>
      <c r="E4" s="444">
        <f>huishoudens!E8</f>
        <v>17124.952194531426</v>
      </c>
      <c r="F4" s="444">
        <f>huishoudens!F8</f>
        <v>540238.81522109744</v>
      </c>
      <c r="G4" s="444">
        <f>huishoudens!G8</f>
        <v>0</v>
      </c>
      <c r="H4" s="444">
        <f>huishoudens!H8</f>
        <v>0</v>
      </c>
      <c r="I4" s="444">
        <f>huishoudens!I8</f>
        <v>0</v>
      </c>
      <c r="J4" s="444">
        <f>huishoudens!J8</f>
        <v>12598.348762671621</v>
      </c>
      <c r="K4" s="444">
        <f>huishoudens!K8</f>
        <v>0</v>
      </c>
      <c r="L4" s="444">
        <f>huishoudens!L8</f>
        <v>0</v>
      </c>
      <c r="M4" s="444">
        <f>huishoudens!M8</f>
        <v>0</v>
      </c>
      <c r="N4" s="444">
        <f>huishoudens!N8</f>
        <v>130213.19404006717</v>
      </c>
      <c r="O4" s="444">
        <f>huishoudens!O8</f>
        <v>1671.2033333333334</v>
      </c>
      <c r="P4" s="445">
        <f>huishoudens!P8</f>
        <v>2993.4666666666667</v>
      </c>
      <c r="Q4" s="446">
        <f>SUM(B4:P4)</f>
        <v>2089333.076442346</v>
      </c>
    </row>
    <row r="5" spans="1:17">
      <c r="A5" s="443" t="s">
        <v>149</v>
      </c>
      <c r="B5" s="444">
        <f ca="1">tertiair!B16</f>
        <v>717648.91299999994</v>
      </c>
      <c r="C5" s="444">
        <f ca="1">tertiair!C16</f>
        <v>3539.4642857142858</v>
      </c>
      <c r="D5" s="444">
        <f ca="1">tertiair!D16</f>
        <v>710482.77204088366</v>
      </c>
      <c r="E5" s="444">
        <f>tertiair!E16</f>
        <v>5721.5270003776113</v>
      </c>
      <c r="F5" s="444">
        <f ca="1">tertiair!F16</f>
        <v>112514.24697300165</v>
      </c>
      <c r="G5" s="444">
        <f>tertiair!G16</f>
        <v>0</v>
      </c>
      <c r="H5" s="444">
        <f>tertiair!H16</f>
        <v>0</v>
      </c>
      <c r="I5" s="444">
        <f>tertiair!I16</f>
        <v>0</v>
      </c>
      <c r="J5" s="444">
        <f>tertiair!J16</f>
        <v>0</v>
      </c>
      <c r="K5" s="444">
        <f>tertiair!K16</f>
        <v>0</v>
      </c>
      <c r="L5" s="444">
        <f ca="1">tertiair!L16</f>
        <v>0</v>
      </c>
      <c r="M5" s="444">
        <f>tertiair!M16</f>
        <v>0</v>
      </c>
      <c r="N5" s="444">
        <f ca="1">tertiair!N16</f>
        <v>42064.75648823518</v>
      </c>
      <c r="O5" s="444">
        <f>tertiair!O16</f>
        <v>37.520000000000003</v>
      </c>
      <c r="P5" s="445">
        <f>tertiair!P16</f>
        <v>286</v>
      </c>
      <c r="Q5" s="443">
        <f t="shared" ref="Q5:Q14" ca="1" si="0">SUM(B5:P5)</f>
        <v>1592295.1997882123</v>
      </c>
    </row>
    <row r="6" spans="1:17">
      <c r="A6" s="443" t="s">
        <v>187</v>
      </c>
      <c r="B6" s="444">
        <f>'openbare verlichting'!B8</f>
        <v>14492.38</v>
      </c>
      <c r="C6" s="444"/>
      <c r="D6" s="444"/>
      <c r="E6" s="444"/>
      <c r="F6" s="444"/>
      <c r="G6" s="444"/>
      <c r="H6" s="444"/>
      <c r="I6" s="444"/>
      <c r="J6" s="444"/>
      <c r="K6" s="444"/>
      <c r="L6" s="444"/>
      <c r="M6" s="444"/>
      <c r="N6" s="444"/>
      <c r="O6" s="444"/>
      <c r="P6" s="445"/>
      <c r="Q6" s="443">
        <f t="shared" si="0"/>
        <v>14492.38</v>
      </c>
    </row>
    <row r="7" spans="1:17">
      <c r="A7" s="443" t="s">
        <v>105</v>
      </c>
      <c r="B7" s="444">
        <f>landbouw!B8</f>
        <v>3162.0052000000001</v>
      </c>
      <c r="C7" s="444">
        <f>landbouw!C8</f>
        <v>39.375</v>
      </c>
      <c r="D7" s="444">
        <f>landbouw!D8</f>
        <v>4633.6208893643607</v>
      </c>
      <c r="E7" s="444">
        <f>landbouw!E8</f>
        <v>29.287816531916359</v>
      </c>
      <c r="F7" s="444">
        <f>landbouw!F8</f>
        <v>8022.6095537724459</v>
      </c>
      <c r="G7" s="444">
        <f>landbouw!G8</f>
        <v>0</v>
      </c>
      <c r="H7" s="444">
        <f>landbouw!H8</f>
        <v>0</v>
      </c>
      <c r="I7" s="444">
        <f>landbouw!I8</f>
        <v>0</v>
      </c>
      <c r="J7" s="444">
        <f>landbouw!J8</f>
        <v>484.77068524102373</v>
      </c>
      <c r="K7" s="444">
        <f>landbouw!K8</f>
        <v>0</v>
      </c>
      <c r="L7" s="444">
        <f>landbouw!L8</f>
        <v>0</v>
      </c>
      <c r="M7" s="444">
        <f>landbouw!M8</f>
        <v>0</v>
      </c>
      <c r="N7" s="444">
        <f>landbouw!N8</f>
        <v>0</v>
      </c>
      <c r="O7" s="444">
        <f>landbouw!O8</f>
        <v>0</v>
      </c>
      <c r="P7" s="445">
        <f>landbouw!P8</f>
        <v>0</v>
      </c>
      <c r="Q7" s="443">
        <f t="shared" si="0"/>
        <v>16371.669144909745</v>
      </c>
    </row>
    <row r="8" spans="1:17">
      <c r="A8" s="443" t="s">
        <v>637</v>
      </c>
      <c r="B8" s="444">
        <f>industrie!B18</f>
        <v>371216.08289999998</v>
      </c>
      <c r="C8" s="444">
        <f>industrie!C18</f>
        <v>11137.5</v>
      </c>
      <c r="D8" s="444">
        <f>industrie!D18</f>
        <v>284359.69630985655</v>
      </c>
      <c r="E8" s="444">
        <f>industrie!E18</f>
        <v>17387.881894585084</v>
      </c>
      <c r="F8" s="444">
        <f>industrie!F18</f>
        <v>82316.436816713045</v>
      </c>
      <c r="G8" s="444">
        <f>industrie!G18</f>
        <v>0</v>
      </c>
      <c r="H8" s="444">
        <f>industrie!H18</f>
        <v>0</v>
      </c>
      <c r="I8" s="444">
        <f>industrie!I18</f>
        <v>0</v>
      </c>
      <c r="J8" s="444">
        <f>industrie!J18</f>
        <v>1034.2355743648895</v>
      </c>
      <c r="K8" s="444">
        <f>industrie!K18</f>
        <v>0</v>
      </c>
      <c r="L8" s="444">
        <f>industrie!L18</f>
        <v>0</v>
      </c>
      <c r="M8" s="444">
        <f>industrie!M18</f>
        <v>0</v>
      </c>
      <c r="N8" s="444">
        <f>industrie!N18</f>
        <v>18171.16648732765</v>
      </c>
      <c r="O8" s="444">
        <f>industrie!O18</f>
        <v>0</v>
      </c>
      <c r="P8" s="445">
        <f>industrie!P18</f>
        <v>0</v>
      </c>
      <c r="Q8" s="443">
        <f t="shared" si="0"/>
        <v>785622.99998284725</v>
      </c>
    </row>
    <row r="9" spans="1:17" s="449" customFormat="1">
      <c r="A9" s="447" t="s">
        <v>558</v>
      </c>
      <c r="B9" s="448">
        <f>transport!B14</f>
        <v>299.82506779553631</v>
      </c>
      <c r="C9" s="448">
        <f>transport!C14</f>
        <v>0</v>
      </c>
      <c r="D9" s="448">
        <f>transport!D14</f>
        <v>450.588031951848</v>
      </c>
      <c r="E9" s="448">
        <f>transport!E14</f>
        <v>4796.4832968305573</v>
      </c>
      <c r="F9" s="448">
        <f>transport!F14</f>
        <v>0</v>
      </c>
      <c r="G9" s="448">
        <f>transport!G14</f>
        <v>1782757.0936414211</v>
      </c>
      <c r="H9" s="448">
        <f>transport!H14</f>
        <v>264525.64916729339</v>
      </c>
      <c r="I9" s="448">
        <f>transport!I14</f>
        <v>0</v>
      </c>
      <c r="J9" s="448">
        <f>transport!J14</f>
        <v>0</v>
      </c>
      <c r="K9" s="448">
        <f>transport!K14</f>
        <v>0</v>
      </c>
      <c r="L9" s="448">
        <f>transport!L14</f>
        <v>0</v>
      </c>
      <c r="M9" s="448">
        <f>transport!M14</f>
        <v>111427.96688392696</v>
      </c>
      <c r="N9" s="448">
        <f>transport!N14</f>
        <v>0</v>
      </c>
      <c r="O9" s="448">
        <f>transport!O14</f>
        <v>0</v>
      </c>
      <c r="P9" s="448">
        <f>transport!P14</f>
        <v>0</v>
      </c>
      <c r="Q9" s="447">
        <f>SUM(B9:P9)</f>
        <v>2164257.6060892195</v>
      </c>
    </row>
    <row r="10" spans="1:17">
      <c r="A10" s="443" t="s">
        <v>548</v>
      </c>
      <c r="B10" s="444">
        <f>transport!B54</f>
        <v>9155.8691954961414</v>
      </c>
      <c r="C10" s="444">
        <f>transport!C54</f>
        <v>0</v>
      </c>
      <c r="D10" s="444">
        <f>transport!D54</f>
        <v>0</v>
      </c>
      <c r="E10" s="444">
        <f>transport!E54</f>
        <v>0</v>
      </c>
      <c r="F10" s="444">
        <f>transport!F54</f>
        <v>0</v>
      </c>
      <c r="G10" s="444">
        <f>transport!G54</f>
        <v>35650.06807635149</v>
      </c>
      <c r="H10" s="444">
        <f>transport!H54</f>
        <v>0</v>
      </c>
      <c r="I10" s="444">
        <f>transport!I54</f>
        <v>0</v>
      </c>
      <c r="J10" s="444">
        <f>transport!J54</f>
        <v>0</v>
      </c>
      <c r="K10" s="444">
        <f>transport!K54</f>
        <v>0</v>
      </c>
      <c r="L10" s="444">
        <f>transport!L54</f>
        <v>0</v>
      </c>
      <c r="M10" s="444">
        <f>transport!M54</f>
        <v>2052.3044030894234</v>
      </c>
      <c r="N10" s="444">
        <f>transport!N54</f>
        <v>0</v>
      </c>
      <c r="O10" s="444">
        <f>transport!O54</f>
        <v>0</v>
      </c>
      <c r="P10" s="445">
        <f>transport!P54</f>
        <v>0</v>
      </c>
      <c r="Q10" s="443">
        <f t="shared" si="0"/>
        <v>46858.241674937053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25851.044999999998</v>
      </c>
      <c r="C14" s="451"/>
      <c r="D14" s="451">
        <f>'SEAP template'!E25</f>
        <v>81595.012323919596</v>
      </c>
      <c r="E14" s="451"/>
      <c r="F14" s="451"/>
      <c r="G14" s="451"/>
      <c r="H14" s="451"/>
      <c r="I14" s="451"/>
      <c r="J14" s="451"/>
      <c r="K14" s="451"/>
      <c r="L14" s="451"/>
      <c r="M14" s="451"/>
      <c r="N14" s="451"/>
      <c r="O14" s="451"/>
      <c r="P14" s="452"/>
      <c r="Q14" s="443">
        <f t="shared" si="0"/>
        <v>107446.05732391959</v>
      </c>
    </row>
    <row r="15" spans="1:17" s="453" customFormat="1">
      <c r="A15" s="1009" t="s">
        <v>552</v>
      </c>
      <c r="B15" s="949">
        <f ca="1">SUM(B4:B14)</f>
        <v>1528564.8206644244</v>
      </c>
      <c r="C15" s="949">
        <f t="shared" ref="C15:Q15" ca="1" si="1">SUM(C4:C14)</f>
        <v>14716.339285714286</v>
      </c>
      <c r="D15" s="949">
        <f t="shared" ca="1" si="1"/>
        <v>2079276.0855188216</v>
      </c>
      <c r="E15" s="949">
        <f t="shared" si="1"/>
        <v>45060.132202856592</v>
      </c>
      <c r="F15" s="949">
        <f t="shared" ca="1" si="1"/>
        <v>743092.10856458463</v>
      </c>
      <c r="G15" s="949">
        <f t="shared" si="1"/>
        <v>1818407.1617177725</v>
      </c>
      <c r="H15" s="949">
        <f t="shared" si="1"/>
        <v>264525.64916729339</v>
      </c>
      <c r="I15" s="949">
        <f t="shared" si="1"/>
        <v>0</v>
      </c>
      <c r="J15" s="949">
        <f t="shared" si="1"/>
        <v>14117.355022277534</v>
      </c>
      <c r="K15" s="949">
        <f t="shared" si="1"/>
        <v>0</v>
      </c>
      <c r="L15" s="949">
        <f t="shared" ca="1" si="1"/>
        <v>0</v>
      </c>
      <c r="M15" s="949">
        <f t="shared" si="1"/>
        <v>113480.27128701638</v>
      </c>
      <c r="N15" s="949">
        <f t="shared" ca="1" si="1"/>
        <v>190449.11701563001</v>
      </c>
      <c r="O15" s="949">
        <f t="shared" si="1"/>
        <v>1708.7233333333334</v>
      </c>
      <c r="P15" s="949">
        <f t="shared" si="1"/>
        <v>3279.4666666666667</v>
      </c>
      <c r="Q15" s="949">
        <f t="shared" ca="1" si="1"/>
        <v>6816677.2304463917</v>
      </c>
    </row>
    <row r="17" spans="1:17">
      <c r="A17" s="454" t="s">
        <v>553</v>
      </c>
      <c r="B17" s="753">
        <f ca="1">huishoudens!B10</f>
        <v>0.20062497807241048</v>
      </c>
      <c r="C17" s="753">
        <f ca="1">huishoudens!C10</f>
        <v>0.11330765296662904</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77589.443267667302</v>
      </c>
      <c r="C22" s="444">
        <f t="shared" ref="C22:C32" ca="1" si="3">C4*$C$17</f>
        <v>0</v>
      </c>
      <c r="D22" s="444">
        <f t="shared" ref="D22:D32" si="4">D4*$D$17</f>
        <v>201546.38797641482</v>
      </c>
      <c r="E22" s="444">
        <f t="shared" ref="E22:E32" si="5">E4*$E$17</f>
        <v>3887.3641481586337</v>
      </c>
      <c r="F22" s="444">
        <f t="shared" ref="F22:F32" si="6">F4*$F$17</f>
        <v>144243.76366403303</v>
      </c>
      <c r="G22" s="444">
        <f t="shared" ref="G22:G32" si="7">G4*$G$17</f>
        <v>0</v>
      </c>
      <c r="H22" s="444">
        <f t="shared" ref="H22:H32" si="8">H4*$H$17</f>
        <v>0</v>
      </c>
      <c r="I22" s="444">
        <f t="shared" ref="I22:I32" si="9">I4*$I$17</f>
        <v>0</v>
      </c>
      <c r="J22" s="444">
        <f t="shared" ref="J22:J32" si="10">J4*$J$17</f>
        <v>4459.8154619857542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431726.77451825957</v>
      </c>
    </row>
    <row r="23" spans="1:17">
      <c r="A23" s="443" t="s">
        <v>149</v>
      </c>
      <c r="B23" s="444">
        <f t="shared" ca="1" si="2"/>
        <v>143978.29743431421</v>
      </c>
      <c r="C23" s="444">
        <f t="shared" ca="1" si="3"/>
        <v>401.04839097349179</v>
      </c>
      <c r="D23" s="444">
        <f t="shared" ca="1" si="4"/>
        <v>143517.5199522585</v>
      </c>
      <c r="E23" s="444">
        <f t="shared" si="5"/>
        <v>1298.7866290857178</v>
      </c>
      <c r="F23" s="444">
        <f t="shared" ca="1" si="6"/>
        <v>30041.303941791441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319236.95634842338</v>
      </c>
    </row>
    <row r="24" spans="1:17">
      <c r="A24" s="443" t="s">
        <v>187</v>
      </c>
      <c r="B24" s="444">
        <f t="shared" ca="1" si="2"/>
        <v>2907.53341971704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2907.53341971704</v>
      </c>
    </row>
    <row r="25" spans="1:17">
      <c r="A25" s="443" t="s">
        <v>105</v>
      </c>
      <c r="B25" s="444">
        <f t="shared" ca="1" si="2"/>
        <v>634.37722391484795</v>
      </c>
      <c r="C25" s="444">
        <f t="shared" ca="1" si="3"/>
        <v>4.4614888355610187</v>
      </c>
      <c r="D25" s="444">
        <f t="shared" si="4"/>
        <v>935.99141965160095</v>
      </c>
      <c r="E25" s="444">
        <f t="shared" si="5"/>
        <v>6.6483343527450138</v>
      </c>
      <c r="F25" s="444">
        <f t="shared" si="6"/>
        <v>2142.0367508572431</v>
      </c>
      <c r="G25" s="444">
        <f t="shared" si="7"/>
        <v>0</v>
      </c>
      <c r="H25" s="444">
        <f t="shared" si="8"/>
        <v>0</v>
      </c>
      <c r="I25" s="444">
        <f t="shared" si="9"/>
        <v>0</v>
      </c>
      <c r="J25" s="444">
        <f t="shared" si="10"/>
        <v>171.60882257532239</v>
      </c>
      <c r="K25" s="444">
        <f t="shared" si="11"/>
        <v>0</v>
      </c>
      <c r="L25" s="444">
        <f t="shared" si="12"/>
        <v>0</v>
      </c>
      <c r="M25" s="444">
        <f t="shared" si="13"/>
        <v>0</v>
      </c>
      <c r="N25" s="444">
        <f t="shared" si="14"/>
        <v>0</v>
      </c>
      <c r="O25" s="444">
        <f t="shared" si="15"/>
        <v>0</v>
      </c>
      <c r="P25" s="445">
        <f t="shared" si="16"/>
        <v>0</v>
      </c>
      <c r="Q25" s="443">
        <f t="shared" ca="1" si="17"/>
        <v>3895.1240401873206</v>
      </c>
    </row>
    <row r="26" spans="1:17">
      <c r="A26" s="443" t="s">
        <v>637</v>
      </c>
      <c r="B26" s="444">
        <f t="shared" ca="1" si="2"/>
        <v>74475.218491938605</v>
      </c>
      <c r="C26" s="444">
        <f t="shared" ca="1" si="3"/>
        <v>1261.9639849158309</v>
      </c>
      <c r="D26" s="444">
        <f t="shared" si="4"/>
        <v>57440.658654591025</v>
      </c>
      <c r="E26" s="444">
        <f t="shared" si="5"/>
        <v>3947.0491900708139</v>
      </c>
      <c r="F26" s="444">
        <f t="shared" si="6"/>
        <v>21978.488630062384</v>
      </c>
      <c r="G26" s="444">
        <f t="shared" si="7"/>
        <v>0</v>
      </c>
      <c r="H26" s="444">
        <f t="shared" si="8"/>
        <v>0</v>
      </c>
      <c r="I26" s="444">
        <f t="shared" si="9"/>
        <v>0</v>
      </c>
      <c r="J26" s="444">
        <f t="shared" si="10"/>
        <v>366.1193933251709</v>
      </c>
      <c r="K26" s="444">
        <f t="shared" si="11"/>
        <v>0</v>
      </c>
      <c r="L26" s="444">
        <f t="shared" si="12"/>
        <v>0</v>
      </c>
      <c r="M26" s="444">
        <f t="shared" si="13"/>
        <v>0</v>
      </c>
      <c r="N26" s="444">
        <f t="shared" si="14"/>
        <v>0</v>
      </c>
      <c r="O26" s="444">
        <f t="shared" si="15"/>
        <v>0</v>
      </c>
      <c r="P26" s="445">
        <f t="shared" si="16"/>
        <v>0</v>
      </c>
      <c r="Q26" s="443">
        <f t="shared" ca="1" si="17"/>
        <v>159469.49834490381</v>
      </c>
    </row>
    <row r="27" spans="1:17" s="449" customFormat="1">
      <c r="A27" s="447" t="s">
        <v>558</v>
      </c>
      <c r="B27" s="747">
        <f t="shared" ca="1" si="2"/>
        <v>60.152397652038459</v>
      </c>
      <c r="C27" s="448">
        <f t="shared" ca="1" si="3"/>
        <v>0</v>
      </c>
      <c r="D27" s="448">
        <f t="shared" si="4"/>
        <v>91.018782454273307</v>
      </c>
      <c r="E27" s="448">
        <f t="shared" si="5"/>
        <v>1088.8017083805366</v>
      </c>
      <c r="F27" s="448">
        <f t="shared" si="6"/>
        <v>0</v>
      </c>
      <c r="G27" s="448">
        <f t="shared" si="7"/>
        <v>475996.14400225948</v>
      </c>
      <c r="H27" s="448">
        <f t="shared" si="8"/>
        <v>65866.886642656056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543103.00353340246</v>
      </c>
    </row>
    <row r="28" spans="1:17">
      <c r="A28" s="443" t="s">
        <v>548</v>
      </c>
      <c r="B28" s="444">
        <f t="shared" ca="1" si="2"/>
        <v>1836.896056580272</v>
      </c>
      <c r="C28" s="444">
        <f t="shared" ca="1" si="3"/>
        <v>0</v>
      </c>
      <c r="D28" s="444">
        <f t="shared" si="4"/>
        <v>0</v>
      </c>
      <c r="E28" s="444">
        <f t="shared" si="5"/>
        <v>0</v>
      </c>
      <c r="F28" s="444">
        <f t="shared" si="6"/>
        <v>0</v>
      </c>
      <c r="G28" s="444">
        <f t="shared" si="7"/>
        <v>9518.5681763858483</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11355.46423296612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5186.365336273896</v>
      </c>
      <c r="C32" s="444">
        <f t="shared" ca="1" si="3"/>
        <v>0</v>
      </c>
      <c r="D32" s="444">
        <f t="shared" si="4"/>
        <v>16482.19248943176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21668.557825705655</v>
      </c>
    </row>
    <row r="33" spans="1:17" s="453" customFormat="1">
      <c r="A33" s="1009" t="s">
        <v>552</v>
      </c>
      <c r="B33" s="949">
        <f ca="1">SUM(B22:B32)</f>
        <v>306668.28362805827</v>
      </c>
      <c r="C33" s="949">
        <f t="shared" ref="C33:Q33" ca="1" si="18">SUM(C22:C32)</f>
        <v>1667.4738647248837</v>
      </c>
      <c r="D33" s="949">
        <f t="shared" ca="1" si="18"/>
        <v>420013.76927480195</v>
      </c>
      <c r="E33" s="949">
        <f t="shared" si="18"/>
        <v>10228.650010048446</v>
      </c>
      <c r="F33" s="949">
        <f t="shared" ca="1" si="18"/>
        <v>198405.5929867441</v>
      </c>
      <c r="G33" s="949">
        <f t="shared" si="18"/>
        <v>485514.71217864531</v>
      </c>
      <c r="H33" s="949">
        <f t="shared" si="18"/>
        <v>65866.886642656056</v>
      </c>
      <c r="I33" s="949">
        <f t="shared" si="18"/>
        <v>0</v>
      </c>
      <c r="J33" s="949">
        <f t="shared" si="18"/>
        <v>4997.5436778862477</v>
      </c>
      <c r="K33" s="949">
        <f t="shared" si="18"/>
        <v>0</v>
      </c>
      <c r="L33" s="949">
        <f t="shared" ca="1" si="18"/>
        <v>0</v>
      </c>
      <c r="M33" s="949">
        <f t="shared" si="18"/>
        <v>0</v>
      </c>
      <c r="N33" s="949">
        <f t="shared" ca="1" si="18"/>
        <v>0</v>
      </c>
      <c r="O33" s="949">
        <f t="shared" si="18"/>
        <v>0</v>
      </c>
      <c r="P33" s="949">
        <f t="shared" si="18"/>
        <v>0</v>
      </c>
      <c r="Q33" s="949">
        <f t="shared" ca="1" si="18"/>
        <v>1493362.9122635652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79800.895603954152</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53225.706646131686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7259.1423685566006</v>
      </c>
      <c r="C8" s="1026">
        <f>'SEAP template'!C76</f>
        <v>5136.6701314434004</v>
      </c>
      <c r="D8" s="1026">
        <f>'SEAP template'!D76</f>
        <v>3213.9065150510728</v>
      </c>
      <c r="E8" s="1026">
        <f>'SEAP template'!E76</f>
        <v>0</v>
      </c>
      <c r="F8" s="1026">
        <f>'SEAP template'!F76</f>
        <v>2828.9561983111817</v>
      </c>
      <c r="G8" s="1026">
        <f>'SEAP template'!G76</f>
        <v>0</v>
      </c>
      <c r="H8" s="1026">
        <f>'SEAP template'!H76</f>
        <v>0</v>
      </c>
      <c r="I8" s="1026">
        <f>'SEAP template'!I76</f>
        <v>8539.7737498110528</v>
      </c>
      <c r="J8" s="1026">
        <f>'SEAP template'!J76</f>
        <v>0</v>
      </c>
      <c r="K8" s="1026">
        <f>'SEAP template'!K76</f>
        <v>0</v>
      </c>
      <c r="L8" s="1026">
        <f>'SEAP template'!L76</f>
        <v>0</v>
      </c>
      <c r="M8" s="1026">
        <f>'SEAP template'!M76</f>
        <v>0</v>
      </c>
      <c r="N8" s="1026">
        <f>'SEAP template'!N76</f>
        <v>0</v>
      </c>
      <c r="O8" s="1026">
        <f>'SEAP template'!O76</f>
        <v>0</v>
      </c>
      <c r="P8" s="1027">
        <f>'SEAP template'!Q76</f>
        <v>1404.5404209894023</v>
      </c>
    </row>
    <row r="9" spans="1:16">
      <c r="A9" s="1029" t="s">
        <v>845</v>
      </c>
      <c r="B9" s="1026">
        <f>'SEAP template'!B77</f>
        <v>1858.5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5310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142144.24461864246</v>
      </c>
      <c r="C10" s="1030">
        <f>SUM(C4:C9)</f>
        <v>5136.6701314434004</v>
      </c>
      <c r="D10" s="1030">
        <f t="shared" ref="D10:H10" si="0">SUM(D8:D9)</f>
        <v>3213.9065150510728</v>
      </c>
      <c r="E10" s="1030">
        <f t="shared" si="0"/>
        <v>0</v>
      </c>
      <c r="F10" s="1030">
        <f t="shared" si="0"/>
        <v>2828.9561983111817</v>
      </c>
      <c r="G10" s="1030">
        <f t="shared" si="0"/>
        <v>0</v>
      </c>
      <c r="H10" s="1030">
        <f t="shared" si="0"/>
        <v>0</v>
      </c>
      <c r="I10" s="1030">
        <f>SUM(I8:I9)</f>
        <v>8539.7737498110528</v>
      </c>
      <c r="J10" s="1030">
        <f>SUM(J8:J9)</f>
        <v>5310</v>
      </c>
      <c r="K10" s="1030">
        <f t="shared" ref="K10:L10" si="1">SUM(K8:K9)</f>
        <v>0</v>
      </c>
      <c r="L10" s="1030">
        <f t="shared" si="1"/>
        <v>0</v>
      </c>
      <c r="M10" s="1030">
        <f>SUM(M8:M9)</f>
        <v>0</v>
      </c>
      <c r="N10" s="1030">
        <f>SUM(N8:N9)</f>
        <v>0</v>
      </c>
      <c r="O10" s="1030">
        <f>SUM(O8:O9)</f>
        <v>0</v>
      </c>
      <c r="P10" s="1030">
        <f>SUM(P8:P9)</f>
        <v>1404.5404209894023</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0.20062497807241048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8618.0717898873154</v>
      </c>
      <c r="C17" s="1032">
        <f>'SEAP template'!C87</f>
        <v>6098.2674958269727</v>
      </c>
      <c r="D17" s="1027">
        <f>'SEAP template'!D87</f>
        <v>3815.5577706632134</v>
      </c>
      <c r="E17" s="1027">
        <f>'SEAP template'!E87</f>
        <v>0</v>
      </c>
      <c r="F17" s="1027">
        <f>'SEAP template'!F87</f>
        <v>3358.5438016888183</v>
      </c>
      <c r="G17" s="1027">
        <f>'SEAP template'!G87</f>
        <v>0</v>
      </c>
      <c r="H17" s="1027">
        <f>'SEAP template'!H87</f>
        <v>0</v>
      </c>
      <c r="I17" s="1027">
        <f>'SEAP template'!I87</f>
        <v>10138.440535903233</v>
      </c>
      <c r="J17" s="1027">
        <f>'SEAP template'!J87</f>
        <v>0</v>
      </c>
      <c r="K17" s="1027">
        <f>'SEAP template'!K87</f>
        <v>0</v>
      </c>
      <c r="L17" s="1027">
        <f>'SEAP template'!L87</f>
        <v>0</v>
      </c>
      <c r="M17" s="1027">
        <f>'SEAP template'!M87</f>
        <v>0</v>
      </c>
      <c r="N17" s="1027">
        <f>'SEAP template'!N87</f>
        <v>0</v>
      </c>
      <c r="O17" s="1027">
        <f>'SEAP template'!O87</f>
        <v>0</v>
      </c>
      <c r="P17" s="1027">
        <f>'SEAP template'!Q87</f>
        <v>1667.4738647248837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8618.0717898873154</v>
      </c>
      <c r="C20" s="1030">
        <f>SUM(C17:C19)</f>
        <v>6098.2674958269727</v>
      </c>
      <c r="D20" s="1030">
        <f t="shared" ref="D20:H20" si="2">SUM(D17:D19)</f>
        <v>3815.5577706632134</v>
      </c>
      <c r="E20" s="1030">
        <f t="shared" si="2"/>
        <v>0</v>
      </c>
      <c r="F20" s="1030">
        <f t="shared" si="2"/>
        <v>3358.5438016888183</v>
      </c>
      <c r="G20" s="1030">
        <f t="shared" si="2"/>
        <v>0</v>
      </c>
      <c r="H20" s="1030">
        <f t="shared" si="2"/>
        <v>0</v>
      </c>
      <c r="I20" s="1030">
        <f>SUM(I17:I19)</f>
        <v>10138.440535903233</v>
      </c>
      <c r="J20" s="1030">
        <f>SUM(J17:J19)</f>
        <v>0</v>
      </c>
      <c r="K20" s="1030">
        <f t="shared" ref="K20:L20" si="3">SUM(K17:K19)</f>
        <v>0</v>
      </c>
      <c r="L20" s="1030">
        <f t="shared" si="3"/>
        <v>0</v>
      </c>
      <c r="M20" s="1030">
        <f>SUM(M17:M19)</f>
        <v>0</v>
      </c>
      <c r="N20" s="1030">
        <f>SUM(N17:N19)</f>
        <v>0</v>
      </c>
      <c r="O20" s="1030">
        <f>SUM(O17:O19)</f>
        <v>0</v>
      </c>
      <c r="P20" s="1030">
        <f>SUM(P17:P19)</f>
        <v>1667.4738647248837</v>
      </c>
    </row>
    <row r="22" spans="1:16">
      <c r="A22" s="454" t="s">
        <v>853</v>
      </c>
      <c r="B22" s="753" t="s">
        <v>847</v>
      </c>
      <c r="C22" s="753">
        <f ca="1">'EF ele_warmte'!B22</f>
        <v>0.11330765296662904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0.20062497807241048</v>
      </c>
      <c r="C17" s="491">
        <f ca="1">'EF ele_warmte'!B22</f>
        <v>0.11330765296662904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3</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57.2</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0.20062497807241048</v>
      </c>
      <c r="C17" s="491">
        <f ca="1">'EF ele_warmte'!B22</f>
        <v>0.11330765296662904</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0.20062497807241048</v>
      </c>
      <c r="C29" s="492">
        <f ca="1">'EF ele_warmte'!B22</f>
        <v>0.11330765296662904</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116970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3137</v>
      </c>
      <c r="C14" s="324"/>
      <c r="D14" s="324"/>
      <c r="E14" s="324"/>
      <c r="F14" s="324"/>
    </row>
    <row r="15" spans="1:6">
      <c r="A15" s="1302" t="s">
        <v>177</v>
      </c>
      <c r="B15" s="1303">
        <v>50</v>
      </c>
      <c r="C15" s="324"/>
      <c r="D15" s="324"/>
      <c r="E15" s="324"/>
      <c r="F15" s="324"/>
    </row>
    <row r="16" spans="1:6">
      <c r="A16" s="1302" t="s">
        <v>6</v>
      </c>
      <c r="B16" s="1303">
        <v>1388</v>
      </c>
      <c r="C16" s="324"/>
      <c r="D16" s="324"/>
      <c r="E16" s="324"/>
      <c r="F16" s="324"/>
    </row>
    <row r="17" spans="1:6">
      <c r="A17" s="1302" t="s">
        <v>7</v>
      </c>
      <c r="B17" s="1303">
        <v>874</v>
      </c>
      <c r="C17" s="324"/>
      <c r="D17" s="324"/>
      <c r="E17" s="324"/>
      <c r="F17" s="324"/>
    </row>
    <row r="18" spans="1:6">
      <c r="A18" s="1302" t="s">
        <v>8</v>
      </c>
      <c r="B18" s="1303">
        <v>1419</v>
      </c>
      <c r="C18" s="324"/>
      <c r="D18" s="324"/>
      <c r="E18" s="324"/>
      <c r="F18" s="324"/>
    </row>
    <row r="19" spans="1:6">
      <c r="A19" s="1302" t="s">
        <v>9</v>
      </c>
      <c r="B19" s="1303">
        <v>1221</v>
      </c>
      <c r="C19" s="324"/>
      <c r="D19" s="324"/>
      <c r="E19" s="324"/>
      <c r="F19" s="324"/>
    </row>
    <row r="20" spans="1:6">
      <c r="A20" s="1302" t="s">
        <v>10</v>
      </c>
      <c r="B20" s="1303">
        <v>1078</v>
      </c>
      <c r="C20" s="324"/>
      <c r="D20" s="324"/>
      <c r="E20" s="324"/>
      <c r="F20" s="324"/>
    </row>
    <row r="21" spans="1:6">
      <c r="A21" s="1302" t="s">
        <v>11</v>
      </c>
      <c r="B21" s="1303">
        <v>1779</v>
      </c>
      <c r="C21" s="324"/>
      <c r="D21" s="324"/>
      <c r="E21" s="324"/>
      <c r="F21" s="324"/>
    </row>
    <row r="22" spans="1:6">
      <c r="A22" s="1302" t="s">
        <v>12</v>
      </c>
      <c r="B22" s="1303">
        <v>3316</v>
      </c>
      <c r="C22" s="324"/>
      <c r="D22" s="324"/>
      <c r="E22" s="324"/>
      <c r="F22" s="324"/>
    </row>
    <row r="23" spans="1:6">
      <c r="A23" s="1302" t="s">
        <v>13</v>
      </c>
      <c r="B23" s="1303">
        <v>28</v>
      </c>
      <c r="C23" s="324"/>
      <c r="D23" s="324"/>
      <c r="E23" s="324"/>
      <c r="F23" s="324"/>
    </row>
    <row r="24" spans="1:6">
      <c r="A24" s="1302" t="s">
        <v>14</v>
      </c>
      <c r="B24" s="1303">
        <v>3</v>
      </c>
      <c r="C24" s="324"/>
      <c r="D24" s="324"/>
      <c r="E24" s="324"/>
      <c r="F24" s="324"/>
    </row>
    <row r="25" spans="1:6">
      <c r="A25" s="1302" t="s">
        <v>15</v>
      </c>
      <c r="B25" s="1303">
        <v>492</v>
      </c>
      <c r="C25" s="324"/>
      <c r="D25" s="324"/>
      <c r="E25" s="324"/>
      <c r="F25" s="324"/>
    </row>
    <row r="26" spans="1:6">
      <c r="A26" s="1302" t="s">
        <v>16</v>
      </c>
      <c r="B26" s="1303">
        <v>351</v>
      </c>
      <c r="C26" s="324"/>
      <c r="D26" s="324"/>
      <c r="E26" s="324"/>
      <c r="F26" s="324"/>
    </row>
    <row r="27" spans="1:6">
      <c r="A27" s="1302" t="s">
        <v>17</v>
      </c>
      <c r="B27" s="1303">
        <v>7</v>
      </c>
      <c r="C27" s="324"/>
      <c r="D27" s="324"/>
      <c r="E27" s="324"/>
      <c r="F27" s="324"/>
    </row>
    <row r="28" spans="1:6">
      <c r="A28" s="1302" t="s">
        <v>18</v>
      </c>
      <c r="B28" s="1304">
        <v>7</v>
      </c>
      <c r="C28" s="324"/>
      <c r="D28" s="324"/>
      <c r="E28" s="324"/>
      <c r="F28" s="324"/>
    </row>
    <row r="29" spans="1:6">
      <c r="A29" s="1302" t="s">
        <v>918</v>
      </c>
      <c r="B29" s="1304">
        <v>464</v>
      </c>
      <c r="C29" s="324"/>
      <c r="D29" s="324"/>
      <c r="E29" s="324"/>
      <c r="F29" s="324"/>
    </row>
    <row r="30" spans="1:6">
      <c r="A30" s="1297" t="s">
        <v>919</v>
      </c>
      <c r="B30" s="1305">
        <v>83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11</v>
      </c>
      <c r="F35" s="1303">
        <v>130107.3</v>
      </c>
    </row>
    <row r="36" spans="1:6">
      <c r="A36" s="1302" t="s">
        <v>24</v>
      </c>
      <c r="B36" s="1302" t="s">
        <v>26</v>
      </c>
      <c r="C36" s="1303">
        <v>6</v>
      </c>
      <c r="D36" s="1303">
        <v>1002416.78562934</v>
      </c>
      <c r="E36" s="1303">
        <v>48</v>
      </c>
      <c r="F36" s="1303">
        <v>5673033</v>
      </c>
    </row>
    <row r="37" spans="1:6">
      <c r="A37" s="1302" t="s">
        <v>24</v>
      </c>
      <c r="B37" s="1302" t="s">
        <v>27</v>
      </c>
      <c r="C37" s="1303">
        <v>0</v>
      </c>
      <c r="D37" s="1303">
        <v>0</v>
      </c>
      <c r="E37" s="1303">
        <v>0</v>
      </c>
      <c r="F37" s="1303">
        <v>0</v>
      </c>
    </row>
    <row r="38" spans="1:6">
      <c r="A38" s="1302" t="s">
        <v>24</v>
      </c>
      <c r="B38" s="1302" t="s">
        <v>28</v>
      </c>
      <c r="C38" s="1303">
        <v>6</v>
      </c>
      <c r="D38" s="1303">
        <v>95091.493364186099</v>
      </c>
      <c r="E38" s="1303">
        <v>16</v>
      </c>
      <c r="F38" s="1303">
        <v>1129042</v>
      </c>
    </row>
    <row r="39" spans="1:6">
      <c r="A39" s="1302" t="s">
        <v>29</v>
      </c>
      <c r="B39" s="1302" t="s">
        <v>30</v>
      </c>
      <c r="C39" s="1303">
        <v>87145</v>
      </c>
      <c r="D39" s="1303">
        <v>1106001162.1263845</v>
      </c>
      <c r="E39" s="1303">
        <v>115458</v>
      </c>
      <c r="F39" s="1303">
        <v>369048843.81</v>
      </c>
    </row>
    <row r="40" spans="1:6">
      <c r="A40" s="1302" t="s">
        <v>29</v>
      </c>
      <c r="B40" s="1302" t="s">
        <v>28</v>
      </c>
      <c r="C40" s="1303">
        <v>2</v>
      </c>
      <c r="D40" s="1303">
        <v>156704.75038427499</v>
      </c>
      <c r="E40" s="1303">
        <v>2</v>
      </c>
      <c r="F40" s="1303">
        <v>6968.7929999999997</v>
      </c>
    </row>
    <row r="41" spans="1:6">
      <c r="A41" s="1302" t="s">
        <v>31</v>
      </c>
      <c r="B41" s="1302" t="s">
        <v>32</v>
      </c>
      <c r="C41" s="1303">
        <v>986</v>
      </c>
      <c r="D41" s="1303">
        <v>59591319.198256701</v>
      </c>
      <c r="E41" s="1303">
        <v>1674</v>
      </c>
      <c r="F41" s="1303">
        <v>25907824</v>
      </c>
    </row>
    <row r="42" spans="1:6">
      <c r="A42" s="1302" t="s">
        <v>31</v>
      </c>
      <c r="B42" s="1302" t="s">
        <v>33</v>
      </c>
      <c r="C42" s="1303">
        <v>9</v>
      </c>
      <c r="D42" s="1303">
        <v>13550706.9116084</v>
      </c>
      <c r="E42" s="1303">
        <v>22</v>
      </c>
      <c r="F42" s="1303">
        <v>31866311</v>
      </c>
    </row>
    <row r="43" spans="1:6">
      <c r="A43" s="1302" t="s">
        <v>31</v>
      </c>
      <c r="B43" s="1302" t="s">
        <v>34</v>
      </c>
      <c r="C43" s="1303">
        <v>0</v>
      </c>
      <c r="D43" s="1303">
        <v>0</v>
      </c>
      <c r="E43" s="1303">
        <v>0</v>
      </c>
      <c r="F43" s="1303">
        <v>0</v>
      </c>
    </row>
    <row r="44" spans="1:6">
      <c r="A44" s="1302" t="s">
        <v>31</v>
      </c>
      <c r="B44" s="1302" t="s">
        <v>35</v>
      </c>
      <c r="C44" s="1303">
        <v>27</v>
      </c>
      <c r="D44" s="1303">
        <v>12427936.535816399</v>
      </c>
      <c r="E44" s="1303">
        <v>158</v>
      </c>
      <c r="F44" s="1303">
        <v>32518335</v>
      </c>
    </row>
    <row r="45" spans="1:6">
      <c r="A45" s="1302" t="s">
        <v>31</v>
      </c>
      <c r="B45" s="1302" t="s">
        <v>36</v>
      </c>
      <c r="C45" s="1303">
        <v>3</v>
      </c>
      <c r="D45" s="1303">
        <v>148767.360933535</v>
      </c>
      <c r="E45" s="1303">
        <v>30</v>
      </c>
      <c r="F45" s="1303">
        <v>71611984</v>
      </c>
    </row>
    <row r="46" spans="1:6">
      <c r="A46" s="1302" t="s">
        <v>31</v>
      </c>
      <c r="B46" s="1302" t="s">
        <v>37</v>
      </c>
      <c r="C46" s="1303">
        <v>0</v>
      </c>
      <c r="D46" s="1303">
        <v>0</v>
      </c>
      <c r="E46" s="1303">
        <v>0</v>
      </c>
      <c r="F46" s="1303">
        <v>0</v>
      </c>
    </row>
    <row r="47" spans="1:6">
      <c r="A47" s="1302" t="s">
        <v>31</v>
      </c>
      <c r="B47" s="1302" t="s">
        <v>38</v>
      </c>
      <c r="C47" s="1303">
        <v>71</v>
      </c>
      <c r="D47" s="1303">
        <v>3075410.8097005798</v>
      </c>
      <c r="E47" s="1303">
        <v>111</v>
      </c>
      <c r="F47" s="1303">
        <v>14300188</v>
      </c>
    </row>
    <row r="48" spans="1:6">
      <c r="A48" s="1302" t="s">
        <v>31</v>
      </c>
      <c r="B48" s="1302" t="s">
        <v>28</v>
      </c>
      <c r="C48" s="1303">
        <v>270</v>
      </c>
      <c r="D48" s="1303">
        <v>217576156.996768</v>
      </c>
      <c r="E48" s="1303">
        <v>348</v>
      </c>
      <c r="F48" s="1303">
        <v>177000000</v>
      </c>
    </row>
    <row r="49" spans="1:6">
      <c r="A49" s="1302" t="s">
        <v>31</v>
      </c>
      <c r="B49" s="1302" t="s">
        <v>39</v>
      </c>
      <c r="C49" s="1303">
        <v>23</v>
      </c>
      <c r="D49" s="1303">
        <v>455441.81123926397</v>
      </c>
      <c r="E49" s="1303">
        <v>30</v>
      </c>
      <c r="F49" s="1303">
        <v>361667.9</v>
      </c>
    </row>
    <row r="50" spans="1:6">
      <c r="A50" s="1302" t="s">
        <v>31</v>
      </c>
      <c r="B50" s="1302" t="s">
        <v>40</v>
      </c>
      <c r="C50" s="1303">
        <v>137</v>
      </c>
      <c r="D50" s="1303">
        <v>8428912.6038994696</v>
      </c>
      <c r="E50" s="1303">
        <v>206</v>
      </c>
      <c r="F50" s="1303">
        <v>7749773</v>
      </c>
    </row>
    <row r="51" spans="1:6">
      <c r="A51" s="1302" t="s">
        <v>41</v>
      </c>
      <c r="B51" s="1302" t="s">
        <v>42</v>
      </c>
      <c r="C51" s="1303">
        <v>82</v>
      </c>
      <c r="D51" s="1303">
        <v>3786392.3860313599</v>
      </c>
      <c r="E51" s="1303">
        <v>258</v>
      </c>
      <c r="F51" s="1303">
        <v>2691707</v>
      </c>
    </row>
    <row r="52" spans="1:6">
      <c r="A52" s="1302" t="s">
        <v>41</v>
      </c>
      <c r="B52" s="1302" t="s">
        <v>28</v>
      </c>
      <c r="C52" s="1303">
        <v>30</v>
      </c>
      <c r="D52" s="1303">
        <v>1424107.4913127201</v>
      </c>
      <c r="E52" s="1303">
        <v>59</v>
      </c>
      <c r="F52" s="1303">
        <v>470298.2</v>
      </c>
    </row>
    <row r="53" spans="1:6">
      <c r="A53" s="1302" t="s">
        <v>43</v>
      </c>
      <c r="B53" s="1302" t="s">
        <v>44</v>
      </c>
      <c r="C53" s="1303">
        <v>3907</v>
      </c>
      <c r="D53" s="1303">
        <v>81595012.323919594</v>
      </c>
      <c r="E53" s="1303">
        <v>6755</v>
      </c>
      <c r="F53" s="1303">
        <v>25851045</v>
      </c>
    </row>
    <row r="54" spans="1:6">
      <c r="A54" s="1302" t="s">
        <v>45</v>
      </c>
      <c r="B54" s="1302" t="s">
        <v>46</v>
      </c>
      <c r="C54" s="1303">
        <v>0</v>
      </c>
      <c r="D54" s="1303">
        <v>0</v>
      </c>
      <c r="E54" s="1303">
        <v>13</v>
      </c>
      <c r="F54" s="1303">
        <v>14492380</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919</v>
      </c>
      <c r="D57" s="1303">
        <v>46499560.6489577</v>
      </c>
      <c r="E57" s="1303">
        <v>1385</v>
      </c>
      <c r="F57" s="1303">
        <v>52572148</v>
      </c>
    </row>
    <row r="58" spans="1:6">
      <c r="A58" s="1302" t="s">
        <v>48</v>
      </c>
      <c r="B58" s="1302" t="s">
        <v>50</v>
      </c>
      <c r="C58" s="1303">
        <v>697</v>
      </c>
      <c r="D58" s="1303">
        <v>84358218.765451401</v>
      </c>
      <c r="E58" s="1303">
        <v>947</v>
      </c>
      <c r="F58" s="1303">
        <v>90845609</v>
      </c>
    </row>
    <row r="59" spans="1:6">
      <c r="A59" s="1302" t="s">
        <v>48</v>
      </c>
      <c r="B59" s="1302" t="s">
        <v>51</v>
      </c>
      <c r="C59" s="1303">
        <v>2006</v>
      </c>
      <c r="D59" s="1303">
        <v>75790353.780303597</v>
      </c>
      <c r="E59" s="1303">
        <v>3478</v>
      </c>
      <c r="F59" s="1303">
        <v>158000000</v>
      </c>
    </row>
    <row r="60" spans="1:6">
      <c r="A60" s="1302" t="s">
        <v>48</v>
      </c>
      <c r="B60" s="1302" t="s">
        <v>52</v>
      </c>
      <c r="C60" s="1303">
        <v>1326</v>
      </c>
      <c r="D60" s="1303">
        <v>93046803.064290702</v>
      </c>
      <c r="E60" s="1303">
        <v>1647</v>
      </c>
      <c r="F60" s="1303">
        <v>59544875</v>
      </c>
    </row>
    <row r="61" spans="1:6">
      <c r="A61" s="1302" t="s">
        <v>48</v>
      </c>
      <c r="B61" s="1302" t="s">
        <v>53</v>
      </c>
      <c r="C61" s="1303">
        <v>4857</v>
      </c>
      <c r="D61" s="1303">
        <v>303164034.81105697</v>
      </c>
      <c r="E61" s="1303">
        <v>8859</v>
      </c>
      <c r="F61" s="1303">
        <v>183000000</v>
      </c>
    </row>
    <row r="62" spans="1:6">
      <c r="A62" s="1302" t="s">
        <v>48</v>
      </c>
      <c r="B62" s="1302" t="s">
        <v>54</v>
      </c>
      <c r="C62" s="1303">
        <v>481</v>
      </c>
      <c r="D62" s="1303">
        <v>110719454.060477</v>
      </c>
      <c r="E62" s="1303">
        <v>817</v>
      </c>
      <c r="F62" s="1303">
        <v>94472788</v>
      </c>
    </row>
    <row r="63" spans="1:6">
      <c r="A63" s="1302" t="s">
        <v>48</v>
      </c>
      <c r="B63" s="1302" t="s">
        <v>28</v>
      </c>
      <c r="C63" s="1303">
        <v>812</v>
      </c>
      <c r="D63" s="1303">
        <v>81816238.202719793</v>
      </c>
      <c r="E63" s="1303">
        <v>899</v>
      </c>
      <c r="F63" s="1303">
        <v>74877368</v>
      </c>
    </row>
    <row r="64" spans="1:6">
      <c r="A64" s="1302" t="s">
        <v>55</v>
      </c>
      <c r="B64" s="1302" t="s">
        <v>56</v>
      </c>
      <c r="C64" s="1303">
        <v>0</v>
      </c>
      <c r="D64" s="1303">
        <v>0</v>
      </c>
      <c r="E64" s="1303">
        <v>0</v>
      </c>
      <c r="F64" s="1303">
        <v>0</v>
      </c>
    </row>
    <row r="65" spans="1:6">
      <c r="A65" s="1302" t="s">
        <v>55</v>
      </c>
      <c r="B65" s="1302" t="s">
        <v>28</v>
      </c>
      <c r="C65" s="1303">
        <v>26</v>
      </c>
      <c r="D65" s="1303">
        <v>3310670.0280321399</v>
      </c>
      <c r="E65" s="1303">
        <v>27</v>
      </c>
      <c r="F65" s="1303">
        <v>679396.5</v>
      </c>
    </row>
    <row r="66" spans="1:6">
      <c r="A66" s="1302" t="s">
        <v>55</v>
      </c>
      <c r="B66" s="1302" t="s">
        <v>57</v>
      </c>
      <c r="C66" s="1303">
        <v>0</v>
      </c>
      <c r="D66" s="1303">
        <v>0</v>
      </c>
      <c r="E66" s="1303">
        <v>149</v>
      </c>
      <c r="F66" s="1303">
        <v>8958058</v>
      </c>
    </row>
    <row r="67" spans="1:6">
      <c r="A67" s="1302" t="s">
        <v>55</v>
      </c>
      <c r="B67" s="1302" t="s">
        <v>58</v>
      </c>
      <c r="C67" s="1303">
        <v>0</v>
      </c>
      <c r="D67" s="1303">
        <v>0</v>
      </c>
      <c r="E67" s="1303">
        <v>0</v>
      </c>
      <c r="F67" s="1303">
        <v>0</v>
      </c>
    </row>
    <row r="68" spans="1:6">
      <c r="A68" s="1297" t="s">
        <v>55</v>
      </c>
      <c r="B68" s="1297" t="s">
        <v>59</v>
      </c>
      <c r="C68" s="1305">
        <v>44</v>
      </c>
      <c r="D68" s="1305">
        <v>2961993.7489483501</v>
      </c>
      <c r="E68" s="1305">
        <v>125</v>
      </c>
      <c r="F68" s="1305">
        <v>11968226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622962888</v>
      </c>
      <c r="E73" s="442"/>
      <c r="F73" s="324"/>
    </row>
    <row r="74" spans="1:6">
      <c r="A74" s="1302" t="s">
        <v>63</v>
      </c>
      <c r="B74" s="1302" t="s">
        <v>695</v>
      </c>
      <c r="C74" s="1315" t="s">
        <v>697</v>
      </c>
      <c r="D74" s="1303">
        <v>94737817.929085851</v>
      </c>
      <c r="E74" s="442"/>
      <c r="F74" s="324"/>
    </row>
    <row r="75" spans="1:6">
      <c r="A75" s="1302" t="s">
        <v>64</v>
      </c>
      <c r="B75" s="1302" t="s">
        <v>694</v>
      </c>
      <c r="C75" s="1315" t="s">
        <v>698</v>
      </c>
      <c r="D75" s="1303">
        <v>399482226</v>
      </c>
      <c r="E75" s="442"/>
      <c r="F75" s="324"/>
    </row>
    <row r="76" spans="1:6">
      <c r="A76" s="1302" t="s">
        <v>64</v>
      </c>
      <c r="B76" s="1302" t="s">
        <v>695</v>
      </c>
      <c r="C76" s="1315" t="s">
        <v>699</v>
      </c>
      <c r="D76" s="1303">
        <v>33741017.929085843</v>
      </c>
      <c r="E76" s="442"/>
      <c r="F76" s="324"/>
    </row>
    <row r="77" spans="1:6">
      <c r="A77" s="1302" t="s">
        <v>65</v>
      </c>
      <c r="B77" s="1302" t="s">
        <v>694</v>
      </c>
      <c r="C77" s="1315" t="s">
        <v>700</v>
      </c>
      <c r="D77" s="1303">
        <v>969164338</v>
      </c>
      <c r="E77" s="442"/>
      <c r="F77" s="324"/>
    </row>
    <row r="78" spans="1:6">
      <c r="A78" s="1297" t="s">
        <v>65</v>
      </c>
      <c r="B78" s="1297" t="s">
        <v>695</v>
      </c>
      <c r="C78" s="1297" t="s">
        <v>701</v>
      </c>
      <c r="D78" s="1305">
        <v>157527225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10176746.141828308</v>
      </c>
      <c r="C83" s="442"/>
      <c r="D83" s="324"/>
      <c r="E83" s="324"/>
      <c r="F83" s="324"/>
    </row>
    <row r="84" spans="1:6">
      <c r="A84" s="1297" t="s">
        <v>324</v>
      </c>
      <c r="B84" s="1305">
        <v>2544036.6204024982</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79800.895603954152</v>
      </c>
      <c r="C90" s="324"/>
      <c r="D90" s="324"/>
      <c r="E90" s="324"/>
      <c r="F90" s="324"/>
    </row>
    <row r="91" spans="1:6">
      <c r="A91" s="1302" t="s">
        <v>67</v>
      </c>
      <c r="B91" s="1303">
        <v>17682.88769813281</v>
      </c>
      <c r="C91" s="324"/>
      <c r="D91" s="324"/>
      <c r="E91" s="324"/>
      <c r="F91" s="324"/>
    </row>
    <row r="92" spans="1:6">
      <c r="A92" s="1297" t="s">
        <v>68</v>
      </c>
      <c r="B92" s="1298">
        <v>35542.81894799888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62627</v>
      </c>
      <c r="C97" s="324"/>
      <c r="D97" s="324"/>
      <c r="E97" s="324"/>
      <c r="F97" s="324"/>
    </row>
    <row r="98" spans="1:6">
      <c r="A98" s="1302" t="s">
        <v>71</v>
      </c>
      <c r="B98" s="1303">
        <v>127</v>
      </c>
      <c r="C98" s="324"/>
      <c r="D98" s="324"/>
      <c r="E98" s="324"/>
      <c r="F98" s="324"/>
    </row>
    <row r="99" spans="1:6">
      <c r="A99" s="1302" t="s">
        <v>72</v>
      </c>
      <c r="B99" s="1303">
        <v>385</v>
      </c>
      <c r="C99" s="324"/>
      <c r="D99" s="324"/>
      <c r="E99" s="324"/>
      <c r="F99" s="324"/>
    </row>
    <row r="100" spans="1:6">
      <c r="A100" s="1302" t="s">
        <v>73</v>
      </c>
      <c r="B100" s="1303">
        <v>8623</v>
      </c>
      <c r="C100" s="324"/>
      <c r="D100" s="324"/>
      <c r="E100" s="324"/>
      <c r="F100" s="324"/>
    </row>
    <row r="101" spans="1:6">
      <c r="A101" s="1302" t="s">
        <v>74</v>
      </c>
      <c r="B101" s="1303">
        <v>396</v>
      </c>
      <c r="C101" s="324"/>
      <c r="D101" s="324"/>
      <c r="E101" s="324"/>
      <c r="F101" s="324"/>
    </row>
    <row r="102" spans="1:6">
      <c r="A102" s="1302" t="s">
        <v>75</v>
      </c>
      <c r="B102" s="1303">
        <v>4616</v>
      </c>
      <c r="C102" s="324"/>
      <c r="D102" s="324"/>
      <c r="E102" s="324"/>
      <c r="F102" s="324"/>
    </row>
    <row r="103" spans="1:6">
      <c r="A103" s="1302" t="s">
        <v>76</v>
      </c>
      <c r="B103" s="1303">
        <v>1823</v>
      </c>
      <c r="C103" s="324"/>
      <c r="D103" s="324"/>
      <c r="E103" s="324"/>
      <c r="F103" s="324"/>
    </row>
    <row r="104" spans="1:6">
      <c r="A104" s="1302" t="s">
        <v>77</v>
      </c>
      <c r="B104" s="1303">
        <v>21695</v>
      </c>
      <c r="C104" s="324"/>
      <c r="D104" s="324"/>
      <c r="E104" s="324"/>
      <c r="F104" s="324"/>
    </row>
    <row r="105" spans="1:6">
      <c r="A105" s="1297" t="s">
        <v>78</v>
      </c>
      <c r="B105" s="1305">
        <v>311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3</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103</v>
      </c>
      <c r="C123" s="1303">
        <v>174</v>
      </c>
      <c r="D123" s="324"/>
      <c r="E123" s="324"/>
      <c r="F123" s="324"/>
    </row>
    <row r="124" spans="1:6">
      <c r="A124" s="1302" t="s">
        <v>88</v>
      </c>
      <c r="B124" s="1303">
        <v>2</v>
      </c>
      <c r="C124" s="1303">
        <v>5</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890</v>
      </c>
      <c r="C129" s="324"/>
      <c r="D129" s="324"/>
      <c r="E129" s="324"/>
      <c r="F129" s="324"/>
    </row>
    <row r="130" spans="1:6">
      <c r="A130" s="1302" t="s">
        <v>284</v>
      </c>
      <c r="B130" s="1303">
        <v>24</v>
      </c>
      <c r="C130" s="324"/>
      <c r="D130" s="324"/>
      <c r="E130" s="324"/>
      <c r="F130" s="324"/>
    </row>
    <row r="131" spans="1:6">
      <c r="A131" s="1302" t="s">
        <v>285</v>
      </c>
      <c r="B131" s="1303">
        <v>15</v>
      </c>
      <c r="C131" s="324"/>
      <c r="D131" s="324"/>
      <c r="E131" s="324"/>
      <c r="F131" s="324"/>
    </row>
    <row r="132" spans="1:6">
      <c r="A132" s="1297" t="s">
        <v>286</v>
      </c>
      <c r="B132" s="1298">
        <v>52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1528564.8206644244</v>
      </c>
      <c r="C3" s="43" t="s">
        <v>163</v>
      </c>
      <c r="D3" s="43"/>
      <c r="E3" s="154"/>
      <c r="F3" s="43"/>
      <c r="G3" s="43"/>
      <c r="H3" s="43"/>
      <c r="I3" s="43"/>
      <c r="J3" s="43"/>
      <c r="K3" s="96"/>
    </row>
    <row r="4" spans="1:11">
      <c r="A4" s="351" t="s">
        <v>164</v>
      </c>
      <c r="B4" s="49">
        <f>IF(ISERROR('SEAP template'!B78+'SEAP template'!C78),0,'SEAP template'!B78+'SEAP template'!C78)</f>
        <v>147280.91475008585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1404.5404209894023</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0.20062497807241048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1667.4738647248837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14716.339285714286</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0.11330765296662904</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14492.38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14492.38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0.20062497807241048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2907.53341971704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369055.81260299997</v>
      </c>
      <c r="C5" s="17">
        <f>IF(ISERROR('Eigen informatie GS &amp; warmtenet'!B57),0,'Eigen informatie GS &amp; warmtenet'!B57)</f>
        <v>0</v>
      </c>
      <c r="D5" s="30">
        <f>(SUM(HH_hh_gas_kWh,HH_rest_gas_kWh)/1000)*0.902</f>
        <v>997754.39592284558</v>
      </c>
      <c r="E5" s="17">
        <f>B32*B41</f>
        <v>17124.952194531426</v>
      </c>
      <c r="F5" s="17">
        <f>B36*B45</f>
        <v>540238.81522109744</v>
      </c>
      <c r="G5" s="18"/>
      <c r="H5" s="17"/>
      <c r="I5" s="17"/>
      <c r="J5" s="17">
        <f>B35*B44+C35*C44</f>
        <v>12598.348762671621</v>
      </c>
      <c r="K5" s="17"/>
      <c r="L5" s="17"/>
      <c r="M5" s="17"/>
      <c r="N5" s="17">
        <f>B34*B43+C34*C43</f>
        <v>130213.19404006717</v>
      </c>
      <c r="O5" s="17">
        <f>B52*B53*B54</f>
        <v>1671.2033333333334</v>
      </c>
      <c r="P5" s="17">
        <f>B60*B61*B62/1000-B60*B61*B62/1000/B63</f>
        <v>2993.4666666666667</v>
      </c>
    </row>
    <row r="6" spans="1:16">
      <c r="A6" s="16" t="s">
        <v>618</v>
      </c>
      <c r="B6" s="755">
        <f>kWh_PV_kleiner_dan_10kW</f>
        <v>17682.88769813281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386738.70030113281</v>
      </c>
      <c r="C8" s="21">
        <f>C5</f>
        <v>0</v>
      </c>
      <c r="D8" s="21">
        <f>D5</f>
        <v>997754.39592284558</v>
      </c>
      <c r="E8" s="21">
        <f>E5</f>
        <v>17124.952194531426</v>
      </c>
      <c r="F8" s="21">
        <f>F5</f>
        <v>540238.81522109744</v>
      </c>
      <c r="G8" s="21"/>
      <c r="H8" s="21"/>
      <c r="I8" s="21"/>
      <c r="J8" s="21">
        <f>J5</f>
        <v>12598.348762671621</v>
      </c>
      <c r="K8" s="21"/>
      <c r="L8" s="21">
        <f>L5</f>
        <v>0</v>
      </c>
      <c r="M8" s="21">
        <f>M5</f>
        <v>0</v>
      </c>
      <c r="N8" s="21">
        <f>N5</f>
        <v>130213.19404006717</v>
      </c>
      <c r="O8" s="21">
        <f>O5</f>
        <v>1671.2033333333334</v>
      </c>
      <c r="P8" s="21">
        <f>P5</f>
        <v>2993.4666666666667</v>
      </c>
    </row>
    <row r="9" spans="1:16">
      <c r="B9" s="19"/>
      <c r="C9" s="19"/>
      <c r="D9" s="254"/>
      <c r="E9" s="19"/>
      <c r="F9" s="19"/>
      <c r="G9" s="19"/>
      <c r="H9" s="19"/>
      <c r="I9" s="19"/>
      <c r="J9" s="19"/>
      <c r="K9" s="19"/>
      <c r="L9" s="19"/>
      <c r="M9" s="19"/>
      <c r="N9" s="19"/>
      <c r="O9" s="19"/>
      <c r="P9" s="19"/>
    </row>
    <row r="10" spans="1:16">
      <c r="A10" s="24" t="s">
        <v>207</v>
      </c>
      <c r="B10" s="25">
        <f ca="1">'EF ele_warmte'!B12</f>
        <v>0.20062497807241048</v>
      </c>
      <c r="C10" s="25">
        <f ca="1">'EF ele_warmte'!B22</f>
        <v>0.11330765296662904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77589.443267667302</v>
      </c>
      <c r="C12" s="23">
        <f ca="1">C10*C8</f>
        <v>0</v>
      </c>
      <c r="D12" s="23">
        <f>D8*D10</f>
        <v>201546.38797641482</v>
      </c>
      <c r="E12" s="23">
        <f>E10*E8</f>
        <v>3887.3641481586337</v>
      </c>
      <c r="F12" s="23">
        <f>F10*F8</f>
        <v>144243.76366403303</v>
      </c>
      <c r="G12" s="23"/>
      <c r="H12" s="23"/>
      <c r="I12" s="23"/>
      <c r="J12" s="23">
        <f>J10*J8</f>
        <v>4459.8154619857542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116970</v>
      </c>
      <c r="C26" s="36"/>
      <c r="D26" s="225"/>
    </row>
    <row r="27" spans="1:5" s="15" customFormat="1">
      <c r="A27" s="227" t="s">
        <v>721</v>
      </c>
      <c r="B27" s="37">
        <f>SUM(HH_hh_gas_aantal,HH_rest_gas_aantal)</f>
        <v>87147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82789.649999999994</v>
      </c>
      <c r="C31" s="34" t="s">
        <v>104</v>
      </c>
      <c r="D31" s="171"/>
    </row>
    <row r="32" spans="1:5">
      <c r="A32" s="168" t="s">
        <v>72</v>
      </c>
      <c r="B32" s="33">
        <f>IF((B21*($B$26-($B$27-0.05*$B$27)-$B$60))&lt;0,0,B21*($B$26-($B$27-0.05*$B$27)-$B$60))</f>
        <v>214.52472218405819</v>
      </c>
      <c r="C32" s="34" t="s">
        <v>104</v>
      </c>
      <c r="D32" s="171"/>
    </row>
    <row r="33" spans="1:6">
      <c r="A33" s="168" t="s">
        <v>73</v>
      </c>
      <c r="B33" s="33">
        <f>IF((B22*($B$26-($B$27-0.05*$B$27)-$B$60))&lt;0,0,B22*($B$26-($B$27-0.05*$B$27)-$B$60))</f>
        <v>7470.5301335179547</v>
      </c>
      <c r="C33" s="34" t="s">
        <v>104</v>
      </c>
      <c r="D33" s="171"/>
    </row>
    <row r="34" spans="1:6">
      <c r="A34" s="168" t="s">
        <v>74</v>
      </c>
      <c r="B34" s="33">
        <f>IF((B24*($B$26-($B$27-0.05*$B$27)-$B$60))&lt;0,0,B24*($B$26-($B$27-0.05*$B$27)-$B$60))</f>
        <v>1482.8671824331973</v>
      </c>
      <c r="C34" s="33">
        <f>B26*C24</f>
        <v>23932.024853193645</v>
      </c>
      <c r="D34" s="230"/>
    </row>
    <row r="35" spans="1:6">
      <c r="A35" s="168" t="s">
        <v>76</v>
      </c>
      <c r="B35" s="33">
        <f>IF((B19*($B$26-($B$27-0.05*$B$27)-$B$60))&lt;0,0,B19*($B$26-($B$27-0.05*$B$27)-$B$60))</f>
        <v>724.46494865017746</v>
      </c>
      <c r="C35" s="33">
        <f>B35/2</f>
        <v>362.23247432508873</v>
      </c>
      <c r="D35" s="230"/>
    </row>
    <row r="36" spans="1:6">
      <c r="A36" s="168" t="s">
        <v>77</v>
      </c>
      <c r="B36" s="33">
        <f>IF((B18*($B$26-($B$27-0.05*$B$27)-$B$60))&lt;0,0,B18*($B$26-($B$27-0.05*$B$27)-$B$60))</f>
        <v>24130.96301321463</v>
      </c>
      <c r="C36" s="34" t="s">
        <v>104</v>
      </c>
      <c r="D36" s="171"/>
    </row>
    <row r="37" spans="1:6">
      <c r="A37" s="168" t="s">
        <v>78</v>
      </c>
      <c r="B37" s="33">
        <f>B60</f>
        <v>157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1069</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157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713312.78799999994</v>
      </c>
      <c r="C5" s="17">
        <f>IF(ISERROR('Eigen informatie GS &amp; warmtenet'!B58),0,'Eigen informatie GS &amp; warmtenet'!B58)</f>
        <v>0</v>
      </c>
      <c r="D5" s="30">
        <f>SUM(D6:D12)</f>
        <v>717445.98632659798</v>
      </c>
      <c r="E5" s="17">
        <f>SUM(E6:E12)</f>
        <v>5721.5270003776113</v>
      </c>
      <c r="F5" s="17">
        <f>SUM(F6:F12)</f>
        <v>112514.24697300165</v>
      </c>
      <c r="G5" s="18"/>
      <c r="H5" s="17"/>
      <c r="I5" s="17"/>
      <c r="J5" s="17">
        <f>SUM(J6:J12)</f>
        <v>0</v>
      </c>
      <c r="K5" s="17"/>
      <c r="L5" s="17"/>
      <c r="M5" s="17"/>
      <c r="N5" s="17">
        <f>SUM(N6:N12)</f>
        <v>47374.75648823518</v>
      </c>
      <c r="O5" s="17">
        <f>B38*B39*B40</f>
        <v>37.520000000000003</v>
      </c>
      <c r="P5" s="17">
        <f>B46*B47*B48/1000-B46*B47*B48/1000/B49</f>
        <v>286</v>
      </c>
      <c r="R5" s="32"/>
    </row>
    <row r="6" spans="1:18">
      <c r="A6" s="32" t="s">
        <v>53</v>
      </c>
      <c r="B6" s="37">
        <f>B26</f>
        <v>183000</v>
      </c>
      <c r="C6" s="33"/>
      <c r="D6" s="37">
        <f>IF(ISERROR(TER_kantoor_gas_kWh/1000),0,TER_kantoor_gas_kWh/1000)*0.902</f>
        <v>273453.95939957339</v>
      </c>
      <c r="E6" s="33">
        <f>$C$26*'E Balans VL '!I12/100/3.6*1000000</f>
        <v>530.17784990711812</v>
      </c>
      <c r="F6" s="33">
        <f>$C$26*('E Balans VL '!L12+'E Balans VL '!N12)/100/3.6*1000000</f>
        <v>20711.568197404889</v>
      </c>
      <c r="G6" s="34"/>
      <c r="H6" s="33"/>
      <c r="I6" s="33"/>
      <c r="J6" s="33">
        <f>$C$26*('E Balans VL '!D12+'E Balans VL '!E12)/100/3.6*1000000</f>
        <v>0</v>
      </c>
      <c r="K6" s="33"/>
      <c r="L6" s="33"/>
      <c r="M6" s="33"/>
      <c r="N6" s="33">
        <f>$C$26*'E Balans VL '!Y12/100/3.6*1000000</f>
        <v>1831.6951595795413</v>
      </c>
      <c r="O6" s="33"/>
      <c r="P6" s="33"/>
      <c r="R6" s="32"/>
    </row>
    <row r="7" spans="1:18">
      <c r="A7" s="32" t="s">
        <v>52</v>
      </c>
      <c r="B7" s="37">
        <f t="shared" ref="B7:B12" si="0">B27</f>
        <v>59544.875</v>
      </c>
      <c r="C7" s="33"/>
      <c r="D7" s="37">
        <f>IF(ISERROR(TER_horeca_gas_kWh/1000),0,TER_horeca_gas_kWh/1000)*0.902</f>
        <v>83928.216363990214</v>
      </c>
      <c r="E7" s="33">
        <f>$C$27*'E Balans VL '!I9/100/3.6*1000000</f>
        <v>2499.5274874072616</v>
      </c>
      <c r="F7" s="33">
        <f>$C$27*('E Balans VL '!L9+'E Balans VL '!N9)/100/3.6*1000000</f>
        <v>12794.437476417041</v>
      </c>
      <c r="G7" s="34"/>
      <c r="H7" s="33"/>
      <c r="I7" s="33"/>
      <c r="J7" s="33">
        <f>$C$27*('E Balans VL '!D9+'E Balans VL '!E9)/100/3.6*1000000</f>
        <v>0</v>
      </c>
      <c r="K7" s="33"/>
      <c r="L7" s="33"/>
      <c r="M7" s="33"/>
      <c r="N7" s="33">
        <f>$C$27*'E Balans VL '!Y9/100/3.6*1000000</f>
        <v>15.34419354867712</v>
      </c>
      <c r="O7" s="33"/>
      <c r="P7" s="33"/>
      <c r="R7" s="32"/>
    </row>
    <row r="8" spans="1:18">
      <c r="A8" s="6" t="s">
        <v>51</v>
      </c>
      <c r="B8" s="37">
        <f t="shared" si="0"/>
        <v>158000</v>
      </c>
      <c r="C8" s="33"/>
      <c r="D8" s="37">
        <f>IF(ISERROR(TER_handel_gas_kWh/1000),0,TER_handel_gas_kWh/1000)*0.902</f>
        <v>68362.899109833845</v>
      </c>
      <c r="E8" s="33">
        <f>$C$28*'E Balans VL '!I13/100/3.6*1000000</f>
        <v>1697.0514996619127</v>
      </c>
      <c r="F8" s="33">
        <f>$C$28*('E Balans VL '!L13+'E Balans VL '!N13)/100/3.6*1000000</f>
        <v>20454.404737103108</v>
      </c>
      <c r="G8" s="34"/>
      <c r="H8" s="33"/>
      <c r="I8" s="33"/>
      <c r="J8" s="33">
        <f>$C$28*('E Balans VL '!D13+'E Balans VL '!E13)/100/3.6*1000000</f>
        <v>0</v>
      </c>
      <c r="K8" s="33"/>
      <c r="L8" s="33"/>
      <c r="M8" s="33"/>
      <c r="N8" s="33">
        <f>$C$28*'E Balans VL '!Y13/100/3.6*1000000</f>
        <v>1281.7046271751053</v>
      </c>
      <c r="O8" s="33"/>
      <c r="P8" s="33"/>
      <c r="R8" s="32"/>
    </row>
    <row r="9" spans="1:18">
      <c r="A9" s="32" t="s">
        <v>50</v>
      </c>
      <c r="B9" s="37">
        <f t="shared" si="0"/>
        <v>90845.608999999997</v>
      </c>
      <c r="C9" s="33"/>
      <c r="D9" s="37">
        <f>IF(ISERROR(TER_gezond_gas_kWh/1000),0,TER_gezond_gas_kWh/1000)*0.902</f>
        <v>76091.11332643716</v>
      </c>
      <c r="E9" s="33">
        <f>$C$29*'E Balans VL '!I10/100/3.6*1000000</f>
        <v>72.318980500574469</v>
      </c>
      <c r="F9" s="33">
        <f>$C$29*('E Balans VL '!L10+'E Balans VL '!N10)/100/3.6*1000000</f>
        <v>11043.596611247835</v>
      </c>
      <c r="G9" s="34"/>
      <c r="H9" s="33"/>
      <c r="I9" s="33"/>
      <c r="J9" s="33">
        <f>$C$29*('E Balans VL '!D10+'E Balans VL '!E10)/100/3.6*1000000</f>
        <v>0</v>
      </c>
      <c r="K9" s="33"/>
      <c r="L9" s="33"/>
      <c r="M9" s="33"/>
      <c r="N9" s="33">
        <f>$C$29*'E Balans VL '!Y10/100/3.6*1000000</f>
        <v>733.82676153924967</v>
      </c>
      <c r="O9" s="33"/>
      <c r="P9" s="33"/>
      <c r="R9" s="32"/>
    </row>
    <row r="10" spans="1:18">
      <c r="A10" s="32" t="s">
        <v>49</v>
      </c>
      <c r="B10" s="37">
        <f t="shared" si="0"/>
        <v>52572.148000000001</v>
      </c>
      <c r="C10" s="33"/>
      <c r="D10" s="37">
        <f>IF(ISERROR(TER_ander_gas_kWh/1000),0,TER_ander_gas_kWh/1000)*0.902</f>
        <v>41942.603705359841</v>
      </c>
      <c r="E10" s="33">
        <f>$C$30*'E Balans VL '!I14/100/3.6*1000000</f>
        <v>180.16751298263364</v>
      </c>
      <c r="F10" s="33">
        <f>$C$30*('E Balans VL '!L14+'E Balans VL '!N14)/100/3.6*1000000</f>
        <v>11742.481582751647</v>
      </c>
      <c r="G10" s="34"/>
      <c r="H10" s="33"/>
      <c r="I10" s="33"/>
      <c r="J10" s="33">
        <f>$C$30*('E Balans VL '!D14+'E Balans VL '!E14)/100/3.6*1000000</f>
        <v>0</v>
      </c>
      <c r="K10" s="33"/>
      <c r="L10" s="33"/>
      <c r="M10" s="33"/>
      <c r="N10" s="33">
        <f>$C$30*'E Balans VL '!Y14/100/3.6*1000000</f>
        <v>37032.108247230623</v>
      </c>
      <c r="O10" s="33"/>
      <c r="P10" s="33"/>
      <c r="R10" s="32"/>
    </row>
    <row r="11" spans="1:18">
      <c r="A11" s="32" t="s">
        <v>54</v>
      </c>
      <c r="B11" s="37">
        <f t="shared" si="0"/>
        <v>94472.788</v>
      </c>
      <c r="C11" s="33"/>
      <c r="D11" s="37">
        <f>IF(ISERROR(TER_onderwijs_gas_kWh/1000),0,TER_onderwijs_gas_kWh/1000)*0.902</f>
        <v>99868.947562550253</v>
      </c>
      <c r="E11" s="33">
        <f>$C$31*'E Balans VL '!I11/100/3.6*1000000</f>
        <v>65.306128811513446</v>
      </c>
      <c r="F11" s="33">
        <f>$C$31*('E Balans VL '!L11+'E Balans VL '!N11)/100/3.6*1000000</f>
        <v>24730.231650110316</v>
      </c>
      <c r="G11" s="34"/>
      <c r="H11" s="33"/>
      <c r="I11" s="33"/>
      <c r="J11" s="33">
        <f>$C$31*('E Balans VL '!D11+'E Balans VL '!E11)/100/3.6*1000000</f>
        <v>0</v>
      </c>
      <c r="K11" s="33"/>
      <c r="L11" s="33"/>
      <c r="M11" s="33"/>
      <c r="N11" s="33">
        <f>$C$31*'E Balans VL '!Y11/100/3.6*1000000</f>
        <v>94.03961388961666</v>
      </c>
      <c r="O11" s="33"/>
      <c r="P11" s="33"/>
      <c r="R11" s="32"/>
    </row>
    <row r="12" spans="1:18">
      <c r="A12" s="32" t="s">
        <v>249</v>
      </c>
      <c r="B12" s="37">
        <f t="shared" si="0"/>
        <v>74877.368000000002</v>
      </c>
      <c r="C12" s="33"/>
      <c r="D12" s="37">
        <f>IF(ISERROR(TER_rest_gas_kWh/1000),0,TER_rest_gas_kWh/1000)*0.902</f>
        <v>73798.24685885325</v>
      </c>
      <c r="E12" s="33">
        <f>$C$32*'E Balans VL '!I8/100/3.6*1000000</f>
        <v>676.97754110659889</v>
      </c>
      <c r="F12" s="33">
        <f>$C$32*('E Balans VL '!L8+'E Balans VL '!N8)/100/3.6*1000000</f>
        <v>11037.526717966821</v>
      </c>
      <c r="G12" s="34"/>
      <c r="H12" s="33"/>
      <c r="I12" s="33"/>
      <c r="J12" s="33">
        <f>$C$32*('E Balans VL '!D8+'E Balans VL '!E8)/100/3.6*1000000</f>
        <v>0</v>
      </c>
      <c r="K12" s="33"/>
      <c r="L12" s="33"/>
      <c r="M12" s="33"/>
      <c r="N12" s="33">
        <f>$C$32*'E Balans VL '!Y8/100/3.6*1000000</f>
        <v>6386.0378852723679</v>
      </c>
      <c r="O12" s="33"/>
      <c r="P12" s="33"/>
      <c r="R12" s="32"/>
    </row>
    <row r="13" spans="1:18">
      <c r="A13" s="16" t="s">
        <v>481</v>
      </c>
      <c r="B13" s="243">
        <f ca="1">'lokale energieproductie'!N44+'lokale energieproductie'!N37</f>
        <v>4336.125</v>
      </c>
      <c r="C13" s="243">
        <f ca="1">'lokale energieproductie'!O44+'lokale energieproductie'!O37</f>
        <v>3539.4642857142858</v>
      </c>
      <c r="D13" s="302">
        <f ca="1">('lokale energieproductie'!P37+'lokale energieproductie'!P44)*(-1)</f>
        <v>-6963.2142857142862</v>
      </c>
      <c r="E13" s="244"/>
      <c r="F13" s="302">
        <f ca="1">('lokale energieproductie'!S37+'lokale energieproductie'!S44)*(-1)</f>
        <v>0</v>
      </c>
      <c r="G13" s="245"/>
      <c r="H13" s="244"/>
      <c r="I13" s="244"/>
      <c r="J13" s="244"/>
      <c r="K13" s="244"/>
      <c r="L13" s="302">
        <f ca="1">('lokale energieproductie'!U37+'lokale energieproductie'!T37+'lokale energieproductie'!U44+'lokale energieproductie'!T44)*(-1)</f>
        <v>-115.71428571428572</v>
      </c>
      <c r="M13" s="244"/>
      <c r="N13" s="302">
        <f ca="1">('lokale energieproductie'!Q37+'lokale energieproductie'!R37+'lokale energieproductie'!V37+'lokale energieproductie'!Q44+'lokale energieproductie'!R44+'lokale energieproductie'!V44)*(-1)</f>
        <v>-5310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717648.91299999994</v>
      </c>
      <c r="C16" s="21">
        <f t="shared" ca="1" si="1"/>
        <v>3539.4642857142858</v>
      </c>
      <c r="D16" s="21">
        <f t="shared" ca="1" si="1"/>
        <v>710482.77204088366</v>
      </c>
      <c r="E16" s="21">
        <f t="shared" si="1"/>
        <v>5721.5270003776113</v>
      </c>
      <c r="F16" s="21">
        <f t="shared" ca="1" si="1"/>
        <v>112514.24697300165</v>
      </c>
      <c r="G16" s="21">
        <f t="shared" si="1"/>
        <v>0</v>
      </c>
      <c r="H16" s="21">
        <f t="shared" si="1"/>
        <v>0</v>
      </c>
      <c r="I16" s="21">
        <f t="shared" si="1"/>
        <v>0</v>
      </c>
      <c r="J16" s="21">
        <f t="shared" si="1"/>
        <v>0</v>
      </c>
      <c r="K16" s="21">
        <f t="shared" si="1"/>
        <v>0</v>
      </c>
      <c r="L16" s="21">
        <f t="shared" ca="1" si="1"/>
        <v>0</v>
      </c>
      <c r="M16" s="21">
        <f t="shared" si="1"/>
        <v>0</v>
      </c>
      <c r="N16" s="21">
        <f t="shared" ca="1" si="1"/>
        <v>42064.75648823518</v>
      </c>
      <c r="O16" s="21">
        <f>O5</f>
        <v>37.520000000000003</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0.20062497807241048</v>
      </c>
      <c r="C18" s="25">
        <f ca="1">'EF ele_warmte'!B22</f>
        <v>0.11330765296662904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143978.29743431421</v>
      </c>
      <c r="C20" s="23">
        <f t="shared" ref="C20:P20" ca="1" si="2">C16*C18</f>
        <v>401.04839097349179</v>
      </c>
      <c r="D20" s="23">
        <f t="shared" ca="1" si="2"/>
        <v>143517.5199522585</v>
      </c>
      <c r="E20" s="23">
        <f t="shared" si="2"/>
        <v>1298.7866290857178</v>
      </c>
      <c r="F20" s="23">
        <f t="shared" ca="1" si="2"/>
        <v>30041.303941791441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183000</v>
      </c>
      <c r="C26" s="39">
        <f>IF(ISERROR(B26*3.6/1000000/'E Balans VL '!Z12*100),0,B26*3.6/1000000/'E Balans VL '!Z12*100)</f>
        <v>4.0198065691859552</v>
      </c>
      <c r="D26" s="233" t="s">
        <v>676</v>
      </c>
      <c r="F26" s="6"/>
    </row>
    <row r="27" spans="1:18">
      <c r="A27" s="228" t="s">
        <v>52</v>
      </c>
      <c r="B27" s="33">
        <f>IF(ISERROR(TER_horeca_ele_kWh/1000),0,TER_horeca_ele_kWh/1000)</f>
        <v>59544.875</v>
      </c>
      <c r="C27" s="39">
        <f>IF(ISERROR(B27*3.6/1000000/'E Balans VL '!Z9*100),0,B27*3.6/1000000/'E Balans VL '!Z9*100)</f>
        <v>4.7850242565744701</v>
      </c>
      <c r="D27" s="233" t="s">
        <v>676</v>
      </c>
      <c r="F27" s="6"/>
    </row>
    <row r="28" spans="1:18">
      <c r="A28" s="168" t="s">
        <v>51</v>
      </c>
      <c r="B28" s="33">
        <f>IF(ISERROR(TER_handel_ele_kWh/1000),0,TER_handel_ele_kWh/1000)</f>
        <v>158000</v>
      </c>
      <c r="C28" s="39">
        <f>IF(ISERROR(B28*3.6/1000000/'E Balans VL '!Z13*100),0,B28*3.6/1000000/'E Balans VL '!Z13*100)</f>
        <v>4.6719496188823744</v>
      </c>
      <c r="D28" s="233" t="s">
        <v>676</v>
      </c>
      <c r="F28" s="6"/>
    </row>
    <row r="29" spans="1:18">
      <c r="A29" s="228" t="s">
        <v>50</v>
      </c>
      <c r="B29" s="33">
        <f>IF(ISERROR(TER_gezond_ele_kWh/1000),0,TER_gezond_ele_kWh/1000)</f>
        <v>90845.608999999997</v>
      </c>
      <c r="C29" s="39">
        <f>IF(ISERROR(B29*3.6/1000000/'E Balans VL '!Z10*100),0,B29*3.6/1000000/'E Balans VL '!Z10*100)</f>
        <v>10.23595470742552</v>
      </c>
      <c r="D29" s="233" t="s">
        <v>676</v>
      </c>
      <c r="F29" s="6"/>
    </row>
    <row r="30" spans="1:18">
      <c r="A30" s="228" t="s">
        <v>49</v>
      </c>
      <c r="B30" s="33">
        <f>IF(ISERROR(TER_ander_ele_kWh/1000),0,TER_ander_ele_kWh/1000)</f>
        <v>52572.148000000001</v>
      </c>
      <c r="C30" s="39">
        <f>IF(ISERROR(B30*3.6/1000000/'E Balans VL '!Z14*100),0,B30*3.6/1000000/'E Balans VL '!Z14*100)</f>
        <v>3.9759416852123386</v>
      </c>
      <c r="D30" s="233" t="s">
        <v>676</v>
      </c>
      <c r="F30" s="6"/>
    </row>
    <row r="31" spans="1:18">
      <c r="A31" s="228" t="s">
        <v>54</v>
      </c>
      <c r="B31" s="33">
        <f>IF(ISERROR(TER_onderwijs_ele_kWh/1000),0,TER_onderwijs_ele_kWh/1000)</f>
        <v>94472.788</v>
      </c>
      <c r="C31" s="39">
        <f>IF(ISERROR(B31*3.6/1000000/'E Balans VL '!Z11*100),0,B31*3.6/1000000/'E Balans VL '!Z11*100)</f>
        <v>19.610357697176934</v>
      </c>
      <c r="D31" s="233" t="s">
        <v>676</v>
      </c>
    </row>
    <row r="32" spans="1:18">
      <c r="A32" s="228" t="s">
        <v>249</v>
      </c>
      <c r="B32" s="33">
        <f>IF(ISERROR(TER_rest_ele_kWh/1000),0,TER_rest_ele_kWh/1000)</f>
        <v>74877.368000000002</v>
      </c>
      <c r="C32" s="39">
        <f>IF(ISERROR(B32*3.6/1000000/'E Balans VL '!Z8*100),0,B32*3.6/1000000/'E Balans VL '!Z8*100)</f>
        <v>0.63079777653610469</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361316.08289999998</v>
      </c>
      <c r="C5" s="17">
        <f>IF(ISERROR('Eigen informatie GS &amp; warmtenet'!B59),0,'Eigen informatie GS &amp; warmtenet'!B59)</f>
        <v>0</v>
      </c>
      <c r="D5" s="30">
        <f>SUM(D6:D15)</f>
        <v>284359.69630985655</v>
      </c>
      <c r="E5" s="17">
        <f>SUM(E6:E15)</f>
        <v>17387.881894585084</v>
      </c>
      <c r="F5" s="17">
        <f>SUM(F6:F15)</f>
        <v>88503.936816713045</v>
      </c>
      <c r="G5" s="18"/>
      <c r="H5" s="17"/>
      <c r="I5" s="17"/>
      <c r="J5" s="17">
        <f>SUM(J6:J15)</f>
        <v>1034.2355743648895</v>
      </c>
      <c r="K5" s="17"/>
      <c r="L5" s="17"/>
      <c r="M5" s="17"/>
      <c r="N5" s="17">
        <f>SUM(N6:N15)</f>
        <v>18171.16648732765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32518.334999999999</v>
      </c>
      <c r="C8" s="33"/>
      <c r="D8" s="37">
        <f>IF( ISERROR(IND_metaal_Gas_kWH/1000),0,IND_metaal_Gas_kWH/1000)*0.902</f>
        <v>11209.998755306393</v>
      </c>
      <c r="E8" s="33">
        <f>C30*'E Balans VL '!I18/100/3.6*1000000</f>
        <v>813.82011331575757</v>
      </c>
      <c r="F8" s="33">
        <f>C30*'E Balans VL '!L18/100/3.6*1000000+C30*'E Balans VL '!N18/100/3.6*1000000</f>
        <v>10191.407943516999</v>
      </c>
      <c r="G8" s="34"/>
      <c r="H8" s="33"/>
      <c r="I8" s="33"/>
      <c r="J8" s="40">
        <f>C30*'E Balans VL '!D18/100/3.6*1000000+C30*'E Balans VL '!E18/100/3.6*1000000</f>
        <v>0</v>
      </c>
      <c r="K8" s="33"/>
      <c r="L8" s="33"/>
      <c r="M8" s="33"/>
      <c r="N8" s="33">
        <f>C30*'E Balans VL '!Y18/100/3.6*1000000</f>
        <v>816.94496763840255</v>
      </c>
      <c r="O8" s="33"/>
      <c r="P8" s="33"/>
      <c r="R8" s="32"/>
    </row>
    <row r="9" spans="1:18">
      <c r="A9" s="6" t="s">
        <v>32</v>
      </c>
      <c r="B9" s="37">
        <f t="shared" si="0"/>
        <v>25907.824000000001</v>
      </c>
      <c r="C9" s="33"/>
      <c r="D9" s="37">
        <f>IF( ISERROR(IND_andere_gas_kWh/1000),0,IND_andere_gas_kWh/1000)*0.902</f>
        <v>53751.369916827549</v>
      </c>
      <c r="E9" s="33">
        <f>C31*'E Balans VL '!I19/100/3.6*1000000</f>
        <v>7123.5889891583165</v>
      </c>
      <c r="F9" s="33">
        <f>C31*'E Balans VL '!L19/100/3.6*1000000+C31*'E Balans VL '!N19/100/3.6*1000000</f>
        <v>20419.873597061669</v>
      </c>
      <c r="G9" s="34"/>
      <c r="H9" s="33"/>
      <c r="I9" s="33"/>
      <c r="J9" s="40">
        <f>C31*'E Balans VL '!D19/100/3.6*1000000+C31*'E Balans VL '!E19/100/3.6*1000000</f>
        <v>0</v>
      </c>
      <c r="K9" s="33"/>
      <c r="L9" s="33"/>
      <c r="M9" s="33"/>
      <c r="N9" s="33">
        <f>C31*'E Balans VL '!Y19/100/3.6*1000000</f>
        <v>2087.1506273970899</v>
      </c>
      <c r="O9" s="33"/>
      <c r="P9" s="33"/>
      <c r="R9" s="32"/>
    </row>
    <row r="10" spans="1:18">
      <c r="A10" s="6" t="s">
        <v>40</v>
      </c>
      <c r="B10" s="37">
        <f t="shared" si="0"/>
        <v>7749.7730000000001</v>
      </c>
      <c r="C10" s="33"/>
      <c r="D10" s="37">
        <f>IF( ISERROR(IND_voed_gas_kWh/1000),0,IND_voed_gas_kWh/1000)*0.902</f>
        <v>7602.8791687173216</v>
      </c>
      <c r="E10" s="33">
        <f>C32*'E Balans VL '!I20/100/3.6*1000000</f>
        <v>79.004666360693165</v>
      </c>
      <c r="F10" s="33">
        <f>C32*'E Balans VL '!L20/100/3.6*1000000+C32*'E Balans VL '!N20/100/3.6*1000000</f>
        <v>14639.272726848758</v>
      </c>
      <c r="G10" s="34"/>
      <c r="H10" s="33"/>
      <c r="I10" s="33"/>
      <c r="J10" s="40">
        <f>C32*'E Balans VL '!D20/100/3.6*1000000+C32*'E Balans VL '!E20/100/3.6*1000000</f>
        <v>185.47742526205892</v>
      </c>
      <c r="K10" s="33"/>
      <c r="L10" s="33"/>
      <c r="M10" s="33"/>
      <c r="N10" s="33">
        <f>C32*'E Balans VL '!Y20/100/3.6*1000000</f>
        <v>4085.0230353879097</v>
      </c>
      <c r="O10" s="33"/>
      <c r="P10" s="33"/>
      <c r="R10" s="32"/>
    </row>
    <row r="11" spans="1:18">
      <c r="A11" s="6" t="s">
        <v>39</v>
      </c>
      <c r="B11" s="37">
        <f t="shared" si="0"/>
        <v>361.66790000000003</v>
      </c>
      <c r="C11" s="33"/>
      <c r="D11" s="37">
        <f>IF( ISERROR(IND_textiel_gas_kWh/1000),0,IND_textiel_gas_kWh/1000)*0.902</f>
        <v>410.8085137378161</v>
      </c>
      <c r="E11" s="33">
        <f>C33*'E Balans VL '!I21/100/3.6*1000000</f>
        <v>0.95859686926675036</v>
      </c>
      <c r="F11" s="33">
        <f>C33*'E Balans VL '!L21/100/3.6*1000000+C33*'E Balans VL '!N21/100/3.6*1000000</f>
        <v>16.152461502219733</v>
      </c>
      <c r="G11" s="34"/>
      <c r="H11" s="33"/>
      <c r="I11" s="33"/>
      <c r="J11" s="40">
        <f>C33*'E Balans VL '!D21/100/3.6*1000000+C33*'E Balans VL '!E21/100/3.6*1000000</f>
        <v>0</v>
      </c>
      <c r="K11" s="33"/>
      <c r="L11" s="33"/>
      <c r="M11" s="33"/>
      <c r="N11" s="33">
        <f>C33*'E Balans VL '!Y21/100/3.6*1000000</f>
        <v>3.4084614220550047</v>
      </c>
      <c r="O11" s="33"/>
      <c r="P11" s="33"/>
      <c r="R11" s="32"/>
    </row>
    <row r="12" spans="1:18">
      <c r="A12" s="6" t="s">
        <v>36</v>
      </c>
      <c r="B12" s="37">
        <f t="shared" si="0"/>
        <v>71611.983999999997</v>
      </c>
      <c r="C12" s="33"/>
      <c r="D12" s="37">
        <f>IF( ISERROR(IND_min_gas_kWh/1000),0,IND_min_gas_kWh/1000)*0.902</f>
        <v>134.18815956204858</v>
      </c>
      <c r="E12" s="33">
        <f>C34*'E Balans VL '!I22/100/3.6*1000000</f>
        <v>216.88030564500889</v>
      </c>
      <c r="F12" s="33">
        <f>C34*'E Balans VL '!L22/100/3.6*1000000+C34*'E Balans VL '!N22/100/3.6*1000000</f>
        <v>2237.936067408195</v>
      </c>
      <c r="G12" s="34"/>
      <c r="H12" s="33"/>
      <c r="I12" s="33"/>
      <c r="J12" s="40">
        <f>C34*'E Balans VL '!D22/100/3.6*1000000+C34*'E Balans VL '!E22/100/3.6*1000000</f>
        <v>106.18467523071115</v>
      </c>
      <c r="K12" s="33"/>
      <c r="L12" s="33"/>
      <c r="M12" s="33"/>
      <c r="N12" s="33">
        <f>C34*'E Balans VL '!Y22/100/3.6*1000000</f>
        <v>0</v>
      </c>
      <c r="O12" s="33"/>
      <c r="P12" s="33"/>
      <c r="R12" s="32"/>
    </row>
    <row r="13" spans="1:18">
      <c r="A13" s="6" t="s">
        <v>38</v>
      </c>
      <c r="B13" s="37">
        <f t="shared" si="0"/>
        <v>14300.188</v>
      </c>
      <c r="C13" s="33"/>
      <c r="D13" s="37">
        <f>IF( ISERROR(IND_papier_gas_kWh/1000),0,IND_papier_gas_kWh/1000)*0.902</f>
        <v>2774.0205503499228</v>
      </c>
      <c r="E13" s="33">
        <f>C35*'E Balans VL '!I23/100/3.6*1000000</f>
        <v>29.616654587447435</v>
      </c>
      <c r="F13" s="33">
        <f>C35*'E Balans VL '!L23/100/3.6*1000000+C35*'E Balans VL '!N23/100/3.6*1000000</f>
        <v>283.60338520641642</v>
      </c>
      <c r="G13" s="34"/>
      <c r="H13" s="33"/>
      <c r="I13" s="33"/>
      <c r="J13" s="40">
        <f>C35*'E Balans VL '!D23/100/3.6*1000000+C35*'E Balans VL '!E23/100/3.6*1000000</f>
        <v>0</v>
      </c>
      <c r="K13" s="33"/>
      <c r="L13" s="33"/>
      <c r="M13" s="33"/>
      <c r="N13" s="33">
        <f>C35*'E Balans VL '!Y23/100/3.6*1000000</f>
        <v>991.79031877050306</v>
      </c>
      <c r="O13" s="33"/>
      <c r="P13" s="33"/>
      <c r="R13" s="32"/>
    </row>
    <row r="14" spans="1:18">
      <c r="A14" s="6" t="s">
        <v>33</v>
      </c>
      <c r="B14" s="37">
        <f t="shared" si="0"/>
        <v>31866.311000000002</v>
      </c>
      <c r="C14" s="33"/>
      <c r="D14" s="37">
        <f>IF( ISERROR(IND_chemie_gas_kWh/1000),0,IND_chemie_gas_kWh/1000)*0.902</f>
        <v>12222.737634270778</v>
      </c>
      <c r="E14" s="33">
        <f>C36*'E Balans VL '!I24/100/3.6*1000000</f>
        <v>119.47203695090728</v>
      </c>
      <c r="F14" s="33">
        <f>C36*'E Balans VL '!L24/100/3.6*1000000+C36*'E Balans VL '!N24/100/3.6*1000000</f>
        <v>370.73114909901409</v>
      </c>
      <c r="G14" s="34"/>
      <c r="H14" s="33"/>
      <c r="I14" s="33"/>
      <c r="J14" s="40">
        <f>C36*'E Balans VL '!D24/100/3.6*1000000+C36*'E Balans VL '!E24/100/3.6*1000000</f>
        <v>0</v>
      </c>
      <c r="K14" s="33"/>
      <c r="L14" s="33"/>
      <c r="M14" s="33"/>
      <c r="N14" s="33">
        <f>C36*'E Balans VL '!Y24/100/3.6*1000000</f>
        <v>544.42063017074804</v>
      </c>
      <c r="O14" s="33"/>
      <c r="P14" s="33"/>
      <c r="R14" s="32"/>
    </row>
    <row r="15" spans="1:18">
      <c r="A15" s="6" t="s">
        <v>259</v>
      </c>
      <c r="B15" s="37">
        <f t="shared" si="0"/>
        <v>177000</v>
      </c>
      <c r="C15" s="33"/>
      <c r="D15" s="37">
        <f>IF( ISERROR(IND_rest_gas_kWh/1000),0,IND_rest_gas_kWh/1000)*0.902</f>
        <v>196253.69361108475</v>
      </c>
      <c r="E15" s="33">
        <f>C37*'E Balans VL '!I15/100/3.6*1000000</f>
        <v>9004.5405316976867</v>
      </c>
      <c r="F15" s="33">
        <f>C37*'E Balans VL '!L15/100/3.6*1000000+C37*'E Balans VL '!N15/100/3.6*1000000</f>
        <v>40344.959486069769</v>
      </c>
      <c r="G15" s="34"/>
      <c r="H15" s="33"/>
      <c r="I15" s="33"/>
      <c r="J15" s="40">
        <f>C37*'E Balans VL '!D15/100/3.6*1000000+C37*'E Balans VL '!E15/100/3.6*1000000</f>
        <v>742.57347387211939</v>
      </c>
      <c r="K15" s="33"/>
      <c r="L15" s="33"/>
      <c r="M15" s="33"/>
      <c r="N15" s="33">
        <f>C37*'E Balans VL '!Y15/100/3.6*1000000</f>
        <v>9642.4284465409419</v>
      </c>
      <c r="O15" s="33"/>
      <c r="P15" s="33"/>
      <c r="R15" s="32"/>
    </row>
    <row r="16" spans="1:18">
      <c r="A16" s="16" t="s">
        <v>481</v>
      </c>
      <c r="B16" s="243">
        <f>'lokale energieproductie'!N43+'lokale energieproductie'!N36</f>
        <v>9900</v>
      </c>
      <c r="C16" s="243">
        <f>'lokale energieproductie'!O43+'lokale energieproductie'!O36</f>
        <v>11137.5</v>
      </c>
      <c r="D16" s="302">
        <f>('lokale energieproductie'!P36+'lokale energieproductie'!P43)*(-1)</f>
        <v>0</v>
      </c>
      <c r="E16" s="244"/>
      <c r="F16" s="302">
        <f>('lokale energieproductie'!S36+'lokale energieproductie'!S43)*(-1)</f>
        <v>-6187.5</v>
      </c>
      <c r="G16" s="245"/>
      <c r="H16" s="244"/>
      <c r="I16" s="244"/>
      <c r="J16" s="244"/>
      <c r="K16" s="244"/>
      <c r="L16" s="302">
        <f>('lokale energieproductie'!T36+'lokale energieproductie'!U36+'lokale energieproductie'!T43+'lokale energieproductie'!U43)*(-1)</f>
        <v>-18562.5</v>
      </c>
      <c r="M16" s="244"/>
      <c r="N16" s="302">
        <f>('lokale energieproductie'!Q36+'lokale energieproductie'!R36+'lokale energieproductie'!V36+'lokale energieproductie'!Q43+'lokale energieproductie'!R43+'lokale energieproductie'!V43)*(-1)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371216.08289999998</v>
      </c>
      <c r="C18" s="21">
        <f>C5+C16</f>
        <v>11137.5</v>
      </c>
      <c r="D18" s="21">
        <f>MAX((D5+D16),0)</f>
        <v>284359.69630985655</v>
      </c>
      <c r="E18" s="21">
        <f>MAX((E5+E16),0)</f>
        <v>17387.881894585084</v>
      </c>
      <c r="F18" s="21">
        <f>MAX((F5+F16),0)</f>
        <v>82316.436816713045</v>
      </c>
      <c r="G18" s="21"/>
      <c r="H18" s="21"/>
      <c r="I18" s="21"/>
      <c r="J18" s="21">
        <f>MAX((J5+J16),0)</f>
        <v>1034.2355743648895</v>
      </c>
      <c r="K18" s="21"/>
      <c r="L18" s="21">
        <f>MAX((L5+L16),0)</f>
        <v>0</v>
      </c>
      <c r="M18" s="21"/>
      <c r="N18" s="21">
        <f>MAX((N5+N16),0)</f>
        <v>18171.16648732765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0.20062497807241048</v>
      </c>
      <c r="C20" s="25">
        <f ca="1">'EF ele_warmte'!B22</f>
        <v>0.11330765296662904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74475.218491938605</v>
      </c>
      <c r="C22" s="23">
        <f ca="1">C18*C20</f>
        <v>1261.9639849158309</v>
      </c>
      <c r="D22" s="23">
        <f>D18*D20</f>
        <v>57440.658654591025</v>
      </c>
      <c r="E22" s="23">
        <f>E18*E20</f>
        <v>3947.0491900708139</v>
      </c>
      <c r="F22" s="23">
        <f>F18*F20</f>
        <v>21978.488630062384</v>
      </c>
      <c r="G22" s="23"/>
      <c r="H22" s="23"/>
      <c r="I22" s="23"/>
      <c r="J22" s="23">
        <f>J18*J20</f>
        <v>366.1193933251709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32518.334999999999</v>
      </c>
      <c r="C30" s="39">
        <f>IF(ISERROR(B30*3.6/1000000/'E Balans VL '!Z18*100),0,B30*3.6/1000000/'E Balans VL '!Z18*100)</f>
        <v>4.5514832145143211</v>
      </c>
      <c r="D30" s="233" t="s">
        <v>676</v>
      </c>
    </row>
    <row r="31" spans="1:18">
      <c r="A31" s="6" t="s">
        <v>32</v>
      </c>
      <c r="B31" s="37">
        <f>IF( ISERROR(IND_ander_ele_kWh/1000),0,IND_ander_ele_kWh/1000)</f>
        <v>25907.824000000001</v>
      </c>
      <c r="C31" s="39">
        <f>IF(ISERROR(B31*3.6/1000000/'E Balans VL '!Z19*100),0,B31*3.6/1000000/'E Balans VL '!Z19*100)</f>
        <v>1.1339812536338307</v>
      </c>
      <c r="D31" s="233" t="s">
        <v>676</v>
      </c>
    </row>
    <row r="32" spans="1:18">
      <c r="A32" s="168" t="s">
        <v>40</v>
      </c>
      <c r="B32" s="37">
        <f>IF( ISERROR(IND_voed_ele_kWh/1000),0,IND_voed_ele_kWh/1000)</f>
        <v>7749.7730000000001</v>
      </c>
      <c r="C32" s="39">
        <f>IF(ISERROR(B32*3.6/1000000/'E Balans VL '!Z20*100),0,B32*3.6/1000000/'E Balans VL '!Z20*100)</f>
        <v>1.9185864375329411</v>
      </c>
      <c r="D32" s="233" t="s">
        <v>676</v>
      </c>
    </row>
    <row r="33" spans="1:5">
      <c r="A33" s="168" t="s">
        <v>39</v>
      </c>
      <c r="B33" s="37">
        <f>IF( ISERROR(IND_textiel_ele_kWh/1000),0,IND_textiel_ele_kWh/1000)</f>
        <v>361.66790000000003</v>
      </c>
      <c r="C33" s="39">
        <f>IF(ISERROR(B33*3.6/1000000/'E Balans VL '!Z21*100),0,B33*3.6/1000000/'E Balans VL '!Z21*100)</f>
        <v>4.0753601491246828E-2</v>
      </c>
      <c r="D33" s="233" t="s">
        <v>676</v>
      </c>
    </row>
    <row r="34" spans="1:5">
      <c r="A34" s="168" t="s">
        <v>36</v>
      </c>
      <c r="B34" s="37">
        <f>IF( ISERROR(IND_min_ele_kWh/1000),0,IND_min_ele_kWh/1000)</f>
        <v>71611.983999999997</v>
      </c>
      <c r="C34" s="39">
        <f>IF(ISERROR(B34*3.6/1000000/'E Balans VL '!Z22*100),0,B34*3.6/1000000/'E Balans VL '!Z22*100)</f>
        <v>2.0320559447273236</v>
      </c>
      <c r="D34" s="233" t="s">
        <v>676</v>
      </c>
    </row>
    <row r="35" spans="1:5">
      <c r="A35" s="168" t="s">
        <v>38</v>
      </c>
      <c r="B35" s="37">
        <f>IF( ISERROR(IND_papier_ele_kWh/1000),0,IND_papier_ele_kWh/1000)</f>
        <v>14300.188</v>
      </c>
      <c r="C35" s="39">
        <f>IF(ISERROR(B35*3.6/1000000/'E Balans VL '!Z22*100),0,B35*3.6/1000000/'E Balans VL '!Z22*100)</f>
        <v>0.40578099380849914</v>
      </c>
      <c r="D35" s="233" t="s">
        <v>676</v>
      </c>
    </row>
    <row r="36" spans="1:5">
      <c r="A36" s="168" t="s">
        <v>33</v>
      </c>
      <c r="B36" s="37">
        <f>IF( ISERROR(IND_chemie_ele_kWh/1000),0,IND_chemie_ele_kWh/1000)</f>
        <v>31866.311000000002</v>
      </c>
      <c r="C36" s="39">
        <f>IF(ISERROR(B36*3.6/1000000/'E Balans VL '!Z24*100),0,B36*3.6/1000000/'E Balans VL '!Z24*100)</f>
        <v>0.81254229177304982</v>
      </c>
      <c r="D36" s="233" t="s">
        <v>676</v>
      </c>
    </row>
    <row r="37" spans="1:5">
      <c r="A37" s="168" t="s">
        <v>259</v>
      </c>
      <c r="B37" s="37">
        <f>IF( ISERROR(IND_rest_ele_kWh/1000),0,IND_rest_ele_kWh/1000)</f>
        <v>177000</v>
      </c>
      <c r="C37" s="39">
        <f>IF(ISERROR(B37*3.6/1000000/'E Balans VL '!Z15*100),0,B37*3.6/1000000/'E Balans VL '!Z15*100)</f>
        <v>1.3124246963176558</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3162.0052000000001</v>
      </c>
      <c r="C5" s="17">
        <f>'Eigen informatie GS &amp; warmtenet'!B60</f>
        <v>0</v>
      </c>
      <c r="D5" s="30">
        <f>IF(ISERROR(SUM(LB_lb_gas_kWh,LB_rest_gas_kWh)/1000),0,SUM(LB_lb_gas_kWh,LB_rest_gas_kWh)/1000)*0.902</f>
        <v>4699.8708893643607</v>
      </c>
      <c r="E5" s="17">
        <f>B17*'E Balans VL '!I25/3.6*1000000/100</f>
        <v>29.287816531916359</v>
      </c>
      <c r="F5" s="17">
        <f>B17*('E Balans VL '!L25/3.6*1000000+'E Balans VL '!N25/3.6*1000000)/100</f>
        <v>8022.6095537724459</v>
      </c>
      <c r="G5" s="18"/>
      <c r="H5" s="17"/>
      <c r="I5" s="17"/>
      <c r="J5" s="17">
        <f>('E Balans VL '!D25+'E Balans VL '!E25)/3.6*1000000*landbouw!B17/100</f>
        <v>484.77068524102373</v>
      </c>
      <c r="K5" s="17"/>
      <c r="L5" s="17">
        <f>L6*(-1)</f>
        <v>0</v>
      </c>
      <c r="M5" s="17"/>
      <c r="N5" s="17">
        <f>N6*(-1)</f>
        <v>0</v>
      </c>
      <c r="O5" s="17"/>
      <c r="P5" s="17"/>
      <c r="R5" s="32"/>
    </row>
    <row r="6" spans="1:18">
      <c r="A6" s="16" t="s">
        <v>481</v>
      </c>
      <c r="B6" s="17" t="s">
        <v>204</v>
      </c>
      <c r="C6" s="17">
        <f>'lokale energieproductie'!O45+'lokale energieproductie'!O38</f>
        <v>39.375</v>
      </c>
      <c r="D6" s="302">
        <f>('lokale energieproductie'!P38+'lokale energieproductie'!P45)*(-1)</f>
        <v>-66.25</v>
      </c>
      <c r="E6" s="244"/>
      <c r="F6" s="302">
        <f>('lokale energieproductie'!S38+'lokale energieproductie'!S874)*(-1)</f>
        <v>0</v>
      </c>
      <c r="G6" s="245"/>
      <c r="H6" s="244"/>
      <c r="I6" s="244"/>
      <c r="J6" s="244"/>
      <c r="K6" s="244"/>
      <c r="L6" s="302">
        <f>('lokale energieproductie'!T38+'lokale energieproductie'!U38+'lokale energieproductie'!T45+'lokale energieproductie'!U45)*(-1)</f>
        <v>0</v>
      </c>
      <c r="M6" s="244"/>
      <c r="N6" s="302">
        <f>('lokale energieproductie'!V38+'lokale energieproductie'!R38+'lokale energieproductie'!Q38+'lokale energieproductie'!Q45+'lokale energieproductie'!R45+'lokale energieproductie'!V45)*(-1)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3162.0052000000001</v>
      </c>
      <c r="C8" s="21">
        <f>C5+C6</f>
        <v>39.375</v>
      </c>
      <c r="D8" s="21">
        <f>MAX((D5+D6),0)</f>
        <v>4633.6208893643607</v>
      </c>
      <c r="E8" s="21">
        <f>MAX((E5+E6),0)</f>
        <v>29.287816531916359</v>
      </c>
      <c r="F8" s="21">
        <f>MAX((F5+F6),0)</f>
        <v>8022.6095537724459</v>
      </c>
      <c r="G8" s="21"/>
      <c r="H8" s="21"/>
      <c r="I8" s="21"/>
      <c r="J8" s="21">
        <f>MAX((J5+J6),0)</f>
        <v>484.77068524102373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0.20062497807241048</v>
      </c>
      <c r="C10" s="31">
        <f ca="1">'EF ele_warmte'!B22</f>
        <v>0.11330765296662904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634.37722391484795</v>
      </c>
      <c r="C12" s="23">
        <f ca="1">C8*C10</f>
        <v>4.4614888355610187</v>
      </c>
      <c r="D12" s="23">
        <f>D8*D10</f>
        <v>935.99141965160095</v>
      </c>
      <c r="E12" s="23">
        <f>E8*E10</f>
        <v>6.6483343527450138</v>
      </c>
      <c r="F12" s="23">
        <f>F8*F10</f>
        <v>2142.0367508572431</v>
      </c>
      <c r="G12" s="23"/>
      <c r="H12" s="23"/>
      <c r="I12" s="23"/>
      <c r="J12" s="23">
        <f>J8*J10</f>
        <v>171.60882257532239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0.4495700933409042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398.26431214828153</v>
      </c>
      <c r="C26" s="243">
        <f>B26*'GWP N2O_CH4'!B5</f>
        <v>8363.5505551139122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81.224488852946735</v>
      </c>
      <c r="C27" s="243">
        <f>B27*'GWP N2O_CH4'!B5</f>
        <v>1705.7142659118815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5.707692251318071</v>
      </c>
      <c r="C28" s="243">
        <f>B28*'GWP N2O_CH4'!B4</f>
        <v>1769.384597908602</v>
      </c>
      <c r="D28" s="50"/>
    </row>
    <row r="29" spans="1:4">
      <c r="A29" s="41" t="s">
        <v>266</v>
      </c>
      <c r="B29" s="243">
        <f>B34*'ha_N2O bodem landbouw'!B4</f>
        <v>20.766272281987877</v>
      </c>
      <c r="C29" s="243">
        <f>B29*'GWP N2O_CH4'!B4</f>
        <v>6437.5444074162424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4.6575090269859367E-3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1.0793702440639308E-3</v>
      </c>
      <c r="C5" s="430" t="s">
        <v>204</v>
      </c>
      <c r="D5" s="415">
        <f>SUM(D6:D11)</f>
        <v>1.6221169150266528E-3</v>
      </c>
      <c r="E5" s="415">
        <f>SUM(E6:E11)</f>
        <v>1.7267339868590005E-2</v>
      </c>
      <c r="F5" s="428" t="s">
        <v>204</v>
      </c>
      <c r="G5" s="415">
        <f>SUM(G6:G11)</f>
        <v>6.4179255371091157</v>
      </c>
      <c r="H5" s="415">
        <f>SUM(H6:H11)</f>
        <v>0.95229233700225624</v>
      </c>
      <c r="I5" s="430" t="s">
        <v>204</v>
      </c>
      <c r="J5" s="430" t="s">
        <v>204</v>
      </c>
      <c r="K5" s="430" t="s">
        <v>204</v>
      </c>
      <c r="L5" s="430" t="s">
        <v>204</v>
      </c>
      <c r="M5" s="415">
        <f>SUM(M6:M11)</f>
        <v>0.40114068078213705</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2.9220032783762163E-4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4.4132128199562477E-4</v>
      </c>
      <c r="E6" s="858">
        <f>vkm_GW_PW*SUMIFS(TableVerdeelsleutelVkm[LPG],TableVerdeelsleutelVkm[Voertuigtype],"Lichte voertuigen")*SUMIFS(TableECFTransport[EnergieConsumptieFactor (PJ per km)],TableECFTransport[Index],CONCATENATE($A6,"_LPG_LPG"))</f>
        <v>4.3467981797616689E-3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0.9944561102130548</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0.25663207898119506</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6.548374767383551E-2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2.3093518534353782E-5</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0.88633886136083939</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1.6759275060035079E-5</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5.1387910277950026E-2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2.1347255970281811E-4</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4.8635952038049608E-4</v>
      </c>
      <c r="E8" s="418">
        <f>vkm_NGW_PW*SUMIFS(TableVerdeelsleutelVkm[LPG],TableVerdeelsleutelVkm[Voertuigtype],"Lichte voertuigen")*SUMIFS(TableECFTransport[EnergieConsumptieFactor (PJ per km)],TableECFTransport[Index],CONCATENATE($A8,"_LPG_LPG"))</f>
        <v>4.5686831010184926E-3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0.9700927766378894</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0.27320975413427212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6.4576898010366132E-2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8.2247917457478425E-6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0.40557851563451192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7.2045436705228595E-6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2.3514505261667137E-2</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5.039798307059798E-4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6.9443611265053212E-4</v>
      </c>
      <c r="E10" s="418">
        <f>vkm_SW_PW*SUMIFS(TableVerdeelsleutelVkm[LPG],TableVerdeelsleutelVkm[Voertuigtype],"Lichte voertuigen")*SUMIFS(TableECFTransport[EnergieConsumptieFactor (PJ per km)],TableECFTransport[Index],CONCATENATE($A10,"_LPG_LPG"))</f>
        <v>8.3518585878098444E-3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1.7566169692998328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0.4223978575078951</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0.11472799491437914</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3.8399215537409429E-5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1.4048423039629878</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2.8682560163439455E-5</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8.1449624643939122E-2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299.82506779553631</v>
      </c>
      <c r="C14" s="21"/>
      <c r="D14" s="21">
        <f t="shared" ref="D14:M14" si="0">((D5)*10^9/3600)+D12</f>
        <v>450.588031951848</v>
      </c>
      <c r="E14" s="21">
        <f t="shared" si="0"/>
        <v>4796.4832968305573</v>
      </c>
      <c r="F14" s="21"/>
      <c r="G14" s="21">
        <f t="shared" si="0"/>
        <v>1782757.0936414211</v>
      </c>
      <c r="H14" s="21">
        <f t="shared" si="0"/>
        <v>264525.64916729339</v>
      </c>
      <c r="I14" s="21"/>
      <c r="J14" s="21"/>
      <c r="K14" s="21"/>
      <c r="L14" s="21"/>
      <c r="M14" s="21">
        <f t="shared" si="0"/>
        <v>111427.96688392696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0.20062497807241048</v>
      </c>
      <c r="C16" s="56">
        <f ca="1">'EF ele_warmte'!B22</f>
        <v>0.11330765296662904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60.152397652038459</v>
      </c>
      <c r="C18" s="23"/>
      <c r="D18" s="23">
        <f t="shared" ref="D18:M18" si="1">D14*D16</f>
        <v>91.018782454273307</v>
      </c>
      <c r="E18" s="23">
        <f t="shared" si="1"/>
        <v>1088.8017083805366</v>
      </c>
      <c r="F18" s="23"/>
      <c r="G18" s="23">
        <f t="shared" si="1"/>
        <v>475996.14400225948</v>
      </c>
      <c r="H18" s="23">
        <f t="shared" si="1"/>
        <v>65866.886642656056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3.296112910378611E-2</v>
      </c>
      <c r="C50" s="313">
        <f t="shared" ref="C50:P50" si="2">SUM(C51:C52)</f>
        <v>0</v>
      </c>
      <c r="D50" s="313">
        <f t="shared" si="2"/>
        <v>0</v>
      </c>
      <c r="E50" s="313">
        <f t="shared" si="2"/>
        <v>0</v>
      </c>
      <c r="F50" s="313">
        <f t="shared" si="2"/>
        <v>0</v>
      </c>
      <c r="G50" s="313">
        <f t="shared" si="2"/>
        <v>0.12834024507486536</v>
      </c>
      <c r="H50" s="313">
        <f t="shared" si="2"/>
        <v>0</v>
      </c>
      <c r="I50" s="313">
        <f t="shared" si="2"/>
        <v>0</v>
      </c>
      <c r="J50" s="313">
        <f t="shared" si="2"/>
        <v>0</v>
      </c>
      <c r="K50" s="313">
        <f t="shared" si="2"/>
        <v>0</v>
      </c>
      <c r="L50" s="313">
        <f t="shared" si="2"/>
        <v>0</v>
      </c>
      <c r="M50" s="313">
        <f t="shared" si="2"/>
        <v>7.3882958511219243E-3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6.7730439087840743E-4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0.12834024507486536</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7.3882958511219243E-3</v>
      </c>
      <c r="N51" s="315"/>
      <c r="O51" s="315"/>
      <c r="P51" s="318"/>
    </row>
    <row r="52" spans="1:18">
      <c r="A52" s="4" t="s">
        <v>318</v>
      </c>
      <c r="B52" s="859">
        <f>vkm_tram*SUMIFS(TableECFTransport[EnergieConsumptieFactor (PJ per km)],TableECFTransport[Index],"Tram_gemiddeld_Electric_Electric")</f>
        <v>3.2283824712907701E-2</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9155.8691954961414</v>
      </c>
      <c r="C54" s="21">
        <f t="shared" ref="C54:P54" si="3">(C50)*10^9/3600</f>
        <v>0</v>
      </c>
      <c r="D54" s="21">
        <f t="shared" si="3"/>
        <v>0</v>
      </c>
      <c r="E54" s="21">
        <f t="shared" si="3"/>
        <v>0</v>
      </c>
      <c r="F54" s="21">
        <f t="shared" si="3"/>
        <v>0</v>
      </c>
      <c r="G54" s="21">
        <f t="shared" si="3"/>
        <v>35650.06807635149</v>
      </c>
      <c r="H54" s="21">
        <f t="shared" si="3"/>
        <v>0</v>
      </c>
      <c r="I54" s="21">
        <f t="shared" si="3"/>
        <v>0</v>
      </c>
      <c r="J54" s="21">
        <f t="shared" si="3"/>
        <v>0</v>
      </c>
      <c r="K54" s="21">
        <f t="shared" si="3"/>
        <v>0</v>
      </c>
      <c r="L54" s="21">
        <f t="shared" si="3"/>
        <v>0</v>
      </c>
      <c r="M54" s="21">
        <f t="shared" si="3"/>
        <v>2052.3044030894234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0.20062497807241048</v>
      </c>
      <c r="C56" s="56">
        <f ca="1">'EF ele_warmte'!B22</f>
        <v>0.11330765296662904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1836.896056580272</v>
      </c>
      <c r="C58" s="23">
        <f t="shared" ref="C58:P58" ca="1" si="4">C54*C56</f>
        <v>0</v>
      </c>
      <c r="D58" s="23">
        <f t="shared" si="4"/>
        <v>0</v>
      </c>
      <c r="E58" s="23">
        <f t="shared" si="4"/>
        <v>0</v>
      </c>
      <c r="F58" s="23">
        <f t="shared" si="4"/>
        <v>0</v>
      </c>
      <c r="G58" s="23">
        <f t="shared" si="4"/>
        <v>9518.5681763858483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79800.895603954152</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53225.706646131686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N35</f>
        <v>12395.8125</v>
      </c>
      <c r="C8" s="537">
        <f>B54</f>
        <v>3213.9065150510728</v>
      </c>
      <c r="D8" s="1014"/>
      <c r="E8" s="1014">
        <f>E54</f>
        <v>2828.9561983111817</v>
      </c>
      <c r="F8" s="1015"/>
      <c r="G8" s="538"/>
      <c r="H8" s="1014">
        <f>I54</f>
        <v>0</v>
      </c>
      <c r="I8" s="1014">
        <f>G54+F54</f>
        <v>8539.7737498110528</v>
      </c>
      <c r="J8" s="1014">
        <f>H54+D54+C54</f>
        <v>0</v>
      </c>
      <c r="K8" s="1014"/>
      <c r="L8" s="1014"/>
      <c r="M8" s="1014"/>
      <c r="N8" s="539"/>
      <c r="O8" s="540">
        <f>C8*$C$12+D8*$D$12+E8*$E$12+F8*$F$12+G8*$G$12+H8*$H$12+I8*$I$12+J8*$J$12</f>
        <v>1404.5404209894023</v>
      </c>
      <c r="P8" s="1250"/>
      <c r="Q8" s="1251"/>
      <c r="S8" s="978"/>
      <c r="T8" s="1271"/>
      <c r="U8" s="1271"/>
    </row>
    <row r="9" spans="1:21" s="526" customFormat="1" ht="17.45" customHeight="1" thickBot="1">
      <c r="A9" s="541" t="s">
        <v>237</v>
      </c>
      <c r="B9" s="542">
        <f>N42+'Eigen informatie GS &amp; warmtenet'!B12</f>
        <v>1858.5</v>
      </c>
      <c r="C9" s="543">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147280.91475008585</v>
      </c>
      <c r="C10" s="550">
        <f t="shared" ref="C10:L10" si="0">SUM(C8:C9)</f>
        <v>3213.9065150510728</v>
      </c>
      <c r="D10" s="550">
        <f t="shared" si="0"/>
        <v>0</v>
      </c>
      <c r="E10" s="550">
        <f t="shared" si="0"/>
        <v>2828.9561983111817</v>
      </c>
      <c r="F10" s="550">
        <f t="shared" si="0"/>
        <v>0</v>
      </c>
      <c r="G10" s="550">
        <f t="shared" si="0"/>
        <v>0</v>
      </c>
      <c r="H10" s="550">
        <f t="shared" si="0"/>
        <v>0</v>
      </c>
      <c r="I10" s="550">
        <f t="shared" si="0"/>
        <v>8539.7737498110528</v>
      </c>
      <c r="J10" s="550">
        <f t="shared" si="0"/>
        <v>5310</v>
      </c>
      <c r="K10" s="550">
        <f t="shared" si="0"/>
        <v>0</v>
      </c>
      <c r="L10" s="550">
        <f t="shared" si="0"/>
        <v>0</v>
      </c>
      <c r="M10" s="1017"/>
      <c r="N10" s="1017"/>
      <c r="O10" s="551">
        <f>SUM(O4:O9)</f>
        <v>1404.5404209894023</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O35</f>
        <v>14716.339285714286</v>
      </c>
      <c r="C17" s="562">
        <f>B55</f>
        <v>3815.5577706632134</v>
      </c>
      <c r="D17" s="563"/>
      <c r="E17" s="563">
        <f>E55</f>
        <v>3358.5438016888183</v>
      </c>
      <c r="F17" s="1020"/>
      <c r="G17" s="564"/>
      <c r="H17" s="562">
        <f>I55</f>
        <v>0</v>
      </c>
      <c r="I17" s="563">
        <f>G55+F55</f>
        <v>10138.440535903233</v>
      </c>
      <c r="J17" s="563">
        <f>H55+D55+C55</f>
        <v>0</v>
      </c>
      <c r="K17" s="563"/>
      <c r="L17" s="563"/>
      <c r="M17" s="563"/>
      <c r="N17" s="1021"/>
      <c r="O17" s="565">
        <f>C17*$C$22+E17*$E$22+H17*$H$22+I17*$I$22+J17*$J$22+D17*$D$22+F17*$F$22+G17*$G$22+K17*$K$22+L17*$L$22</f>
        <v>1667.4738647248837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14716.339285714286</v>
      </c>
      <c r="C20" s="549">
        <f>SUM(C17:C19)</f>
        <v>3815.5577706632134</v>
      </c>
      <c r="D20" s="549">
        <f t="shared" ref="D20:L20" si="1">SUM(D17:D19)</f>
        <v>0</v>
      </c>
      <c r="E20" s="549">
        <f t="shared" si="1"/>
        <v>3358.5438016888183</v>
      </c>
      <c r="F20" s="549">
        <f t="shared" si="1"/>
        <v>0</v>
      </c>
      <c r="G20" s="549">
        <f t="shared" si="1"/>
        <v>0</v>
      </c>
      <c r="H20" s="549">
        <f t="shared" si="1"/>
        <v>0</v>
      </c>
      <c r="I20" s="549">
        <f t="shared" si="1"/>
        <v>10138.440535903233</v>
      </c>
      <c r="J20" s="549">
        <f t="shared" si="1"/>
        <v>0</v>
      </c>
      <c r="K20" s="549">
        <f t="shared" si="1"/>
        <v>0</v>
      </c>
      <c r="L20" s="549">
        <f t="shared" si="1"/>
        <v>0</v>
      </c>
      <c r="M20" s="549"/>
      <c r="N20" s="549"/>
      <c r="O20" s="568">
        <f>SUM(O17:O19)</f>
        <v>1667.4738647248837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38.25" hidden="1">
      <c r="A28" s="572"/>
      <c r="B28" s="763">
        <v>44021</v>
      </c>
      <c r="C28" s="763">
        <v>9042</v>
      </c>
      <c r="D28" s="620"/>
      <c r="E28" s="619"/>
      <c r="F28" s="619"/>
      <c r="G28" s="619" t="s">
        <v>922</v>
      </c>
      <c r="H28" s="619" t="s">
        <v>923</v>
      </c>
      <c r="I28" s="619"/>
      <c r="J28" s="762"/>
      <c r="K28" s="762"/>
      <c r="L28" s="619" t="s">
        <v>924</v>
      </c>
      <c r="M28" s="619">
        <v>2200</v>
      </c>
      <c r="N28" s="619">
        <v>9900</v>
      </c>
      <c r="O28" s="619">
        <v>11137.5</v>
      </c>
      <c r="P28" s="619">
        <v>0</v>
      </c>
      <c r="Q28" s="619">
        <v>0</v>
      </c>
      <c r="R28" s="619">
        <v>0</v>
      </c>
      <c r="S28" s="619">
        <v>6187.5</v>
      </c>
      <c r="T28" s="619">
        <v>18562.5</v>
      </c>
      <c r="U28" s="619">
        <v>0</v>
      </c>
      <c r="V28" s="619">
        <v>0</v>
      </c>
      <c r="W28" s="619">
        <v>0</v>
      </c>
      <c r="X28" s="619">
        <v>300</v>
      </c>
      <c r="Y28" s="619" t="s">
        <v>33</v>
      </c>
      <c r="Z28" s="621" t="s">
        <v>376</v>
      </c>
    </row>
    <row r="29" spans="1:26" s="573" customFormat="1" ht="63.75" hidden="1">
      <c r="A29" s="572"/>
      <c r="B29" s="763">
        <v>44021</v>
      </c>
      <c r="C29" s="763">
        <v>9031</v>
      </c>
      <c r="D29" s="620"/>
      <c r="E29" s="619"/>
      <c r="F29" s="619"/>
      <c r="G29" s="619" t="s">
        <v>922</v>
      </c>
      <c r="H29" s="619" t="s">
        <v>925</v>
      </c>
      <c r="I29" s="619"/>
      <c r="J29" s="762"/>
      <c r="K29" s="762"/>
      <c r="L29" s="619" t="s">
        <v>924</v>
      </c>
      <c r="M29" s="619">
        <v>9</v>
      </c>
      <c r="N29" s="619">
        <v>40.5</v>
      </c>
      <c r="O29" s="619">
        <v>57.857142857142861</v>
      </c>
      <c r="P29" s="619">
        <v>0</v>
      </c>
      <c r="Q29" s="619">
        <v>0</v>
      </c>
      <c r="R29" s="619">
        <v>0</v>
      </c>
      <c r="S29" s="619">
        <v>0</v>
      </c>
      <c r="T29" s="619">
        <v>0</v>
      </c>
      <c r="U29" s="619">
        <v>115.71428571428572</v>
      </c>
      <c r="V29" s="619">
        <v>0</v>
      </c>
      <c r="W29" s="619">
        <v>0</v>
      </c>
      <c r="X29" s="619">
        <v>1600</v>
      </c>
      <c r="Y29" s="619" t="s">
        <v>49</v>
      </c>
      <c r="Z29" s="621" t="s">
        <v>149</v>
      </c>
    </row>
    <row r="30" spans="1:26" s="573" customFormat="1" ht="25.5" hidden="1">
      <c r="A30" s="572"/>
      <c r="B30" s="763">
        <v>44021</v>
      </c>
      <c r="C30" s="763">
        <v>9040</v>
      </c>
      <c r="D30" s="620"/>
      <c r="E30" s="619"/>
      <c r="F30" s="619"/>
      <c r="G30" s="619" t="s">
        <v>922</v>
      </c>
      <c r="H30" s="619" t="s">
        <v>925</v>
      </c>
      <c r="I30" s="619"/>
      <c r="J30" s="762"/>
      <c r="K30" s="762"/>
      <c r="L30" s="619" t="s">
        <v>924</v>
      </c>
      <c r="M30" s="619">
        <v>70</v>
      </c>
      <c r="N30" s="619">
        <v>315.00000000000006</v>
      </c>
      <c r="O30" s="619">
        <v>450.00000000000011</v>
      </c>
      <c r="P30" s="619">
        <v>900.00000000000023</v>
      </c>
      <c r="Q30" s="619">
        <v>0</v>
      </c>
      <c r="R30" s="619">
        <v>0</v>
      </c>
      <c r="S30" s="619">
        <v>0</v>
      </c>
      <c r="T30" s="619">
        <v>0</v>
      </c>
      <c r="U30" s="619">
        <v>0</v>
      </c>
      <c r="V30" s="619">
        <v>0</v>
      </c>
      <c r="W30" s="619">
        <v>0</v>
      </c>
      <c r="X30" s="619">
        <v>1300</v>
      </c>
      <c r="Y30" s="619" t="s">
        <v>53</v>
      </c>
      <c r="Z30" s="621" t="s">
        <v>149</v>
      </c>
    </row>
    <row r="31" spans="1:26" s="573" customFormat="1" ht="25.5" hidden="1">
      <c r="A31" s="572"/>
      <c r="B31" s="763">
        <v>44021</v>
      </c>
      <c r="C31" s="763">
        <v>9000</v>
      </c>
      <c r="D31" s="620"/>
      <c r="E31" s="619"/>
      <c r="F31" s="619"/>
      <c r="G31" s="619" t="s">
        <v>922</v>
      </c>
      <c r="H31" s="619" t="s">
        <v>925</v>
      </c>
      <c r="I31" s="619"/>
      <c r="J31" s="762"/>
      <c r="K31" s="762"/>
      <c r="L31" s="619" t="s">
        <v>924</v>
      </c>
      <c r="M31" s="619">
        <v>5</v>
      </c>
      <c r="N31" s="619">
        <v>22.5</v>
      </c>
      <c r="O31" s="619">
        <v>32.142857142857146</v>
      </c>
      <c r="P31" s="619">
        <v>64.285714285714292</v>
      </c>
      <c r="Q31" s="619">
        <v>0</v>
      </c>
      <c r="R31" s="619">
        <v>0</v>
      </c>
      <c r="S31" s="619">
        <v>0</v>
      </c>
      <c r="T31" s="619">
        <v>0</v>
      </c>
      <c r="U31" s="619">
        <v>0</v>
      </c>
      <c r="V31" s="619">
        <v>0</v>
      </c>
      <c r="W31" s="619">
        <v>0</v>
      </c>
      <c r="X31" s="619">
        <v>1300</v>
      </c>
      <c r="Y31" s="619" t="s">
        <v>53</v>
      </c>
      <c r="Z31" s="621" t="s">
        <v>149</v>
      </c>
    </row>
    <row r="32" spans="1:26" s="573" customFormat="1" ht="51" hidden="1">
      <c r="A32" s="572"/>
      <c r="B32" s="763">
        <v>44021</v>
      </c>
      <c r="C32" s="763">
        <v>9000</v>
      </c>
      <c r="D32" s="620"/>
      <c r="E32" s="619"/>
      <c r="F32" s="619"/>
      <c r="G32" s="619" t="s">
        <v>922</v>
      </c>
      <c r="H32" s="619" t="s">
        <v>925</v>
      </c>
      <c r="I32" s="619"/>
      <c r="J32" s="762"/>
      <c r="K32" s="762"/>
      <c r="L32" s="619" t="s">
        <v>924</v>
      </c>
      <c r="M32" s="619">
        <v>509</v>
      </c>
      <c r="N32" s="619">
        <v>2099.625</v>
      </c>
      <c r="O32" s="619">
        <v>2999.4642857142858</v>
      </c>
      <c r="P32" s="619">
        <v>5998.9285714285716</v>
      </c>
      <c r="Q32" s="619">
        <v>0</v>
      </c>
      <c r="R32" s="619">
        <v>0</v>
      </c>
      <c r="S32" s="619">
        <v>0</v>
      </c>
      <c r="T32" s="619">
        <v>0</v>
      </c>
      <c r="U32" s="619">
        <v>0</v>
      </c>
      <c r="V32" s="619">
        <v>0</v>
      </c>
      <c r="W32" s="619">
        <v>0</v>
      </c>
      <c r="X32" s="619">
        <v>1501</v>
      </c>
      <c r="Y32" s="619" t="s">
        <v>50</v>
      </c>
      <c r="Z32" s="621" t="s">
        <v>149</v>
      </c>
    </row>
    <row r="33" spans="1:27" s="573" customFormat="1" ht="12.75" hidden="1">
      <c r="A33" s="572"/>
      <c r="B33" s="763">
        <v>44021</v>
      </c>
      <c r="C33" s="763">
        <v>9031</v>
      </c>
      <c r="D33" s="620"/>
      <c r="E33" s="619"/>
      <c r="F33" s="619"/>
      <c r="G33" s="619" t="s">
        <v>926</v>
      </c>
      <c r="H33" s="619" t="s">
        <v>926</v>
      </c>
      <c r="I33" s="619"/>
      <c r="J33" s="762"/>
      <c r="K33" s="762"/>
      <c r="L33" s="619" t="s">
        <v>924</v>
      </c>
      <c r="M33" s="619">
        <v>1</v>
      </c>
      <c r="N33" s="619">
        <v>3.75</v>
      </c>
      <c r="O33" s="619">
        <v>18.75</v>
      </c>
      <c r="P33" s="619">
        <v>25</v>
      </c>
      <c r="Q33" s="619">
        <v>0</v>
      </c>
      <c r="R33" s="619">
        <v>0</v>
      </c>
      <c r="S33" s="619">
        <v>0</v>
      </c>
      <c r="T33" s="619">
        <v>0</v>
      </c>
      <c r="U33" s="619">
        <v>0</v>
      </c>
      <c r="V33" s="619">
        <v>0</v>
      </c>
      <c r="W33" s="619">
        <v>0</v>
      </c>
      <c r="X33" s="619">
        <v>10</v>
      </c>
      <c r="Y33" s="619" t="s">
        <v>105</v>
      </c>
      <c r="Z33" s="621" t="s">
        <v>105</v>
      </c>
    </row>
    <row r="34" spans="1:27" s="573" customFormat="1" ht="25.5" hidden="1">
      <c r="A34" s="572"/>
      <c r="B34" s="763">
        <v>44021</v>
      </c>
      <c r="C34" s="763">
        <v>9050</v>
      </c>
      <c r="D34" s="620"/>
      <c r="E34" s="619"/>
      <c r="F34" s="619"/>
      <c r="G34" s="619" t="s">
        <v>922</v>
      </c>
      <c r="H34" s="619" t="s">
        <v>925</v>
      </c>
      <c r="I34" s="619"/>
      <c r="J34" s="762"/>
      <c r="K34" s="762"/>
      <c r="L34" s="619" t="s">
        <v>924</v>
      </c>
      <c r="M34" s="619">
        <v>5.5</v>
      </c>
      <c r="N34" s="619">
        <v>14.4375</v>
      </c>
      <c r="O34" s="619">
        <v>20.625</v>
      </c>
      <c r="P34" s="619">
        <v>41.25</v>
      </c>
      <c r="Q34" s="619">
        <v>0</v>
      </c>
      <c r="R34" s="619">
        <v>0</v>
      </c>
      <c r="S34" s="619">
        <v>0</v>
      </c>
      <c r="T34" s="619">
        <v>0</v>
      </c>
      <c r="U34" s="619">
        <v>0</v>
      </c>
      <c r="V34" s="619">
        <v>0</v>
      </c>
      <c r="W34" s="619">
        <v>0</v>
      </c>
      <c r="X34" s="619">
        <v>10</v>
      </c>
      <c r="Y34" s="619" t="s">
        <v>105</v>
      </c>
      <c r="Z34" s="621" t="s">
        <v>105</v>
      </c>
    </row>
    <row r="35" spans="1:27" s="557" customFormat="1" hidden="1">
      <c r="A35" s="575" t="s">
        <v>269</v>
      </c>
      <c r="B35" s="576"/>
      <c r="C35" s="576"/>
      <c r="D35" s="576"/>
      <c r="E35" s="576"/>
      <c r="F35" s="576"/>
      <c r="G35" s="576"/>
      <c r="H35" s="576"/>
      <c r="I35" s="576"/>
      <c r="J35" s="576"/>
      <c r="K35" s="576"/>
      <c r="L35" s="577"/>
      <c r="M35" s="577">
        <f>SUM(M28:M34)</f>
        <v>2799.5</v>
      </c>
      <c r="N35" s="577">
        <f>SUM(N28:N34)</f>
        <v>12395.8125</v>
      </c>
      <c r="O35" s="577">
        <f>SUM(O28:O34)</f>
        <v>14716.339285714286</v>
      </c>
      <c r="P35" s="577">
        <f>SUM(P28:P34)</f>
        <v>7029.4642857142862</v>
      </c>
      <c r="Q35" s="577">
        <f>SUM(Q28:Q34)</f>
        <v>0</v>
      </c>
      <c r="R35" s="577">
        <f>SUM(R28:R34)</f>
        <v>0</v>
      </c>
      <c r="S35" s="577">
        <f>SUM(S28:S34)</f>
        <v>6187.5</v>
      </c>
      <c r="T35" s="577">
        <f>SUM(T28:T34)</f>
        <v>18562.5</v>
      </c>
      <c r="U35" s="577">
        <f>SUM(U28:U34)</f>
        <v>115.71428571428572</v>
      </c>
      <c r="V35" s="577">
        <f>SUM(V28:V34)</f>
        <v>0</v>
      </c>
      <c r="W35" s="577">
        <f>SUM(W28:W34)</f>
        <v>0</v>
      </c>
      <c r="X35" s="578"/>
      <c r="Y35" s="578"/>
      <c r="Z35" s="579"/>
    </row>
    <row r="36" spans="1:27" s="557" customFormat="1">
      <c r="A36" s="575" t="s">
        <v>276</v>
      </c>
      <c r="B36" s="576"/>
      <c r="C36" s="576"/>
      <c r="D36" s="576"/>
      <c r="E36" s="576"/>
      <c r="F36" s="576"/>
      <c r="G36" s="576"/>
      <c r="H36" s="576"/>
      <c r="I36" s="576"/>
      <c r="J36" s="576"/>
      <c r="K36" s="576"/>
      <c r="L36" s="577"/>
      <c r="M36" s="577">
        <f>SUMIF($Z$28:$Z$34,"industrie",M28:M34)</f>
        <v>2200</v>
      </c>
      <c r="N36" s="577">
        <f>SUMIF($Z$28:$Z$34,"industrie",N28:N34)</f>
        <v>9900</v>
      </c>
      <c r="O36" s="577">
        <f>SUMIF($Z$28:$Z$34,"industrie",O28:O34)</f>
        <v>11137.5</v>
      </c>
      <c r="P36" s="577">
        <f>SUMIF($Z$28:$Z$34,"industrie",P28:P34)</f>
        <v>0</v>
      </c>
      <c r="Q36" s="577">
        <f>SUMIF($Z$28:$Z$34,"industrie",Q28:Q34)</f>
        <v>0</v>
      </c>
      <c r="R36" s="577">
        <f>SUMIF($Z$28:$Z$34,"industrie",R28:R34)</f>
        <v>0</v>
      </c>
      <c r="S36" s="577">
        <f>SUMIF($Z$28:$Z$34,"industrie",S28:S34)</f>
        <v>6187.5</v>
      </c>
      <c r="T36" s="577">
        <f>SUMIF($Z$28:$Z$34,"industrie",T28:T34)</f>
        <v>18562.5</v>
      </c>
      <c r="U36" s="577">
        <f>SUMIF($Z$28:$Z$34,"industrie",U28:U34)</f>
        <v>0</v>
      </c>
      <c r="V36" s="577">
        <f>SUMIF($Z$28:$Z$34,"industrie",V28:V34)</f>
        <v>0</v>
      </c>
      <c r="W36" s="577">
        <f>SUMIF($Z$28:$Z$34,"industrie",W28:W34)</f>
        <v>0</v>
      </c>
      <c r="X36" s="578"/>
      <c r="Y36" s="578"/>
      <c r="Z36" s="579"/>
    </row>
    <row r="37" spans="1:27" s="557" customFormat="1">
      <c r="A37" s="575" t="s">
        <v>277</v>
      </c>
      <c r="B37" s="576"/>
      <c r="C37" s="576"/>
      <c r="D37" s="576"/>
      <c r="E37" s="576"/>
      <c r="F37" s="576"/>
      <c r="G37" s="576"/>
      <c r="H37" s="576"/>
      <c r="I37" s="576"/>
      <c r="J37" s="576"/>
      <c r="K37" s="576"/>
      <c r="L37" s="577"/>
      <c r="M37" s="577">
        <f ca="1">SUMIF($Z$28:AC34,"tertiair",M28:M34)</f>
        <v>593</v>
      </c>
      <c r="N37" s="577">
        <f ca="1">SUMIF($Z$28:AD34,"tertiair",N28:N34)</f>
        <v>2477.625</v>
      </c>
      <c r="O37" s="577">
        <f ca="1">SUMIF($Z$28:AE34,"tertiair",O28:O34)</f>
        <v>3539.4642857142858</v>
      </c>
      <c r="P37" s="577">
        <f ca="1">SUMIF($Z$28:AF34,"tertiair",P28:P34)</f>
        <v>6963.2142857142862</v>
      </c>
      <c r="Q37" s="577">
        <f ca="1">SUMIF($Z$28:AG34,"tertiair",Q28:Q34)</f>
        <v>0</v>
      </c>
      <c r="R37" s="577">
        <f ca="1">SUMIF($Z$28:AH34,"tertiair",R28:R34)</f>
        <v>0</v>
      </c>
      <c r="S37" s="577">
        <f ca="1">SUMIF($Z$28:AI34,"tertiair",S28:S34)</f>
        <v>0</v>
      </c>
      <c r="T37" s="577">
        <f ca="1">SUMIF($Z$28:AJ34,"tertiair",T28:T34)</f>
        <v>0</v>
      </c>
      <c r="U37" s="577">
        <f ca="1">SUMIF($Z$28:AK34,"tertiair",U28:U34)</f>
        <v>115.71428571428572</v>
      </c>
      <c r="V37" s="577">
        <f ca="1">SUMIF($Z$28:AL34,"tertiair",V28:V34)</f>
        <v>0</v>
      </c>
      <c r="W37" s="577">
        <f ca="1">SUMIF($Z$28:AM34,"tertiair",W28:W34)</f>
        <v>0</v>
      </c>
      <c r="X37" s="578"/>
      <c r="Y37" s="578"/>
      <c r="Z37" s="579"/>
    </row>
    <row r="38" spans="1:27" s="557" customFormat="1" ht="15.75" thickBot="1">
      <c r="A38" s="580" t="s">
        <v>278</v>
      </c>
      <c r="B38" s="581"/>
      <c r="C38" s="581"/>
      <c r="D38" s="581"/>
      <c r="E38" s="581"/>
      <c r="F38" s="581"/>
      <c r="G38" s="581"/>
      <c r="H38" s="581"/>
      <c r="I38" s="581"/>
      <c r="J38" s="581"/>
      <c r="K38" s="581"/>
      <c r="L38" s="582"/>
      <c r="M38" s="582">
        <f>SUMIF($Z$28:$Z$34,"landbouw",M28:M34)</f>
        <v>6.5</v>
      </c>
      <c r="N38" s="582">
        <f>SUMIF($Z$28:$Z$34,"landbouw",N28:N34)</f>
        <v>18.1875</v>
      </c>
      <c r="O38" s="582">
        <f>SUMIF($Z$28:$Z$34,"landbouw",O28:O34)</f>
        <v>39.375</v>
      </c>
      <c r="P38" s="582">
        <f>SUMIF($Z$28:$Z$34,"landbouw",P28:P34)</f>
        <v>66.25</v>
      </c>
      <c r="Q38" s="582">
        <f>SUMIF($Z$28:$Z$34,"landbouw",Q28:Q34)</f>
        <v>0</v>
      </c>
      <c r="R38" s="582">
        <f>SUMIF($Z$28:$Z$34,"landbouw",R28:R34)</f>
        <v>0</v>
      </c>
      <c r="S38" s="582">
        <f>SUMIF($Z$28:$Z$34,"landbouw",S28:S34)</f>
        <v>0</v>
      </c>
      <c r="T38" s="582">
        <f>SUMIF($Z$28:$Z$34,"landbouw",T28:T34)</f>
        <v>0</v>
      </c>
      <c r="U38" s="582">
        <f>SUMIF($Z$28:$Z$34,"landbouw",U28:U34)</f>
        <v>0</v>
      </c>
      <c r="V38" s="582">
        <f>SUMIF($Z$28:$Z$34,"landbouw",V28:V34)</f>
        <v>0</v>
      </c>
      <c r="W38" s="582">
        <f>SUMIF($Z$28:$Z$34,"landbouw",W28:W34)</f>
        <v>0</v>
      </c>
      <c r="X38" s="583"/>
      <c r="Y38" s="583"/>
      <c r="Z38" s="584"/>
    </row>
    <row r="39" spans="1:27" s="526" customFormat="1" ht="15.75" thickBot="1">
      <c r="A39" s="585"/>
      <c r="B39" s="586"/>
      <c r="C39" s="586"/>
      <c r="D39" s="586"/>
      <c r="E39" s="586"/>
      <c r="F39" s="586"/>
      <c r="G39" s="586"/>
      <c r="H39" s="586"/>
      <c r="I39" s="586"/>
      <c r="J39" s="586"/>
      <c r="K39" s="586"/>
      <c r="L39" s="569"/>
      <c r="M39" s="569"/>
      <c r="N39" s="569"/>
      <c r="O39" s="570"/>
      <c r="P39" s="570"/>
    </row>
    <row r="40" spans="1:27" s="526" customFormat="1" ht="45">
      <c r="A40" s="587" t="s">
        <v>270</v>
      </c>
      <c r="B40" s="616" t="s">
        <v>89</v>
      </c>
      <c r="C40" s="616" t="s">
        <v>90</v>
      </c>
      <c r="D40" s="616"/>
      <c r="E40" s="616"/>
      <c r="F40" s="616"/>
      <c r="G40" s="616" t="s">
        <v>91</v>
      </c>
      <c r="H40" s="616" t="s">
        <v>92</v>
      </c>
      <c r="I40" s="616"/>
      <c r="J40" s="616"/>
      <c r="K40" s="616"/>
      <c r="L40" s="616" t="s">
        <v>93</v>
      </c>
      <c r="M40" s="617" t="s">
        <v>287</v>
      </c>
      <c r="N40" s="617" t="s">
        <v>94</v>
      </c>
      <c r="O40" s="617" t="s">
        <v>95</v>
      </c>
      <c r="P40" s="617" t="s">
        <v>531</v>
      </c>
      <c r="Q40" s="617" t="s">
        <v>96</v>
      </c>
      <c r="R40" s="617" t="s">
        <v>97</v>
      </c>
      <c r="S40" s="617" t="s">
        <v>98</v>
      </c>
      <c r="T40" s="617" t="s">
        <v>99</v>
      </c>
      <c r="U40" s="617" t="s">
        <v>100</v>
      </c>
      <c r="V40" s="617" t="s">
        <v>101</v>
      </c>
      <c r="W40" s="616" t="s">
        <v>102</v>
      </c>
      <c r="X40" s="616" t="s">
        <v>288</v>
      </c>
      <c r="Y40" s="616" t="s">
        <v>103</v>
      </c>
      <c r="Z40" s="618" t="s">
        <v>289</v>
      </c>
    </row>
    <row r="41" spans="1:27" s="588" customFormat="1" ht="63.75" hidden="1">
      <c r="A41" s="574"/>
      <c r="B41" s="763">
        <v>44021</v>
      </c>
      <c r="C41" s="763">
        <v>9000</v>
      </c>
      <c r="D41" s="622"/>
      <c r="E41" s="622"/>
      <c r="F41" s="622"/>
      <c r="G41" s="622" t="s">
        <v>927</v>
      </c>
      <c r="H41" s="622" t="s">
        <v>928</v>
      </c>
      <c r="I41" s="622"/>
      <c r="J41" s="762"/>
      <c r="K41" s="762"/>
      <c r="L41" s="622" t="s">
        <v>929</v>
      </c>
      <c r="M41" s="622">
        <v>413</v>
      </c>
      <c r="N41" s="622">
        <v>1858.5</v>
      </c>
      <c r="O41" s="622">
        <v>0</v>
      </c>
      <c r="P41" s="622">
        <v>0</v>
      </c>
      <c r="Q41" s="622">
        <v>5310</v>
      </c>
      <c r="R41" s="622">
        <v>0</v>
      </c>
      <c r="S41" s="622">
        <v>0</v>
      </c>
      <c r="T41" s="622">
        <v>0</v>
      </c>
      <c r="U41" s="622">
        <v>0</v>
      </c>
      <c r="V41" s="622">
        <v>0</v>
      </c>
      <c r="W41" s="622">
        <v>0</v>
      </c>
      <c r="X41" s="622">
        <v>1600</v>
      </c>
      <c r="Y41" s="622" t="s">
        <v>49</v>
      </c>
      <c r="Z41" s="623" t="s">
        <v>149</v>
      </c>
    </row>
    <row r="42" spans="1:27" s="557" customFormat="1" hidden="1">
      <c r="A42" s="575" t="s">
        <v>269</v>
      </c>
      <c r="B42" s="576"/>
      <c r="C42" s="576"/>
      <c r="D42" s="576"/>
      <c r="E42" s="576"/>
      <c r="F42" s="576"/>
      <c r="G42" s="576"/>
      <c r="H42" s="576"/>
      <c r="I42" s="576"/>
      <c r="J42" s="576"/>
      <c r="K42" s="576"/>
      <c r="L42" s="577"/>
      <c r="M42" s="577">
        <f>SUM(M41:M41)</f>
        <v>413</v>
      </c>
      <c r="N42" s="577">
        <f>SUM(N41:N41)</f>
        <v>1858.5</v>
      </c>
      <c r="O42" s="577">
        <f>SUM(O41:O41)</f>
        <v>0</v>
      </c>
      <c r="P42" s="577">
        <f>SUM(P41:P41)</f>
        <v>0</v>
      </c>
      <c r="Q42" s="577">
        <f>SUM(Q41:Q41)</f>
        <v>5310</v>
      </c>
      <c r="R42" s="577">
        <f>SUM(R41:R41)</f>
        <v>0</v>
      </c>
      <c r="S42" s="577">
        <f>SUM(S41:S41)</f>
        <v>0</v>
      </c>
      <c r="T42" s="577">
        <f>SUM(T41:T41)</f>
        <v>0</v>
      </c>
      <c r="U42" s="577">
        <f>SUM(U41:U41)</f>
        <v>0</v>
      </c>
      <c r="V42" s="577">
        <f>SUM(V41:V41)</f>
        <v>0</v>
      </c>
      <c r="W42" s="577">
        <f>SUM(W41:W41)</f>
        <v>0</v>
      </c>
      <c r="X42" s="578"/>
      <c r="Y42" s="578"/>
      <c r="Z42" s="579"/>
    </row>
    <row r="43" spans="1:27" s="557" customFormat="1">
      <c r="A43" s="575" t="s">
        <v>276</v>
      </c>
      <c r="B43" s="576"/>
      <c r="C43" s="576"/>
      <c r="D43" s="576"/>
      <c r="E43" s="576"/>
      <c r="F43" s="576"/>
      <c r="G43" s="576"/>
      <c r="H43" s="576"/>
      <c r="I43" s="576"/>
      <c r="J43" s="576"/>
      <c r="K43" s="576"/>
      <c r="L43" s="577"/>
      <c r="M43" s="577">
        <f>SUMIF($Z$41:$Z$41,"industrie",M41:M41)</f>
        <v>0</v>
      </c>
      <c r="N43" s="577">
        <f>SUMIF($Z$41:$Z$41,"industrie",N41:N41)</f>
        <v>0</v>
      </c>
      <c r="O43" s="577">
        <f>SUMIF($Z$41:$Z$41,"industrie",O41:O41)</f>
        <v>0</v>
      </c>
      <c r="P43" s="577">
        <f>SUMIF($Z$41:$Z$41,"industrie",P41:P41)</f>
        <v>0</v>
      </c>
      <c r="Q43" s="577">
        <f>SUMIF($Z$41:$Z$41,"industrie",Q41:Q41)</f>
        <v>0</v>
      </c>
      <c r="R43" s="577">
        <f>SUMIF($Z$41:$Z$41,"industrie",R41:R41)</f>
        <v>0</v>
      </c>
      <c r="S43" s="577">
        <f>SUMIF($Z$41:$Z$41,"industrie",S41:S41)</f>
        <v>0</v>
      </c>
      <c r="T43" s="577">
        <f>SUMIF($Z$41:$Z$41,"industrie",T41:T41)</f>
        <v>0</v>
      </c>
      <c r="U43" s="577">
        <f>SUMIF($Z$41:$Z$41,"industrie",U41:U41)</f>
        <v>0</v>
      </c>
      <c r="V43" s="577">
        <f>SUMIF($Z$41:$Z$41,"industrie",V41:V41)</f>
        <v>0</v>
      </c>
      <c r="W43" s="577">
        <f>SUMIF($Z$41:$Z$41,"industrie",W41:W41)</f>
        <v>0</v>
      </c>
      <c r="X43" s="578"/>
      <c r="Y43" s="578"/>
      <c r="Z43" s="579"/>
    </row>
    <row r="44" spans="1:27" s="557" customFormat="1">
      <c r="A44" s="575" t="s">
        <v>277</v>
      </c>
      <c r="B44" s="576"/>
      <c r="C44" s="576"/>
      <c r="D44" s="576"/>
      <c r="E44" s="576"/>
      <c r="F44" s="576"/>
      <c r="G44" s="576"/>
      <c r="H44" s="576"/>
      <c r="I44" s="576"/>
      <c r="J44" s="576"/>
      <c r="K44" s="576"/>
      <c r="L44" s="577"/>
      <c r="M44" s="577">
        <f>SUMIF($Z$41:$Z$42,"tertiair",M41:M42)</f>
        <v>413</v>
      </c>
      <c r="N44" s="577">
        <f>SUMIF($Z$41:$Z$42,"tertiair",N41:N42)</f>
        <v>1858.5</v>
      </c>
      <c r="O44" s="577">
        <f>SUMIF($Z$41:$Z$42,"tertiair",O41:O42)</f>
        <v>0</v>
      </c>
      <c r="P44" s="577">
        <f>SUMIF($Z$41:$Z$42,"tertiair",P41:P42)</f>
        <v>0</v>
      </c>
      <c r="Q44" s="577">
        <f>SUMIF($Z$41:$Z$42,"tertiair",Q41:Q42)</f>
        <v>5310</v>
      </c>
      <c r="R44" s="577">
        <f>SUMIF($Z$41:$Z$42,"tertiair",R41:R42)</f>
        <v>0</v>
      </c>
      <c r="S44" s="577">
        <f>SUMIF($Z$41:$Z$42,"tertiair",S41:S42)</f>
        <v>0</v>
      </c>
      <c r="T44" s="577">
        <f>SUMIF($Z$41:$Z$42,"tertiair",T41:T42)</f>
        <v>0</v>
      </c>
      <c r="U44" s="577">
        <f>SUMIF($Z$41:$Z$42,"tertiair",U41:U42)</f>
        <v>0</v>
      </c>
      <c r="V44" s="577">
        <f>SUMIF($Z$41:$Z$42,"tertiair",V41:V42)</f>
        <v>0</v>
      </c>
      <c r="W44" s="577">
        <f>SUMIF($Z$41:$Z$42,"tertiair",W41:W42)</f>
        <v>0</v>
      </c>
      <c r="X44" s="578"/>
      <c r="Y44" s="578"/>
      <c r="Z44" s="579"/>
    </row>
    <row r="45" spans="1:27" s="557" customFormat="1" ht="15.75" thickBot="1">
      <c r="A45" s="580" t="s">
        <v>278</v>
      </c>
      <c r="B45" s="581"/>
      <c r="C45" s="581"/>
      <c r="D45" s="581"/>
      <c r="E45" s="581"/>
      <c r="F45" s="581"/>
      <c r="G45" s="581"/>
      <c r="H45" s="581"/>
      <c r="I45" s="581"/>
      <c r="J45" s="581"/>
      <c r="K45" s="581"/>
      <c r="L45" s="582"/>
      <c r="M45" s="582">
        <f>SUMIF($Z$41:$Z$43,"landbouw",M41:M43)</f>
        <v>0</v>
      </c>
      <c r="N45" s="582">
        <f>SUMIF($Z$41:$Z$43,"landbouw",N41:N43)</f>
        <v>0</v>
      </c>
      <c r="O45" s="582">
        <f>SUMIF($Z$41:$Z$43,"landbouw",O41:O43)</f>
        <v>0</v>
      </c>
      <c r="P45" s="582">
        <f>SUMIF($Z$41:$Z$43,"landbouw",P41:P43)</f>
        <v>0</v>
      </c>
      <c r="Q45" s="582">
        <f>SUMIF($Z$41:$Z$43,"landbouw",Q41:Q43)</f>
        <v>0</v>
      </c>
      <c r="R45" s="582">
        <f>SUMIF($Z$41:$Z$43,"landbouw",R41:R43)</f>
        <v>0</v>
      </c>
      <c r="S45" s="582">
        <f>SUMIF($Z$41:$Z$43,"landbouw",S41:S43)</f>
        <v>0</v>
      </c>
      <c r="T45" s="582">
        <f>SUMIF($Z$41:$Z$43,"landbouw",T41:T43)</f>
        <v>0</v>
      </c>
      <c r="U45" s="582">
        <f>SUMIF($Z$41:$Z$43,"landbouw",U41:U43)</f>
        <v>0</v>
      </c>
      <c r="V45" s="582">
        <f>SUMIF($Z$41:$Z$43,"landbouw",V41:V43)</f>
        <v>0</v>
      </c>
      <c r="W45" s="582">
        <f>SUMIF($Z$41:$Z$43,"landbouw",W41:W43)</f>
        <v>0</v>
      </c>
      <c r="X45" s="583"/>
      <c r="Y45" s="583"/>
      <c r="Z45" s="584"/>
    </row>
    <row r="46" spans="1:27" s="589" customFormat="1">
      <c r="A46" s="585"/>
      <c r="B46" s="569"/>
      <c r="C46" s="569"/>
      <c r="D46" s="569"/>
      <c r="E46" s="569"/>
      <c r="F46" s="569"/>
      <c r="G46" s="569"/>
      <c r="H46" s="569"/>
      <c r="I46" s="569"/>
      <c r="J46" s="569"/>
      <c r="K46" s="569"/>
      <c r="L46" s="569"/>
      <c r="M46" s="569"/>
      <c r="N46" s="569"/>
      <c r="O46" s="569"/>
      <c r="P46" s="569"/>
      <c r="Q46" s="569"/>
      <c r="R46" s="569"/>
      <c r="S46" s="569"/>
      <c r="T46" s="569"/>
      <c r="U46" s="569"/>
      <c r="V46" s="569"/>
      <c r="W46" s="569"/>
      <c r="X46" s="569"/>
      <c r="Y46" s="569"/>
    </row>
    <row r="47" spans="1:27" s="589" customFormat="1" ht="15.75" thickBot="1">
      <c r="A47" s="585"/>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row>
    <row r="48" spans="1:27">
      <c r="A48" s="590" t="s">
        <v>271</v>
      </c>
      <c r="B48" s="591"/>
      <c r="C48" s="591"/>
      <c r="D48" s="591"/>
      <c r="E48" s="591"/>
      <c r="F48" s="591"/>
      <c r="G48" s="591"/>
      <c r="H48" s="591"/>
      <c r="I48" s="592"/>
      <c r="J48" s="593"/>
      <c r="K48" s="593"/>
      <c r="L48" s="594"/>
      <c r="M48" s="594"/>
      <c r="N48" s="594"/>
      <c r="O48" s="594"/>
      <c r="P48" s="594"/>
    </row>
    <row r="49" spans="1:16">
      <c r="A49" s="596"/>
      <c r="B49" s="586"/>
      <c r="C49" s="586"/>
      <c r="D49" s="586"/>
      <c r="E49" s="586"/>
      <c r="F49" s="586"/>
      <c r="G49" s="586"/>
      <c r="H49" s="586"/>
      <c r="I49" s="597"/>
      <c r="J49" s="586"/>
      <c r="K49" s="586"/>
      <c r="L49" s="594"/>
      <c r="M49" s="594"/>
      <c r="N49" s="594"/>
      <c r="O49" s="594"/>
      <c r="P49" s="594"/>
    </row>
    <row r="50" spans="1:16">
      <c r="A50" s="598"/>
      <c r="B50" s="599" t="s">
        <v>272</v>
      </c>
      <c r="C50" s="599" t="s">
        <v>273</v>
      </c>
      <c r="D50" s="599"/>
      <c r="E50" s="599"/>
      <c r="F50" s="599"/>
      <c r="G50" s="599"/>
      <c r="H50" s="599"/>
      <c r="I50" s="600"/>
      <c r="J50" s="599"/>
      <c r="K50" s="599"/>
      <c r="L50" s="599"/>
      <c r="M50" s="599"/>
      <c r="N50" s="599"/>
      <c r="O50" s="599"/>
      <c r="P50" s="594"/>
    </row>
    <row r="51" spans="1:16">
      <c r="A51" s="596" t="s">
        <v>269</v>
      </c>
      <c r="B51" s="601">
        <f>IF(ISERROR(O35/(O35+N35)),0,O35/(O35+N35))</f>
        <v>0.54279495784869791</v>
      </c>
      <c r="C51" s="602">
        <f>IF(ISERROR(N35/(O35+N35)),0,N35/(N35+O35))</f>
        <v>0.45720504215130209</v>
      </c>
      <c r="D51" s="569"/>
      <c r="E51" s="569"/>
      <c r="F51" s="569"/>
      <c r="G51" s="569"/>
      <c r="H51" s="569"/>
      <c r="I51" s="603"/>
      <c r="J51" s="569"/>
      <c r="K51" s="569"/>
      <c r="L51" s="604"/>
      <c r="M51" s="604"/>
      <c r="N51" s="604"/>
      <c r="O51" s="604"/>
      <c r="P51" s="594"/>
    </row>
    <row r="52" spans="1:16">
      <c r="A52" s="596"/>
      <c r="B52" s="605"/>
      <c r="C52" s="605"/>
      <c r="D52" s="605"/>
      <c r="E52" s="605"/>
      <c r="F52" s="605"/>
      <c r="G52" s="605"/>
      <c r="H52" s="605"/>
      <c r="I52" s="606"/>
      <c r="J52" s="605"/>
      <c r="K52" s="605"/>
      <c r="L52" s="607"/>
      <c r="M52" s="607"/>
      <c r="N52" s="607"/>
      <c r="O52" s="607"/>
      <c r="P52" s="594"/>
    </row>
    <row r="53" spans="1:16" ht="30">
      <c r="A53" s="608"/>
      <c r="B53" s="609" t="s">
        <v>531</v>
      </c>
      <c r="C53" s="609" t="s">
        <v>96</v>
      </c>
      <c r="D53" s="609" t="s">
        <v>97</v>
      </c>
      <c r="E53" s="609" t="s">
        <v>98</v>
      </c>
      <c r="F53" s="609" t="s">
        <v>99</v>
      </c>
      <c r="G53" s="609" t="s">
        <v>100</v>
      </c>
      <c r="H53" s="609" t="s">
        <v>101</v>
      </c>
      <c r="I53" s="610" t="s">
        <v>102</v>
      </c>
      <c r="J53" s="599"/>
      <c r="K53" s="599"/>
      <c r="L53" s="607"/>
      <c r="M53" s="607"/>
      <c r="N53" s="607"/>
      <c r="O53" s="594"/>
      <c r="P53" s="594"/>
    </row>
    <row r="54" spans="1:16">
      <c r="A54" s="598" t="s">
        <v>274</v>
      </c>
      <c r="B54" s="611">
        <f t="shared" ref="B54:I54" si="2">$C$51*P35</f>
        <v>3213.9065150510728</v>
      </c>
      <c r="C54" s="611">
        <f t="shared" si="2"/>
        <v>0</v>
      </c>
      <c r="D54" s="611">
        <f t="shared" si="2"/>
        <v>0</v>
      </c>
      <c r="E54" s="611">
        <f t="shared" si="2"/>
        <v>2828.9561983111817</v>
      </c>
      <c r="F54" s="611">
        <f t="shared" si="2"/>
        <v>8486.868594933545</v>
      </c>
      <c r="G54" s="611">
        <f t="shared" si="2"/>
        <v>52.905154877507819</v>
      </c>
      <c r="H54" s="611">
        <f t="shared" si="2"/>
        <v>0</v>
      </c>
      <c r="I54" s="612">
        <f t="shared" si="2"/>
        <v>0</v>
      </c>
      <c r="J54" s="569"/>
      <c r="K54" s="569"/>
      <c r="L54" s="607"/>
      <c r="M54" s="607"/>
      <c r="N54" s="607"/>
      <c r="O54" s="594"/>
      <c r="P54" s="594"/>
    </row>
    <row r="55" spans="1:16" ht="15.75" thickBot="1">
      <c r="A55" s="613" t="s">
        <v>275</v>
      </c>
      <c r="B55" s="614">
        <f t="shared" ref="B55:I55" si="3">$B$51*P35</f>
        <v>3815.5577706632134</v>
      </c>
      <c r="C55" s="614">
        <f t="shared" si="3"/>
        <v>0</v>
      </c>
      <c r="D55" s="614">
        <f t="shared" si="3"/>
        <v>0</v>
      </c>
      <c r="E55" s="614">
        <f t="shared" si="3"/>
        <v>3358.5438016888183</v>
      </c>
      <c r="F55" s="614">
        <f t="shared" si="3"/>
        <v>10075.631405066455</v>
      </c>
      <c r="G55" s="614">
        <f t="shared" si="3"/>
        <v>62.809130836777904</v>
      </c>
      <c r="H55" s="614">
        <f t="shared" si="3"/>
        <v>0</v>
      </c>
      <c r="I55" s="615">
        <f t="shared" si="3"/>
        <v>0</v>
      </c>
      <c r="J55" s="569"/>
      <c r="K55" s="569"/>
      <c r="L55" s="607"/>
      <c r="M55" s="607"/>
      <c r="N55" s="607"/>
      <c r="O55" s="594"/>
      <c r="P55" s="594"/>
    </row>
    <row r="56" spans="1:16">
      <c r="J56" s="555"/>
      <c r="K56" s="555"/>
      <c r="L56" s="555"/>
      <c r="M56" s="555"/>
      <c r="N56" s="555"/>
    </row>
    <row r="57" spans="1:16">
      <c r="J57" s="555"/>
      <c r="K57" s="555"/>
      <c r="L57" s="555"/>
      <c r="M57" s="555"/>
      <c r="N57"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2021-11-11T13:14:44Z</dcterms:modified>
</cp:coreProperties>
</file>