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2178796-86B1-4E4B-83FC-F2D5BC60FEB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I9"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D10" i="22" s="1"/>
  <c r="A9" i="23"/>
  <c r="A10" i="23"/>
  <c r="A11" i="23"/>
  <c r="A12" i="23"/>
  <c r="A13" i="23"/>
  <c r="A14" i="23"/>
  <c r="A15" i="23"/>
  <c r="A16" i="23"/>
  <c r="A17" i="23"/>
  <c r="A18" i="23"/>
  <c r="A19" i="23"/>
  <c r="A20" i="23"/>
  <c r="A21" i="23"/>
  <c r="A22" i="23"/>
  <c r="A23" i="23"/>
  <c r="A24" i="23"/>
  <c r="A25" i="23"/>
  <c r="A26" i="23"/>
  <c r="A27" i="23"/>
  <c r="A28" i="23"/>
  <c r="A29" i="23"/>
  <c r="A30" i="23"/>
  <c r="B51" i="22" l="1"/>
  <c r="D6" i="22"/>
  <c r="D8"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F13" i="14"/>
  <c r="F16" i="14" s="1"/>
  <c r="F27" i="14" s="1"/>
  <c r="F63" i="14" s="1"/>
  <c r="E23"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<sst xmlns="http://schemas.openxmlformats.org/spreadsheetml/2006/main" count="2501" uniqueCount="922">
  <si>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</si>
  <si>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</si>
  <si>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</si>
  <si>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</si>
  <si>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</si>
  <si>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</si>
  <si>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</si>
  <si>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</si>
  <si>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</si>
  <si>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</si>
  <si>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</si>
  <si>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</si>
  <si>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</si>
  <si>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</si>
  <si>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</si>
  <si>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</si>
  <si>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</si>
  <si>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</si>
  <si>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</si>
  <si>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</si>
  <si>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</si>
  <si>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</si>
  <si>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</si>
  <si>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</si>
  <si>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</si>
  <si>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</si>
  <si>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</si>
  <si>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</si>
  <si>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</si>
  <si>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</si>
  <si>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</si>
  <si>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</si>
  <si>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</si>
  <si>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</si>
  <si>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</si>
  <si>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</si>
  <si>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</si>
  <si>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</si>
  <si>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</si>
  <si>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</si>
  <si>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</si>
  <si>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</si>
  <si>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</si>
  <si>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</si>
  <si>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</si>
  <si>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</si>
  <si>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</si>
  <si>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</si>
  <si>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</si>
  <si>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</si>
  <si>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</si>
  <si>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</si>
  <si>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</si>
  <si>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</si>
  <si>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</si>
  <si>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</si>
  <si>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</si>
  <si>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</si>
  <si>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</si>
  <si>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</si>
  <si>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</si>
  <si>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</si>
  <si>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</si>
  <si>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</si>
  <si>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</si>
  <si>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</si>
  <si>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</si>
  <si>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</si>
  <si>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</si>
  <si>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</si>
  <si>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</si>
  <si>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</si>
  <si>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</si>
  <si>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</si>
  <si>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</si>
  <si>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</si>
  <si>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</si>
  <si>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</si>
  <si>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</si>
  <si>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</si>
  <si>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</si>
  <si>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</si>
  <si>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</si>
  <si>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</si>
  <si>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</si>
  <si>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</si>
  <si>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</si>
  <si>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</si>
  <si>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</si>
  <si>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</si>
  <si>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</si>
  <si>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</si>
  <si>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</si>
  <si>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</si>
  <si>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</si>
  <si>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</si>
  <si>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</si>
  <si>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</si>
  <si>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</si>
  <si>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</si>
  <si>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</si>
  <si>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</si>
  <si>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</si>
  <si>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</si>
  <si>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</si>
  <si>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</si>
  <si>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</si>
  <si>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</si>
  <si>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</si>
  <si>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</si>
  <si>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</si>
  <si>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</si>
  <si>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</si>
  <si>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</si>
  <si>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</si>
  <si>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</si>
  <si>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</si>
  <si>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</si>
  <si>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</si>
  <si>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</si>
  <si>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</si>
  <si>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</si>
  <si>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</si>
  <si>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</si>
  <si>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</si>
  <si>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</si>
  <si>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</si>
  <si>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</si>
  <si>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</si>
  <si>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</si>
  <si>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</si>
  <si>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</si>
  <si>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</si>
  <si>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</si>
  <si>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</si>
  <si>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</si>
  <si>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</si>
  <si>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</si>
  <si>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</si>
  <si>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</si>
  <si>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</si>
  <si>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</si>
  <si>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</si>
  <si>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</si>
  <si>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</si>
  <si>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</si>
  <si>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</si>
  <si>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</si>
  <si>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</si>
  <si>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</si>
  <si>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</si>
  <si>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</si>
  <si>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</si>
  <si>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</si>
  <si>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</si>
  <si>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</si>
  <si>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</si>
  <si>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</si>
  <si>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</si>
  <si>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</si>
  <si>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</si>
  <si>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</si>
  <si>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</si>
  <si>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</si>
  <si>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</si>
  <si>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</si>
  <si>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</si>
  <si>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</si>
  <si>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</si>
  <si>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</si>
  <si>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</si>
  <si>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</si>
  <si>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</si>
  <si>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</si>
  <si>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</si>
  <si>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</si>
  <si>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</si>
  <si>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</si>
  <si>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</si>
  <si>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</si>
  <si>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</si>
  <si>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</si>
  <si>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</si>
  <si>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</si>
  <si>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</si>
  <si>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</si>
  <si>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</si>
  <si>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</si>
  <si>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</si>
  <si>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</si>
  <si>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</si>
  <si>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</si>
  <si>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</si>
  <si>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</si>
  <si>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</si>
  <si>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</si>
  <si>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</si>
  <si>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</si>
  <si>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</si>
  <si>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</si>
  <si>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</si>
  <si>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</si>
  <si>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</si>
  <si>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</si>
  <si>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</si>
  <si>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</si>
  <si>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</si>
  <si>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</si>
  <si>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</si>
  <si>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</si>
  <si>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</si>
  <si>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</si>
  <si>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</si>
  <si>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</si>
  <si>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</si>
  <si>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</si>
  <si>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</si>
  <si>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</si>
  <si>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</si>
  <si>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</si>
  <si>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</si>
  <si>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</si>
  <si>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</si>
  <si>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</si>
  <si>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</si>
  <si>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</si>
  <si>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</si>
  <si>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</si>
  <si>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</si>
  <si>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</si>
  <si>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</si>
  <si>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</si>
  <si>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</si>
  <si>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</si>
  <si>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</si>
  <si>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</si>
  <si>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</si>
  <si>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</si>
  <si>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</si>
  <si>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</si>
  <si>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</si>
  <si>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</si>
  <si>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</si>
  <si>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</si>
  <si>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</si>
  <si>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</si>
  <si>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</si>
  <si>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</si>
  <si>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</si>
  <si>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</si>
  <si>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</si>
  <si>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</si>
  <si>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</si>
  <si>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</si>
  <si>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</si>
  <si>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</si>
  <si>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</si>
  <si>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</si>
  <si>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</si>
  <si>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</si>
  <si>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</si>
  <si>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</si>
  <si>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</si>
  <si>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</si>
  <si>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</si>
  <si>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</si>
  <si>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</si>
  <si>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</si>
  <si>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</si>
  <si>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</si>
  <si>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</si>
  <si>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</si>
  <si>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</si>
  <si>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</si>
  <si>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</si>
  <si>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</si>
  <si>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</si>
  <si>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</si>
  <si>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</si>
  <si>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</si>
  <si>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</si>
  <si>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</si>
  <si>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</si>
  <si>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</si>
  <si>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</si>
  <si>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</si>
  <si>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</si>
  <si>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</si>
  <si>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</si>
  <si>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</si>
  <si>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</si>
  <si>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</si>
  <si>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</si>
  <si>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</si>
  <si>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</si>
  <si>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</si>
  <si>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</si>
  <si>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</si>
  <si>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</si>
  <si>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</si>
  <si>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</si>
  <si>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</si>
  <si>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</si>
  <si>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</si>
  <si>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</si>
  <si>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</si>
  <si>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</si>
  <si>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</si>
  <si>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</si>
  <si>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</si>
  <si>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</si>
  <si>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</si>
  <si>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</si>
  <si>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</si>
  <si>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</si>
  <si>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</si>
  <si>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</si>
  <si>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</si>
  <si>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</si>
  <si>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</si>
  <si>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</si>
  <si>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</si>
  <si>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</si>
  <si>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</si>
  <si>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</si>
  <si>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</si>
  <si>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</si>
  <si>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</si>
  <si>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</si>
  <si>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</si>
  <si>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</si>
  <si>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</si>
  <si>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</si>
  <si>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</si>
  <si>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</si>
  <si>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</si>
  <si>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</si>
  <si>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</si>
  <si>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</si>
  <si>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</si>
  <si>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</si>
  <si>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</si>
  <si>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</si>
  <si>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</si>
  <si>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</si>
  <si>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</si>
  <si>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</si>
  <si>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</si>
  <si>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</si>
  <si>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</si>
  <si>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</si>
  <si>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</si>
  <si>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</si>
  <si>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</si>
  <si>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</si>
  <si>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</si>
  <si>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</si>
  <si>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</si>
  <si>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</si>
  <si>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</si>
  <si>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</si>
  <si>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</si>
  <si>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</si>
  <si>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</si>
  <si>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</si>
  <si>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</si>
  <si>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</si>
  <si>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</si>
  <si>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</si>
  <si>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</si>
  <si>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</si>
  <si>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</si>
  <si>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</si>
  <si>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</si>
  <si>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</si>
  <si>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</si>
  <si>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</si>
  <si>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</si>
  <si>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</si>
  <si>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</si>
  <si>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</si>
  <si>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</si>
  <si>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</si>
  <si>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</si>
  <si>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</si>
  <si>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</si>
  <si>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</si>
  <si>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</si>
  <si>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</si>
  <si>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</si>
  <si>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</si>
  <si>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</si>
  <si>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</si>
  <si>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</si>
  <si>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</si>
  <si>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</si>
  <si>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</si>
  <si>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</si>
  <si>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</si>
  <si>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</si>
  <si>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</si>
  <si>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</si>
  <si>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</si>
  <si>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</si>
  <si>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</si>
  <si>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</si>
  <si>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</si>
  <si>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</si>
  <si>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</si>
  <si>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</si>
  <si>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</si>
  <si>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</si>
  <si>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</si>
  <si>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</si>
  <si>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</si>
  <si>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</si>
  <si>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</si>
  <si>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</si>
  <si>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</si>
  <si>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</si>
  <si>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</si>
  <si>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</si>
  <si>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</si>
  <si>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</si>
  <si>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</si>
  <si>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</si>
  <si>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</si>
  <si>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</si>
  <si>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</si>
  <si>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</si>
  <si>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</si>
  <si>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</si>
  <si>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</si>
  <si>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</si>
  <si>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</si>
  <si>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</si>
  <si>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</si>
  <si>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</si>
  <si>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</si>
  <si>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</si>
  <si>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</si>
  <si>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</si>
  <si>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</si>
  <si>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</si>
  <si>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</si>
  <si>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</si>
  <si>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</si>
  <si>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</si>
  <si>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</si>
  <si>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</si>
  <si>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</si>
  <si>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</si>
  <si>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</si>
  <si>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</si>
  <si>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</si>
  <si>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</si>
  <si>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</si>
  <si>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</si>
  <si>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</si>
  <si>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</si>
  <si>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</si>
  <si>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</si>
  <si>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</si>
  <si>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</si>
  <si>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</si>
  <si>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</si>
  <si>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</si>
  <si>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</si>
  <si>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</si>
  <si>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</si>
  <si>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</si>
  <si>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</si>
  <si>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</si>
  <si>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</si>
  <si>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</si>
  <si>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</si>
  <si>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</si>
  <si>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</si>
  <si>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</si>
  <si>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</si>
  <si>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</si>
  <si>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</si>
  <si>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</si>
  <si>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</si>
  <si>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</si>
  <si>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</si>
  <si>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</si>
  <si>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</si>
  <si>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</si>
  <si>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</si>
  <si>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</si>
  <si>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</si>
  <si>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</si>
  <si>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</si>
  <si>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</si>
  <si>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</si>
  <si>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</si>
  <si>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</si>
  <si>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</si>
  <si>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</si>
  <si>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</si>
  <si>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</si>
  <si>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</si>
  <si>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</si>
  <si>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</si>
  <si>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</si>
  <si>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</si>
  <si>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</si>
  <si>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</si>
  <si>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</si>
  <si>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</si>
  <si>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</si>
  <si>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</si>
  <si>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</si>
  <si>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</si>
  <si>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</si>
  <si>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</si>
  <si>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</si>
  <si>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</si>
  <si>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</si>
  <si>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</si>
  <si>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</si>
  <si>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</si>
  <si>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</si>
  <si>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</si>
  <si>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</si>
  <si>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</si>
  <si>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</si>
  <si>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</si>
  <si>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</si>
  <si>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</si>
  <si>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</si>
  <si>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</si>
  <si>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</si>
  <si>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</si>
  <si>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</si>
  <si>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</si>
  <si>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</si>
  <si>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</si>
  <si>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</si>
  <si>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</si>
  <si>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</si>
  <si>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</si>
  <si>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</si>
  <si>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</si>
  <si>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</si>
  <si>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</si>
  <si>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</si>
  <si>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</si>
  <si>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</si>
  <si>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</si>
  <si>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</si>
  <si>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</si>
  <si>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</si>
  <si>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</si>
  <si>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</si>
  <si>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</si>
  <si>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</si>
  <si>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</si>
  <si>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</si>
  <si>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</si>
  <si>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</si>
  <si>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</si>
  <si>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</si>
  <si>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</si>
  <si>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</si>
  <si>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</si>
  <si>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</si>
  <si>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</si>
  <si>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</si>
  <si>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</si>
  <si>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</si>
  <si>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</si>
  <si>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</si>
  <si>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</si>
  <si>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</si>
  <si>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</si>
  <si>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</si>
  <si>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</si>
  <si>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</si>
  <si>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</si>
  <si>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</si>
  <si>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</si>
  <si>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</si>
  <si>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</si>
  <si>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</si>
  <si>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</si>
  <si>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</si>
  <si>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</si>
  <si>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</si>
  <si>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</si>
  <si>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</si>
  <si>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</si>
  <si>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</si>
  <si>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</si>
  <si>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</si>
  <si>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</si>
  <si>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</si>
  <si>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</si>
  <si>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</si>
  <si>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</si>
  <si>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</si>
  <si>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</si>
  <si>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</si>
  <si>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</si>
  <si>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</si>
  <si>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</si>
  <si>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</si>
  <si>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</si>
  <si>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</si>
  <si>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</si>
  <si>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</si>
  <si>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</si>
  <si>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</si>
  <si>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</si>
  <si>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</si>
  <si>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</si>
  <si>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</si>
  <si>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</si>
  <si>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</si>
  <si>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</si>
  <si>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</si>
  <si>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</si>
  <si>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</si>
  <si>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</si>
  <si>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</si>
  <si>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</si>
  <si>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</si>
  <si>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</si>
  <si>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</si>
  <si>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</si>
  <si>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</si>
  <si>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</si>
  <si>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</si>
  <si>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</si>
  <si>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</si>
  <si>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</si>
  <si>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</si>
  <si>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</si>
  <si>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</si>
  <si>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</si>
  <si>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</si>
  <si>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</si>
  <si>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</si>
  <si>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</si>
  <si>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</si>
  <si>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</si>
  <si>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</si>
  <si>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</si>
  <si>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</si>
  <si>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</si>
  <si>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</si>
  <si>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</si>
  <si>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</si>
  <si>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</si>
  <si>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</si>
  <si>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</si>
  <si>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</si>
  <si>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</si>
  <si>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</si>
  <si>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</si>
  <si>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</si>
  <si>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</si>
  <si>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</si>
  <si>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</si>
  <si>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</si>
  <si>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</si>
  <si>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</si>
  <si>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</si>
  <si>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</si>
  <si>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</si>
  <si>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</si>
  <si>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</si>
  <si>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</si>
  <si>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</si>
  <si>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</si>
  <si>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</si>
  <si>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</si>
  <si>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</si>
  <si>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</si>
  <si>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</si>
  <si>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</si>
  <si>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</si>
  <si>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</si>
  <si>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</si>
  <si>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</si>
  <si>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</si>
  <si>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</si>
  <si>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</si>
  <si>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</si>
  <si>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</si>
  <si>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</si>
  <si>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</si>
  <si>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</si>
  <si>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</si>
  <si>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</si>
  <si>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</si>
  <si>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</si>
  <si>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</si>
  <si>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</si>
  <si>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</si>
  <si>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</si>
  <si>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</si>
  <si>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</si>
  <si>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</si>
  <si>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</si>
  <si>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</si>
  <si>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</si>
  <si>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</si>
  <si>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</si>
  <si>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</si>
  <si>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</si>
  <si>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</si>
  <si>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</si>
  <si>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</si>
  <si>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</si>
  <si>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</si>
  <si>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</si>
  <si>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</si>
  <si>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</si>
  <si>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</si>
  <si>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</si>
  <si>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</si>
  <si>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</si>
  <si>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</si>
  <si>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</si>
  <si>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</si>
  <si>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</si>
  <si>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</si>
  <si>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</si>
  <si>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</si>
  <si>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</si>
  <si>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</si>
  <si>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</si>
  <si>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</si>
  <si>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</si>
  <si>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</si>
  <si>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</si>
  <si>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</si>
  <si>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</si>
  <si>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</si>
  <si>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</si>
  <si>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</si>
  <si>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</si>
  <si>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</si>
  <si>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</si>
  <si>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</si>
  <si>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</si>
  <si>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</si>
  <si>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</si>
  <si>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</si>
  <si>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</si>
  <si>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</si>
  <si>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</si>
  <si>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</si>
  <si>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</si>
  <si>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</si>
  <si>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</si>
  <si>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</si>
  <si>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</si>
  <si>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</si>
  <si>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</si>
  <si>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</si>
  <si>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</si>
  <si>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</si>
  <si>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</si>
  <si>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</si>
  <si>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</si>
  <si>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</si>
  <si>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</si>
  <si>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</si>
  <si>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</si>
  <si>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</si>
  <si>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</si>
  <si>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</si>
  <si>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</si>
  <si>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</si>
  <si>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</si>
  <si>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</si>
  <si>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</si>
  <si>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</si>
  <si>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</si>
  <si>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</si>
  <si>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</si>
  <si>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</si>
  <si>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</si>
  <si>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</si>
  <si>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</si>
  <si>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</si>
  <si>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</si>
  <si>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</si>
  <si>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</si>
  <si>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</si>
  <si>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</si>
  <si>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</si>
  <si>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</si>
  <si>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</si>
  <si>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</si>
  <si>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</si>
  <si>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</si>
  <si>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</si>
  <si>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</si>
  <si>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</si>
  <si>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</si>
  <si>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</si>
  <si>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</si>
  <si>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</si>
  <si>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</si>
  <si>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</si>
  <si>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</si>
  <si>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</si>
  <si>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</si>
  <si>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</si>
  <si>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</si>
  <si>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</si>
  <si>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</si>
  <si>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</si>
  <si>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</si>
  <si>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</si>
  <si>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</si>
  <si>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</si>
  <si>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</si>
  <si>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</si>
  <si>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</si>
  <si>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</si>
  <si>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</si>
  <si>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</si>
  <si>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</si>
  <si>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</si>
  <si>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</si>
  <si>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</si>
  <si>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</si>
  <si>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</si>
  <si>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</si>
  <si>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</si>
  <si>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</si>
  <si>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</si>
  <si>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</si>
  <si>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</si>
  <si>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</si>
  <si>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</si>
  <si>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</si>
  <si>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</si>
  <si>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</si>
  <si>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</si>
  <si>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</si>
  <si>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</si>
  <si>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</si>
  <si>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</si>
  <si>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</si>
  <si>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</si>
  <si>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</si>
  <si>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</si>
  <si>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</si>
  <si>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</si>
  <si>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</si>
  <si>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</si>
  <si>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</si>
  <si>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</si>
  <si>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</si>
  <si>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</si>
  <si>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</si>
  <si>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</si>
  <si>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</si>
  <si>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</si>
  <si>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</si>
  <si>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</si>
  <si>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</si>
  <si>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</si>
  <si>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</si>
  <si>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</si>
  <si>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</si>
  <si>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</si>
  <si>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</si>
  <si>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</si>
  <si>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</si>
  <si>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</si>
  <si>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</si>
  <si>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</si>
  <si>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</si>
  <si>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</si>
  <si>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</si>
  <si>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</si>
  <si>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</si>
  <si>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</si>
  <si>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</si>
  <si>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</si>
  <si>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</si>
  <si>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</si>
  <si>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</si>
  <si>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</si>
  <si>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</si>
  <si>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</si>
  <si>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</si>
  <si>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</si>
  <si>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</si>
  <si>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</si>
  <si>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</si>
  <si>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</si>
  <si>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</si>
  <si>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</si>
  <si>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</si>
  <si>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</si>
  <si>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</si>
  <si>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</si>
  <si>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</si>
  <si>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</si>
  <si>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</si>
  <si>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</si>
  <si>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</si>
  <si>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</si>
  <si>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</si>
  <si>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</si>
  <si>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</si>
  <si>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</si>
  <si>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</si>
  <si>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42023</t>
  </si>
  <si>
    <t>WAASMUNSTER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</si>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</sst>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E981190-20E7-42D0-AC72-37BCFE9220D9}"/>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97326.796447751054</c:v>
                </c:pt>
                <c:pt idx="1">
                  <c:v>24746.846785751393</c:v>
                </c:pt>
                <c:pt idx="2">
                  <c:v>824.91</c:v>
                </c:pt>
                <c:pt idx="3">
                  <c:v>4668.8681926797381</c:v>
                </c:pt>
                <c:pt idx="4">
                  <c:v>4840.956850029439</c:v>
                </c:pt>
                <c:pt idx="5">
                  <c:v>401113.79609407292</c:v>
                </c:pt>
                <c:pt idx="6">
                  <c:v>648.54251900858412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97326.796447751054</c:v>
                </c:pt>
                <c:pt idx="1">
                  <c:v>24746.846785751393</c:v>
                </c:pt>
                <c:pt idx="2">
                  <c:v>824.91</c:v>
                </c:pt>
                <c:pt idx="3">
                  <c:v>4668.8681926797381</c:v>
                </c:pt>
                <c:pt idx="4">
                  <c:v>4840.956850029439</c:v>
                </c:pt>
                <c:pt idx="5">
                  <c:v>401113.79609407292</c:v>
                </c:pt>
                <c:pt idx="6">
                  <c:v>648.54251900858412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20854.959686066024</c:v>
                </c:pt>
                <c:pt idx="2">
                  <c:v>4949.6166354086081</c:v>
                </c:pt>
                <c:pt idx="3">
                  <c:v>169.39194670981715</c:v>
                </c:pt>
                <c:pt idx="4">
                  <c:v>1162.3115294454788</c:v>
                </c:pt>
                <c:pt idx="5">
                  <c:v>1025.2468276717757</c:v>
                </c:pt>
                <c:pt idx="6">
                  <c:v>100745.37401017276</c:v>
                </c:pt>
                <c:pt idx="7">
                  <c:v>163.58321463494266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20854.959686066024</c:v>
                </c:pt>
                <c:pt idx="2">
                  <c:v>4949.6166354086081</c:v>
                </c:pt>
                <c:pt idx="3">
                  <c:v>169.39194670981715</c:v>
                </c:pt>
                <c:pt idx="4">
                  <c:v>1162.3115294454788</c:v>
                </c:pt>
                <c:pt idx="5">
                  <c:v>1025.2468276717757</c:v>
                </c:pt>
                <c:pt idx="6">
                  <c:v>100745.37401017276</c:v>
                </c:pt>
                <c:pt idx="7">
                  <c:v>163.58321463494266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42023</v>
      </c>
      <c r="B6" s="383"/>
      <c r="C6" s="384"/>
    </row>
    <row r="7" spans="1:7" s="381" customFormat="1" ht="15.75" customHeight="1">
      <c r="A7" s="385" t="str">
        <f>txtMunicipality</f>
        <v>WAASMUNSTER</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10402.489299999999</v>
      </c>
      <c r="D10" s="983">
        <f ca="1">tertiair!C16</f>
        <v>0</v>
      </c>
      <c r="E10" s="983">
        <f ca="1">tertiair!D16</f>
        <v>12710.792242031375</v>
      </c>
      <c r="F10" s="983">
        <f>tertiair!E16</f>
        <v>115.12768911313177</v>
      </c>
      <c r="G10" s="983">
        <f ca="1">tertiair!F16</f>
        <v>1457.6227540279431</v>
      </c>
      <c r="H10" s="983">
        <f>tertiair!G16</f>
        <v>0</v>
      </c>
      <c r="I10" s="983">
        <f>tertiair!H16</f>
        <v>0</v>
      </c>
      <c r="J10" s="983">
        <f>tertiair!I16</f>
        <v>0</v>
      </c>
      <c r="K10" s="983">
        <f>tertiair!J16</f>
        <v>0</v>
      </c>
      <c r="L10" s="983">
        <f>tertiair!K16</f>
        <v>0</v>
      </c>
      <c r="M10" s="983">
        <f ca="1">tertiair!L16</f>
        <v>0</v>
      </c>
      <c r="N10" s="983">
        <f>tertiair!M16</f>
        <v>0</v>
      </c>
      <c r="O10" s="983">
        <f ca="1">tertiair!N16</f>
        <v>863.5314672456127</v>
      </c>
      <c r="P10" s="983">
        <f>tertiair!O16</f>
        <v>3.1266666666666669</v>
      </c>
      <c r="Q10" s="984">
        <f>tertiair!P16</f>
        <v>19.066666666666666</v>
      </c>
      <c r="R10" s="667">
        <f ca="1">SUM(C10:Q10)</f>
        <v>25571.756785751393</v>
      </c>
      <c r="S10" s="67"/>
    </row>
    <row r="11" spans="1:19" s="440" customFormat="1">
      <c r="A11" s="776" t="s">
        <v>214</v>
      </c>
      <c r="B11" s="781"/>
      <c r="C11" s="983">
        <f>huishoudens!B8</f>
        <v>23116.929436960883</v>
      </c>
      <c r="D11" s="983">
        <f>huishoudens!C8</f>
        <v>0</v>
      </c>
      <c r="E11" s="983">
        <f>huishoudens!D8</f>
        <v>32814.386055399795</v>
      </c>
      <c r="F11" s="983">
        <f>huishoudens!E8</f>
        <v>1063.8621771804171</v>
      </c>
      <c r="G11" s="983">
        <f>huishoudens!F8</f>
        <v>33561.53264719883</v>
      </c>
      <c r="H11" s="983">
        <f>huishoudens!G8</f>
        <v>0</v>
      </c>
      <c r="I11" s="983">
        <f>huishoudens!H8</f>
        <v>0</v>
      </c>
      <c r="J11" s="983">
        <f>huishoudens!I8</f>
        <v>0</v>
      </c>
      <c r="K11" s="983">
        <f>huishoudens!J8</f>
        <v>782.653673498373</v>
      </c>
      <c r="L11" s="983">
        <f>huishoudens!K8</f>
        <v>0</v>
      </c>
      <c r="M11" s="983">
        <f>huishoudens!L8</f>
        <v>0</v>
      </c>
      <c r="N11" s="983">
        <f>huishoudens!M8</f>
        <v>0</v>
      </c>
      <c r="O11" s="983">
        <f>huishoudens!N8</f>
        <v>5110.949124179434</v>
      </c>
      <c r="P11" s="983">
        <f>huishoudens!O8</f>
        <v>132.88333333333333</v>
      </c>
      <c r="Q11" s="984">
        <f>huishoudens!P8</f>
        <v>743.6</v>
      </c>
      <c r="R11" s="667">
        <f>SUM(C11:Q11)</f>
        <v>97326.796447751054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1720.2503999999999</v>
      </c>
      <c r="D13" s="983">
        <f>industrie!C18</f>
        <v>0</v>
      </c>
      <c r="E13" s="983">
        <f>industrie!D18</f>
        <v>1012.9536342072994</v>
      </c>
      <c r="F13" s="983">
        <f>industrie!E18</f>
        <v>216.08266475880163</v>
      </c>
      <c r="G13" s="983">
        <f>industrie!F18</f>
        <v>1549.2318719901218</v>
      </c>
      <c r="H13" s="983">
        <f>industrie!G18</f>
        <v>0</v>
      </c>
      <c r="I13" s="983">
        <f>industrie!H18</f>
        <v>0</v>
      </c>
      <c r="J13" s="983">
        <f>industrie!I18</f>
        <v>0</v>
      </c>
      <c r="K13" s="983">
        <f>industrie!J18</f>
        <v>13.243012410813506</v>
      </c>
      <c r="L13" s="983">
        <f>industrie!K18</f>
        <v>0</v>
      </c>
      <c r="M13" s="983">
        <f>industrie!L18</f>
        <v>0</v>
      </c>
      <c r="N13" s="983">
        <f>industrie!M18</f>
        <v>0</v>
      </c>
      <c r="O13" s="983">
        <f>industrie!N18</f>
        <v>329.19526666240318</v>
      </c>
      <c r="P13" s="983">
        <f>industrie!O18</f>
        <v>0</v>
      </c>
      <c r="Q13" s="984">
        <f>industrie!P18</f>
        <v>0</v>
      </c>
      <c r="R13" s="667">
        <f>SUM(C13:Q13)</f>
        <v>4840.956850029439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35239.669136960882</v>
      </c>
      <c r="D16" s="699">
        <f t="shared" ref="D16:R16" ca="1" si="0">SUM(D9:D15)</f>
        <v>0</v>
      </c>
      <c r="E16" s="699">
        <f t="shared" ca="1" si="0"/>
        <v>46538.131931638469</v>
      </c>
      <c r="F16" s="699">
        <f t="shared" si="0"/>
        <v>1395.0725310523505</v>
      </c>
      <c r="G16" s="699">
        <f t="shared" ca="1" si="0"/>
        <v>36568.387273216897</v>
      </c>
      <c r="H16" s="699">
        <f t="shared" si="0"/>
        <v>0</v>
      </c>
      <c r="I16" s="699">
        <f t="shared" si="0"/>
        <v>0</v>
      </c>
      <c r="J16" s="699">
        <f t="shared" si="0"/>
        <v>0</v>
      </c>
      <c r="K16" s="699">
        <f t="shared" si="0"/>
        <v>795.89668590918654</v>
      </c>
      <c r="L16" s="699">
        <f t="shared" si="0"/>
        <v>0</v>
      </c>
      <c r="M16" s="699">
        <f t="shared" ca="1" si="0"/>
        <v>0</v>
      </c>
      <c r="N16" s="699">
        <f t="shared" si="0"/>
        <v>0</v>
      </c>
      <c r="O16" s="699">
        <f t="shared" ca="1" si="0"/>
        <v>6303.6758580874493</v>
      </c>
      <c r="P16" s="699">
        <f t="shared" si="0"/>
        <v>136.01</v>
      </c>
      <c r="Q16" s="699">
        <f t="shared" si="0"/>
        <v>762.66666666666674</v>
      </c>
      <c r="R16" s="699">
        <f t="shared" ca="1" si="0"/>
        <v>127739.51008353189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3.2202483315540529</v>
      </c>
      <c r="D19" s="983">
        <f>transport!C54</f>
        <v>0</v>
      </c>
      <c r="E19" s="983">
        <f>transport!D54</f>
        <v>0</v>
      </c>
      <c r="F19" s="983">
        <f>transport!E54</f>
        <v>0</v>
      </c>
      <c r="G19" s="983">
        <f>transport!F54</f>
        <v>0</v>
      </c>
      <c r="H19" s="983">
        <f>transport!G54</f>
        <v>610.19456781842803</v>
      </c>
      <c r="I19" s="983">
        <f>transport!H54</f>
        <v>0</v>
      </c>
      <c r="J19" s="983">
        <f>transport!I54</f>
        <v>0</v>
      </c>
      <c r="K19" s="983">
        <f>transport!J54</f>
        <v>0</v>
      </c>
      <c r="L19" s="983">
        <f>transport!K54</f>
        <v>0</v>
      </c>
      <c r="M19" s="983">
        <f>transport!L54</f>
        <v>0</v>
      </c>
      <c r="N19" s="983">
        <f>transport!M54</f>
        <v>35.127702858601992</v>
      </c>
      <c r="O19" s="983">
        <f>transport!N54</f>
        <v>0</v>
      </c>
      <c r="P19" s="983">
        <f>transport!O54</f>
        <v>0</v>
      </c>
      <c r="Q19" s="984">
        <f>transport!P54</f>
        <v>0</v>
      </c>
      <c r="R19" s="667">
        <f>SUM(C19:Q19)</f>
        <v>648.54251900858412</v>
      </c>
      <c r="S19" s="67"/>
    </row>
    <row r="20" spans="1:19" s="440" customFormat="1">
      <c r="A20" s="776" t="s">
        <v>296</v>
      </c>
      <c r="B20" s="781"/>
      <c r="C20" s="983">
        <f>transport!B14</f>
        <v>51.736798147326994</v>
      </c>
      <c r="D20" s="983">
        <f>transport!C14</f>
        <v>0</v>
      </c>
      <c r="E20" s="983">
        <f>transport!D14</f>
        <v>68.897242479362319</v>
      </c>
      <c r="F20" s="983">
        <f>transport!E14</f>
        <v>789.27519439103617</v>
      </c>
      <c r="G20" s="983">
        <f>transport!F14</f>
        <v>0</v>
      </c>
      <c r="H20" s="983">
        <f>transport!G14</f>
        <v>338035.85532326897</v>
      </c>
      <c r="I20" s="983">
        <f>transport!H14</f>
        <v>41309.614391924501</v>
      </c>
      <c r="J20" s="983">
        <f>transport!I14</f>
        <v>0</v>
      </c>
      <c r="K20" s="983">
        <f>transport!J14</f>
        <v>0</v>
      </c>
      <c r="L20" s="983">
        <f>transport!K14</f>
        <v>0</v>
      </c>
      <c r="M20" s="983">
        <f>transport!L14</f>
        <v>0</v>
      </c>
      <c r="N20" s="983">
        <f>transport!M14</f>
        <v>20858.417143861694</v>
      </c>
      <c r="O20" s="983">
        <f>transport!N14</f>
        <v>0</v>
      </c>
      <c r="P20" s="983">
        <f>transport!O14</f>
        <v>0</v>
      </c>
      <c r="Q20" s="984">
        <f>transport!P14</f>
        <v>0</v>
      </c>
      <c r="R20" s="667">
        <f>SUM(C20:Q20)</f>
        <v>401113.79609407292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54.957046478881047</v>
      </c>
      <c r="D22" s="779">
        <f t="shared" ref="D22:R22" si="1">SUM(D18:D21)</f>
        <v>0</v>
      </c>
      <c r="E22" s="779">
        <f t="shared" si="1"/>
        <v>68.897242479362319</v>
      </c>
      <c r="F22" s="779">
        <f t="shared" si="1"/>
        <v>789.27519439103617</v>
      </c>
      <c r="G22" s="779">
        <f t="shared" si="1"/>
        <v>0</v>
      </c>
      <c r="H22" s="779">
        <f t="shared" si="1"/>
        <v>338646.0498910874</v>
      </c>
      <c r="I22" s="779">
        <f t="shared" si="1"/>
        <v>41309.614391924501</v>
      </c>
      <c r="J22" s="779">
        <f t="shared" si="1"/>
        <v>0</v>
      </c>
      <c r="K22" s="779">
        <f t="shared" si="1"/>
        <v>0</v>
      </c>
      <c r="L22" s="779">
        <f t="shared" si="1"/>
        <v>0</v>
      </c>
      <c r="M22" s="779">
        <f t="shared" si="1"/>
        <v>0</v>
      </c>
      <c r="N22" s="779">
        <f t="shared" si="1"/>
        <v>20893.544846720295</v>
      </c>
      <c r="O22" s="779">
        <f t="shared" si="1"/>
        <v>0</v>
      </c>
      <c r="P22" s="779">
        <f t="shared" si="1"/>
        <v>0</v>
      </c>
      <c r="Q22" s="779">
        <f t="shared" si="1"/>
        <v>0</v>
      </c>
      <c r="R22" s="779">
        <f t="shared" si="1"/>
        <v>401762.33861308149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1142.8685999999998</v>
      </c>
      <c r="D24" s="983">
        <f>+landbouw!C8</f>
        <v>0</v>
      </c>
      <c r="E24" s="983">
        <f>+landbouw!D8</f>
        <v>440.52399975349186</v>
      </c>
      <c r="F24" s="983">
        <f>+landbouw!E8</f>
        <v>10.585727650570623</v>
      </c>
      <c r="G24" s="983">
        <f>+landbouw!F8</f>
        <v>2899.6753544448748</v>
      </c>
      <c r="H24" s="983">
        <f>+landbouw!G8</f>
        <v>0</v>
      </c>
      <c r="I24" s="983">
        <f>+landbouw!H8</f>
        <v>0</v>
      </c>
      <c r="J24" s="983">
        <f>+landbouw!I8</f>
        <v>0</v>
      </c>
      <c r="K24" s="983">
        <f>+landbouw!J8</f>
        <v>175.21451083080103</v>
      </c>
      <c r="L24" s="983">
        <f>+landbouw!K8</f>
        <v>0</v>
      </c>
      <c r="M24" s="983">
        <f>+landbouw!L8</f>
        <v>0</v>
      </c>
      <c r="N24" s="983">
        <f>+landbouw!M8</f>
        <v>0</v>
      </c>
      <c r="O24" s="983">
        <f>+landbouw!N8</f>
        <v>0</v>
      </c>
      <c r="P24" s="983">
        <f>+landbouw!O8</f>
        <v>0</v>
      </c>
      <c r="Q24" s="984">
        <f>+landbouw!P8</f>
        <v>0</v>
      </c>
      <c r="R24" s="667">
        <f>SUM(C24:Q24)</f>
        <v>4668.8681926797381</v>
      </c>
      <c r="S24" s="67"/>
    </row>
    <row r="25" spans="1:19" s="440" customFormat="1" ht="15" thickBot="1">
      <c r="A25" s="798" t="s">
        <v>829</v>
      </c>
      <c r="B25" s="986"/>
      <c r="C25" s="987">
        <f>IF(Onbekend_ele_kWh="---",0,Onbekend_ele_kWh)/1000+IF(REST_rest_ele_kWh="---",0,REST_rest_ele_kWh)/1000</f>
        <v>1053.4839999999999</v>
      </c>
      <c r="D25" s="987"/>
      <c r="E25" s="987">
        <f>IF(onbekend_gas_kWh="---",0,onbekend_gas_kWh)/1000+IF(REST_rest_gas_kWh="---",0,REST_rest_gas_kWh)/1000</f>
        <v>1691.29489157334</v>
      </c>
      <c r="F25" s="987"/>
      <c r="G25" s="987"/>
      <c r="H25" s="987"/>
      <c r="I25" s="987"/>
      <c r="J25" s="987"/>
      <c r="K25" s="987"/>
      <c r="L25" s="987"/>
      <c r="M25" s="987"/>
      <c r="N25" s="987"/>
      <c r="O25" s="987"/>
      <c r="P25" s="987"/>
      <c r="Q25" s="988"/>
      <c r="R25" s="667">
        <f>SUM(C25:Q25)</f>
        <v>2744.7788915733399</v>
      </c>
      <c r="S25" s="67"/>
    </row>
    <row r="26" spans="1:19" s="440" customFormat="1" ht="15.75" thickBot="1">
      <c r="A26" s="672" t="s">
        <v>830</v>
      </c>
      <c r="B26" s="784"/>
      <c r="C26" s="779">
        <f>SUM(C24:C25)</f>
        <v>2196.3525999999997</v>
      </c>
      <c r="D26" s="779">
        <f t="shared" ref="D26:R26" si="2">SUM(D24:D25)</f>
        <v>0</v>
      </c>
      <c r="E26" s="779">
        <f t="shared" si="2"/>
        <v>2131.8188913268318</v>
      </c>
      <c r="F26" s="779">
        <f t="shared" si="2"/>
        <v>10.585727650570623</v>
      </c>
      <c r="G26" s="779">
        <f t="shared" si="2"/>
        <v>2899.6753544448748</v>
      </c>
      <c r="H26" s="779">
        <f t="shared" si="2"/>
        <v>0</v>
      </c>
      <c r="I26" s="779">
        <f t="shared" si="2"/>
        <v>0</v>
      </c>
      <c r="J26" s="779">
        <f t="shared" si="2"/>
        <v>0</v>
      </c>
      <c r="K26" s="779">
        <f t="shared" si="2"/>
        <v>175.21451083080103</v>
      </c>
      <c r="L26" s="779">
        <f t="shared" si="2"/>
        <v>0</v>
      </c>
      <c r="M26" s="779">
        <f t="shared" si="2"/>
        <v>0</v>
      </c>
      <c r="N26" s="779">
        <f t="shared" si="2"/>
        <v>0</v>
      </c>
      <c r="O26" s="779">
        <f t="shared" si="2"/>
        <v>0</v>
      </c>
      <c r="P26" s="779">
        <f t="shared" si="2"/>
        <v>0</v>
      </c>
      <c r="Q26" s="779">
        <f t="shared" si="2"/>
        <v>0</v>
      </c>
      <c r="R26" s="779">
        <f t="shared" si="2"/>
        <v>7413.647084253078</v>
      </c>
      <c r="S26" s="67"/>
    </row>
    <row r="27" spans="1:19" s="440" customFormat="1" ht="17.25" thickTop="1" thickBot="1">
      <c r="A27" s="673" t="s">
        <v>109</v>
      </c>
      <c r="B27" s="772"/>
      <c r="C27" s="674">
        <f ca="1">C22+C16+C26</f>
        <v>37490.978783439758</v>
      </c>
      <c r="D27" s="674">
        <f t="shared" ref="D27:R27" ca="1" si="3">D22+D16+D26</f>
        <v>0</v>
      </c>
      <c r="E27" s="674">
        <f t="shared" ca="1" si="3"/>
        <v>48738.848065444661</v>
      </c>
      <c r="F27" s="674">
        <f t="shared" si="3"/>
        <v>2194.9334530939573</v>
      </c>
      <c r="G27" s="674">
        <f t="shared" ca="1" si="3"/>
        <v>39468.06262766177</v>
      </c>
      <c r="H27" s="674">
        <f t="shared" si="3"/>
        <v>338646.0498910874</v>
      </c>
      <c r="I27" s="674">
        <f t="shared" si="3"/>
        <v>41309.614391924501</v>
      </c>
      <c r="J27" s="674">
        <f t="shared" si="3"/>
        <v>0</v>
      </c>
      <c r="K27" s="674">
        <f t="shared" si="3"/>
        <v>971.11119673998758</v>
      </c>
      <c r="L27" s="674">
        <f t="shared" si="3"/>
        <v>0</v>
      </c>
      <c r="M27" s="674">
        <f t="shared" ca="1" si="3"/>
        <v>0</v>
      </c>
      <c r="N27" s="674">
        <f t="shared" si="3"/>
        <v>20893.544846720295</v>
      </c>
      <c r="O27" s="674">
        <f t="shared" ca="1" si="3"/>
        <v>6303.6758580874493</v>
      </c>
      <c r="P27" s="674">
        <f t="shared" si="3"/>
        <v>136.01</v>
      </c>
      <c r="Q27" s="674">
        <f t="shared" si="3"/>
        <v>762.66666666666674</v>
      </c>
      <c r="R27" s="674">
        <f t="shared" ca="1" si="3"/>
        <v>536915.49578086636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2136.1092884739464</v>
      </c>
      <c r="D40" s="983">
        <f ca="1">tertiair!C20</f>
        <v>0</v>
      </c>
      <c r="E40" s="983">
        <f ca="1">tertiair!D20</f>
        <v>2567.5800328903379</v>
      </c>
      <c r="F40" s="983">
        <f>tertiair!E20</f>
        <v>26.133985428680912</v>
      </c>
      <c r="G40" s="983">
        <f ca="1">tertiair!F20</f>
        <v>389.18527532546085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5119.0085821184257</v>
      </c>
    </row>
    <row r="41" spans="1:18">
      <c r="A41" s="789" t="s">
        <v>214</v>
      </c>
      <c r="B41" s="796"/>
      <c r="C41" s="983">
        <f ca="1">huishoudens!B12</f>
        <v>4746.9683714348012</v>
      </c>
      <c r="D41" s="983">
        <f ca="1">huishoudens!C12</f>
        <v>0</v>
      </c>
      <c r="E41" s="983">
        <f>huishoudens!D12</f>
        <v>6628.5059831907593</v>
      </c>
      <c r="F41" s="983">
        <f>huishoudens!E12</f>
        <v>241.4967142199547</v>
      </c>
      <c r="G41" s="983">
        <f>huishoudens!F12</f>
        <v>8960.9292168020875</v>
      </c>
      <c r="H41" s="983">
        <f>huishoudens!G12</f>
        <v>0</v>
      </c>
      <c r="I41" s="983">
        <f>huishoudens!H12</f>
        <v>0</v>
      </c>
      <c r="J41" s="983">
        <f>huishoudens!I12</f>
        <v>0</v>
      </c>
      <c r="K41" s="983">
        <f>huishoudens!J12</f>
        <v>277.05940041842405</v>
      </c>
      <c r="L41" s="983">
        <f>huishoudens!K12</f>
        <v>0</v>
      </c>
      <c r="M41" s="983">
        <f>huishoudens!L12</f>
        <v>0</v>
      </c>
      <c r="N41" s="983">
        <f>huishoudens!M12</f>
        <v>0</v>
      </c>
      <c r="O41" s="983">
        <f>huishoudens!N12</f>
        <v>0</v>
      </c>
      <c r="P41" s="983">
        <f>huishoudens!O12</f>
        <v>0</v>
      </c>
      <c r="Q41" s="741">
        <f>huishoudens!P12</f>
        <v>0</v>
      </c>
      <c r="R41" s="817">
        <f t="shared" ca="1" si="4"/>
        <v>20854.959686066024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353.24649244686282</v>
      </c>
      <c r="D43" s="983">
        <f ca="1">industrie!C22</f>
        <v>0</v>
      </c>
      <c r="E43" s="983">
        <f>industrie!D22</f>
        <v>204.6166341098745</v>
      </c>
      <c r="F43" s="983">
        <f>industrie!E22</f>
        <v>49.05076490024797</v>
      </c>
      <c r="G43" s="983">
        <f>industrie!F22</f>
        <v>413.64490982136255</v>
      </c>
      <c r="H43" s="983">
        <f>industrie!G22</f>
        <v>0</v>
      </c>
      <c r="I43" s="983">
        <f>industrie!H22</f>
        <v>0</v>
      </c>
      <c r="J43" s="983">
        <f>industrie!I22</f>
        <v>0</v>
      </c>
      <c r="K43" s="983">
        <f>industrie!J22</f>
        <v>4.6880263934279807</v>
      </c>
      <c r="L43" s="983">
        <f>industrie!K22</f>
        <v>0</v>
      </c>
      <c r="M43" s="983">
        <f>industrie!L22</f>
        <v>0</v>
      </c>
      <c r="N43" s="983">
        <f>industrie!M22</f>
        <v>0</v>
      </c>
      <c r="O43" s="983">
        <f>industrie!N22</f>
        <v>0</v>
      </c>
      <c r="P43" s="983">
        <f>industrie!O22</f>
        <v>0</v>
      </c>
      <c r="Q43" s="741">
        <f>industrie!P22</f>
        <v>0</v>
      </c>
      <c r="R43" s="816">
        <f t="shared" ca="1" si="4"/>
        <v>1025.2468276717757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7236.3241523556107</v>
      </c>
      <c r="D46" s="699">
        <f t="shared" ref="D46:Q46" ca="1" si="5">SUM(D39:D45)</f>
        <v>0</v>
      </c>
      <c r="E46" s="699">
        <f t="shared" ca="1" si="5"/>
        <v>9400.7026501909713</v>
      </c>
      <c r="F46" s="699">
        <f t="shared" si="5"/>
        <v>316.68146454888358</v>
      </c>
      <c r="G46" s="699">
        <f t="shared" ca="1" si="5"/>
        <v>9763.7594019489115</v>
      </c>
      <c r="H46" s="699">
        <f t="shared" si="5"/>
        <v>0</v>
      </c>
      <c r="I46" s="699">
        <f t="shared" si="5"/>
        <v>0</v>
      </c>
      <c r="J46" s="699">
        <f t="shared" si="5"/>
        <v>0</v>
      </c>
      <c r="K46" s="699">
        <f t="shared" si="5"/>
        <v>281.74742681185205</v>
      </c>
      <c r="L46" s="699">
        <f t="shared" si="5"/>
        <v>0</v>
      </c>
      <c r="M46" s="699">
        <f t="shared" ca="1" si="5"/>
        <v>0</v>
      </c>
      <c r="N46" s="699">
        <f t="shared" si="5"/>
        <v>0</v>
      </c>
      <c r="O46" s="699">
        <f t="shared" ca="1" si="5"/>
        <v>0</v>
      </c>
      <c r="P46" s="699">
        <f t="shared" si="5"/>
        <v>0</v>
      </c>
      <c r="Q46" s="699">
        <f t="shared" si="5"/>
        <v>0</v>
      </c>
      <c r="R46" s="699">
        <f ca="1">SUM(R39:R45)</f>
        <v>26999.215095856227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0.66126502742236337</v>
      </c>
      <c r="D49" s="983">
        <f ca="1">transport!C58</f>
        <v>0</v>
      </c>
      <c r="E49" s="983">
        <f>transport!D58</f>
        <v>0</v>
      </c>
      <c r="F49" s="983">
        <f>transport!E58</f>
        <v>0</v>
      </c>
      <c r="G49" s="983">
        <f>transport!F58</f>
        <v>0</v>
      </c>
      <c r="H49" s="983">
        <f>transport!G58</f>
        <v>162.9219496075203</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163.58321463494266</v>
      </c>
    </row>
    <row r="50" spans="1:18">
      <c r="A50" s="792" t="s">
        <v>296</v>
      </c>
      <c r="B50" s="802"/>
      <c r="C50" s="670">
        <f ca="1">transport!B18</f>
        <v>10.62394316314335</v>
      </c>
      <c r="D50" s="670">
        <f>transport!C18</f>
        <v>0</v>
      </c>
      <c r="E50" s="670">
        <f>transport!D18</f>
        <v>13.917242980831189</v>
      </c>
      <c r="F50" s="670">
        <f>transport!E18</f>
        <v>179.1654691267652</v>
      </c>
      <c r="G50" s="670">
        <f>transport!F18</f>
        <v>0</v>
      </c>
      <c r="H50" s="670">
        <f>transport!G18</f>
        <v>90255.573371312814</v>
      </c>
      <c r="I50" s="670">
        <f>transport!H18</f>
        <v>10286.0939835892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100745.37401017276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11.285208190565713</v>
      </c>
      <c r="D52" s="699">
        <f t="shared" ref="D52:Q52" ca="1" si="6">SUM(D48:D51)</f>
        <v>0</v>
      </c>
      <c r="E52" s="699">
        <f t="shared" si="6"/>
        <v>13.917242980831189</v>
      </c>
      <c r="F52" s="699">
        <f t="shared" si="6"/>
        <v>179.1654691267652</v>
      </c>
      <c r="G52" s="699">
        <f t="shared" si="6"/>
        <v>0</v>
      </c>
      <c r="H52" s="699">
        <f t="shared" si="6"/>
        <v>90418.495320920338</v>
      </c>
      <c r="I52" s="699">
        <f t="shared" si="6"/>
        <v>10286.0939835892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100908.9572248077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234.68346484770859</v>
      </c>
      <c r="D54" s="670">
        <f ca="1">+landbouw!C12</f>
        <v>0</v>
      </c>
      <c r="E54" s="670">
        <f>+landbouw!D12</f>
        <v>88.985847950205368</v>
      </c>
      <c r="F54" s="670">
        <f>+landbouw!E12</f>
        <v>2.4029601766795317</v>
      </c>
      <c r="G54" s="670">
        <f>+landbouw!F12</f>
        <v>774.21331963678165</v>
      </c>
      <c r="H54" s="670">
        <f>+landbouw!G12</f>
        <v>0</v>
      </c>
      <c r="I54" s="670">
        <f>+landbouw!H12</f>
        <v>0</v>
      </c>
      <c r="J54" s="670">
        <f>+landbouw!I12</f>
        <v>0</v>
      </c>
      <c r="K54" s="670">
        <f>+landbouw!J12</f>
        <v>62.025936834103561</v>
      </c>
      <c r="L54" s="670">
        <f>+landbouw!K12</f>
        <v>0</v>
      </c>
      <c r="M54" s="670">
        <f>+landbouw!L12</f>
        <v>0</v>
      </c>
      <c r="N54" s="670">
        <f>+landbouw!M12</f>
        <v>0</v>
      </c>
      <c r="O54" s="670">
        <f>+landbouw!N12</f>
        <v>0</v>
      </c>
      <c r="P54" s="670">
        <f>+landbouw!O12</f>
        <v>0</v>
      </c>
      <c r="Q54" s="671">
        <f>+landbouw!P12</f>
        <v>0</v>
      </c>
      <c r="R54" s="698">
        <f ca="1">SUM(C54:Q54)</f>
        <v>1162.3115294454788</v>
      </c>
    </row>
    <row r="55" spans="1:18" ht="15" thickBot="1">
      <c r="A55" s="792" t="s">
        <v>829</v>
      </c>
      <c r="B55" s="802"/>
      <c r="C55" s="670">
        <f ca="1">C25*'EF ele_warmte'!B12</f>
        <v>216.32869717623134</v>
      </c>
      <c r="D55" s="670"/>
      <c r="E55" s="670">
        <f>E25*EF_CO2_aardgas</f>
        <v>341.64156809781468</v>
      </c>
      <c r="F55" s="670"/>
      <c r="G55" s="670"/>
      <c r="H55" s="670"/>
      <c r="I55" s="670"/>
      <c r="J55" s="670"/>
      <c r="K55" s="670"/>
      <c r="L55" s="670"/>
      <c r="M55" s="670"/>
      <c r="N55" s="670"/>
      <c r="O55" s="670"/>
      <c r="P55" s="670"/>
      <c r="Q55" s="671"/>
      <c r="R55" s="698">
        <f ca="1">SUM(C55:Q55)</f>
        <v>557.97026527404603</v>
      </c>
    </row>
    <row r="56" spans="1:18" ht="15.75" thickBot="1">
      <c r="A56" s="790" t="s">
        <v>830</v>
      </c>
      <c r="B56" s="803"/>
      <c r="C56" s="699">
        <f ca="1">SUM(C54:C55)</f>
        <v>451.01216202393994</v>
      </c>
      <c r="D56" s="699">
        <f t="shared" ref="D56:Q56" ca="1" si="7">SUM(D54:D55)</f>
        <v>0</v>
      </c>
      <c r="E56" s="699">
        <f t="shared" si="7"/>
        <v>430.62741604802005</v>
      </c>
      <c r="F56" s="699">
        <f t="shared" si="7"/>
        <v>2.4029601766795317</v>
      </c>
      <c r="G56" s="699">
        <f t="shared" si="7"/>
        <v>774.21331963678165</v>
      </c>
      <c r="H56" s="699">
        <f t="shared" si="7"/>
        <v>0</v>
      </c>
      <c r="I56" s="699">
        <f t="shared" si="7"/>
        <v>0</v>
      </c>
      <c r="J56" s="699">
        <f t="shared" si="7"/>
        <v>0</v>
      </c>
      <c r="K56" s="699">
        <f t="shared" si="7"/>
        <v>62.025936834103561</v>
      </c>
      <c r="L56" s="699">
        <f t="shared" si="7"/>
        <v>0</v>
      </c>
      <c r="M56" s="699">
        <f t="shared" si="7"/>
        <v>0</v>
      </c>
      <c r="N56" s="699">
        <f t="shared" si="7"/>
        <v>0</v>
      </c>
      <c r="O56" s="699">
        <f t="shared" si="7"/>
        <v>0</v>
      </c>
      <c r="P56" s="699">
        <f t="shared" si="7"/>
        <v>0</v>
      </c>
      <c r="Q56" s="700">
        <f t="shared" si="7"/>
        <v>0</v>
      </c>
      <c r="R56" s="701">
        <f ca="1">SUM(R54:R55)</f>
        <v>1720.2817947195249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7698.6215225701162</v>
      </c>
      <c r="D61" s="707">
        <f t="shared" ref="D61:Q61" ca="1" si="8">D46+D52+D56</f>
        <v>0</v>
      </c>
      <c r="E61" s="707">
        <f t="shared" ca="1" si="8"/>
        <v>9845.2473092198234</v>
      </c>
      <c r="F61" s="707">
        <f t="shared" si="8"/>
        <v>498.24989385232828</v>
      </c>
      <c r="G61" s="707">
        <f t="shared" ca="1" si="8"/>
        <v>10537.972721585693</v>
      </c>
      <c r="H61" s="707">
        <f t="shared" si="8"/>
        <v>90418.495320920338</v>
      </c>
      <c r="I61" s="707">
        <f t="shared" si="8"/>
        <v>10286.0939835892</v>
      </c>
      <c r="J61" s="707">
        <f t="shared" si="8"/>
        <v>0</v>
      </c>
      <c r="K61" s="707">
        <f t="shared" si="8"/>
        <v>343.77336364595561</v>
      </c>
      <c r="L61" s="707">
        <f t="shared" si="8"/>
        <v>0</v>
      </c>
      <c r="M61" s="707">
        <f t="shared" ca="1" si="8"/>
        <v>0</v>
      </c>
      <c r="N61" s="707">
        <f t="shared" si="8"/>
        <v>0</v>
      </c>
      <c r="O61" s="707">
        <f t="shared" ca="1" si="8"/>
        <v>0</v>
      </c>
      <c r="P61" s="707">
        <f t="shared" si="8"/>
        <v>0</v>
      </c>
      <c r="Q61" s="707">
        <f t="shared" si="8"/>
        <v>0</v>
      </c>
      <c r="R61" s="707">
        <f ca="1">R46+R52+R56</f>
        <v>129628.45411538346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0.20534597314836431</v>
      </c>
      <c r="D63" s="748">
        <f t="shared" ca="1" si="9"/>
        <v>0</v>
      </c>
      <c r="E63" s="994">
        <f t="shared" ca="1" si="9"/>
        <v>0.20200000000000004</v>
      </c>
      <c r="F63" s="748">
        <f t="shared" si="9"/>
        <v>0.22699999999999998</v>
      </c>
      <c r="G63" s="748">
        <f t="shared" ca="1" si="9"/>
        <v>0.26700000000000002</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2655.5872785976117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2655.5872785976117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23116.929436960883</v>
      </c>
      <c r="C4" s="444">
        <f>huishoudens!C8</f>
        <v>0</v>
      </c>
      <c r="D4" s="444">
        <f>huishoudens!D8</f>
        <v>32814.386055399795</v>
      </c>
      <c r="E4" s="444">
        <f>huishoudens!E8</f>
        <v>1063.8621771804171</v>
      </c>
      <c r="F4" s="444">
        <f>huishoudens!F8</f>
        <v>33561.53264719883</v>
      </c>
      <c r="G4" s="444">
        <f>huishoudens!G8</f>
        <v>0</v>
      </c>
      <c r="H4" s="444">
        <f>huishoudens!H8</f>
        <v>0</v>
      </c>
      <c r="I4" s="444">
        <f>huishoudens!I8</f>
        <v>0</v>
      </c>
      <c r="J4" s="444">
        <f>huishoudens!J8</f>
        <v>782.653673498373</v>
      </c>
      <c r="K4" s="444">
        <f>huishoudens!K8</f>
        <v>0</v>
      </c>
      <c r="L4" s="444">
        <f>huishoudens!L8</f>
        <v>0</v>
      </c>
      <c r="M4" s="444">
        <f>huishoudens!M8</f>
        <v>0</v>
      </c>
      <c r="N4" s="444">
        <f>huishoudens!N8</f>
        <v>5110.949124179434</v>
      </c>
      <c r="O4" s="444">
        <f>huishoudens!O8</f>
        <v>132.88333333333333</v>
      </c>
      <c r="P4" s="445">
        <f>huishoudens!P8</f>
        <v>743.6</v>
      </c>
      <c r="Q4" s="446">
        <f>SUM(B4:P4)</f>
        <v>97326.796447751054</v>
      </c>
    </row>
    <row r="5" spans="1:17">
      <c r="A5" s="443" t="s">
        <v>149</v>
      </c>
      <c r="B5" s="444">
        <f ca="1">tertiair!B16</f>
        <v>9577.5792999999994</v>
      </c>
      <c r="C5" s="444">
        <f ca="1">tertiair!C16</f>
        <v>0</v>
      </c>
      <c r="D5" s="444">
        <f ca="1">tertiair!D16</f>
        <v>12710.792242031375</v>
      </c>
      <c r="E5" s="444">
        <f>tertiair!E16</f>
        <v>115.12768911313177</v>
      </c>
      <c r="F5" s="444">
        <f ca="1">tertiair!F16</f>
        <v>1457.6227540279431</v>
      </c>
      <c r="G5" s="444">
        <f>tertiair!G16</f>
        <v>0</v>
      </c>
      <c r="H5" s="444">
        <f>tertiair!H16</f>
        <v>0</v>
      </c>
      <c r="I5" s="444">
        <f>tertiair!I16</f>
        <v>0</v>
      </c>
      <c r="J5" s="444">
        <f>tertiair!J16</f>
        <v>0</v>
      </c>
      <c r="K5" s="444">
        <f>tertiair!K16</f>
        <v>0</v>
      </c>
      <c r="L5" s="444">
        <f ca="1">tertiair!L16</f>
        <v>0</v>
      </c>
      <c r="M5" s="444">
        <f>tertiair!M16</f>
        <v>0</v>
      </c>
      <c r="N5" s="444">
        <f ca="1">tertiair!N16</f>
        <v>863.5314672456127</v>
      </c>
      <c r="O5" s="444">
        <f>tertiair!O16</f>
        <v>3.1266666666666669</v>
      </c>
      <c r="P5" s="445">
        <f>tertiair!P16</f>
        <v>19.066666666666666</v>
      </c>
      <c r="Q5" s="443">
        <f t="shared" ref="Q5:Q14" ca="1" si="0">SUM(B5:P5)</f>
        <v>24746.846785751393</v>
      </c>
    </row>
    <row r="6" spans="1:17">
      <c r="A6" s="443" t="s">
        <v>187</v>
      </c>
      <c r="B6" s="444">
        <f>'openbare verlichting'!B8</f>
        <v>824.91</v>
      </c>
      <c r="C6" s="444"/>
      <c r="D6" s="444"/>
      <c r="E6" s="444"/>
      <c r="F6" s="444"/>
      <c r="G6" s="444"/>
      <c r="H6" s="444"/>
      <c r="I6" s="444"/>
      <c r="J6" s="444"/>
      <c r="K6" s="444"/>
      <c r="L6" s="444"/>
      <c r="M6" s="444"/>
      <c r="N6" s="444"/>
      <c r="O6" s="444"/>
      <c r="P6" s="445"/>
      <c r="Q6" s="443">
        <f t="shared" si="0"/>
        <v>824.91</v>
      </c>
    </row>
    <row r="7" spans="1:17">
      <c r="A7" s="443" t="s">
        <v>105</v>
      </c>
      <c r="B7" s="444">
        <f>landbouw!B8</f>
        <v>1142.8685999999998</v>
      </c>
      <c r="C7" s="444">
        <f>landbouw!C8</f>
        <v>0</v>
      </c>
      <c r="D7" s="444">
        <f>landbouw!D8</f>
        <v>440.52399975349186</v>
      </c>
      <c r="E7" s="444">
        <f>landbouw!E8</f>
        <v>10.585727650570623</v>
      </c>
      <c r="F7" s="444">
        <f>landbouw!F8</f>
        <v>2899.6753544448748</v>
      </c>
      <c r="G7" s="444">
        <f>landbouw!G8</f>
        <v>0</v>
      </c>
      <c r="H7" s="444">
        <f>landbouw!H8</f>
        <v>0</v>
      </c>
      <c r="I7" s="444">
        <f>landbouw!I8</f>
        <v>0</v>
      </c>
      <c r="J7" s="444">
        <f>landbouw!J8</f>
        <v>175.21451083080103</v>
      </c>
      <c r="K7" s="444">
        <f>landbouw!K8</f>
        <v>0</v>
      </c>
      <c r="L7" s="444">
        <f>landbouw!L8</f>
        <v>0</v>
      </c>
      <c r="M7" s="444">
        <f>landbouw!M8</f>
        <v>0</v>
      </c>
      <c r="N7" s="444">
        <f>landbouw!N8</f>
        <v>0</v>
      </c>
      <c r="O7" s="444">
        <f>landbouw!O8</f>
        <v>0</v>
      </c>
      <c r="P7" s="445">
        <f>landbouw!P8</f>
        <v>0</v>
      </c>
      <c r="Q7" s="443">
        <f t="shared" si="0"/>
        <v>4668.8681926797381</v>
      </c>
    </row>
    <row r="8" spans="1:17">
      <c r="A8" s="443" t="s">
        <v>637</v>
      </c>
      <c r="B8" s="444">
        <f>industrie!B18</f>
        <v>1720.2503999999999</v>
      </c>
      <c r="C8" s="444">
        <f>industrie!C18</f>
        <v>0</v>
      </c>
      <c r="D8" s="444">
        <f>industrie!D18</f>
        <v>1012.9536342072994</v>
      </c>
      <c r="E8" s="444">
        <f>industrie!E18</f>
        <v>216.08266475880163</v>
      </c>
      <c r="F8" s="444">
        <f>industrie!F18</f>
        <v>1549.2318719901218</v>
      </c>
      <c r="G8" s="444">
        <f>industrie!G18</f>
        <v>0</v>
      </c>
      <c r="H8" s="444">
        <f>industrie!H18</f>
        <v>0</v>
      </c>
      <c r="I8" s="444">
        <f>industrie!I18</f>
        <v>0</v>
      </c>
      <c r="J8" s="444">
        <f>industrie!J18</f>
        <v>13.243012410813506</v>
      </c>
      <c r="K8" s="444">
        <f>industrie!K18</f>
        <v>0</v>
      </c>
      <c r="L8" s="444">
        <f>industrie!L18</f>
        <v>0</v>
      </c>
      <c r="M8" s="444">
        <f>industrie!M18</f>
        <v>0</v>
      </c>
      <c r="N8" s="444">
        <f>industrie!N18</f>
        <v>329.19526666240318</v>
      </c>
      <c r="O8" s="444">
        <f>industrie!O18</f>
        <v>0</v>
      </c>
      <c r="P8" s="445">
        <f>industrie!P18</f>
        <v>0</v>
      </c>
      <c r="Q8" s="443">
        <f t="shared" si="0"/>
        <v>4840.956850029439</v>
      </c>
    </row>
    <row r="9" spans="1:17" s="449" customFormat="1">
      <c r="A9" s="447" t="s">
        <v>558</v>
      </c>
      <c r="B9" s="448">
        <f>transport!B14</f>
        <v>51.736798147326994</v>
      </c>
      <c r="C9" s="448">
        <f>transport!C14</f>
        <v>0</v>
      </c>
      <c r="D9" s="448">
        <f>transport!D14</f>
        <v>68.897242479362319</v>
      </c>
      <c r="E9" s="448">
        <f>transport!E14</f>
        <v>789.27519439103617</v>
      </c>
      <c r="F9" s="448">
        <f>transport!F14</f>
        <v>0</v>
      </c>
      <c r="G9" s="448">
        <f>transport!G14</f>
        <v>338035.85532326897</v>
      </c>
      <c r="H9" s="448">
        <f>transport!H14</f>
        <v>41309.614391924501</v>
      </c>
      <c r="I9" s="448">
        <f>transport!I14</f>
        <v>0</v>
      </c>
      <c r="J9" s="448">
        <f>transport!J14</f>
        <v>0</v>
      </c>
      <c r="K9" s="448">
        <f>transport!K14</f>
        <v>0</v>
      </c>
      <c r="L9" s="448">
        <f>transport!L14</f>
        <v>0</v>
      </c>
      <c r="M9" s="448">
        <f>transport!M14</f>
        <v>20858.417143861694</v>
      </c>
      <c r="N9" s="448">
        <f>transport!N14</f>
        <v>0</v>
      </c>
      <c r="O9" s="448">
        <f>transport!O14</f>
        <v>0</v>
      </c>
      <c r="P9" s="448">
        <f>transport!P14</f>
        <v>0</v>
      </c>
      <c r="Q9" s="447">
        <f>SUM(B9:P9)</f>
        <v>401113.79609407292</v>
      </c>
    </row>
    <row r="10" spans="1:17">
      <c r="A10" s="443" t="s">
        <v>548</v>
      </c>
      <c r="B10" s="444">
        <f>transport!B54</f>
        <v>3.2202483315540529</v>
      </c>
      <c r="C10" s="444">
        <f>transport!C54</f>
        <v>0</v>
      </c>
      <c r="D10" s="444">
        <f>transport!D54</f>
        <v>0</v>
      </c>
      <c r="E10" s="444">
        <f>transport!E54</f>
        <v>0</v>
      </c>
      <c r="F10" s="444">
        <f>transport!F54</f>
        <v>0</v>
      </c>
      <c r="G10" s="444">
        <f>transport!G54</f>
        <v>610.19456781842803</v>
      </c>
      <c r="H10" s="444">
        <f>transport!H54</f>
        <v>0</v>
      </c>
      <c r="I10" s="444">
        <f>transport!I54</f>
        <v>0</v>
      </c>
      <c r="J10" s="444">
        <f>transport!J54</f>
        <v>0</v>
      </c>
      <c r="K10" s="444">
        <f>transport!K54</f>
        <v>0</v>
      </c>
      <c r="L10" s="444">
        <f>transport!L54</f>
        <v>0</v>
      </c>
      <c r="M10" s="444">
        <f>transport!M54</f>
        <v>35.127702858601992</v>
      </c>
      <c r="N10" s="444">
        <f>transport!N54</f>
        <v>0</v>
      </c>
      <c r="O10" s="444">
        <f>transport!O54</f>
        <v>0</v>
      </c>
      <c r="P10" s="445">
        <f>transport!P54</f>
        <v>0</v>
      </c>
      <c r="Q10" s="443">
        <f t="shared" si="0"/>
        <v>648.54251900858412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1053.4839999999999</v>
      </c>
      <c r="C14" s="451"/>
      <c r="D14" s="451">
        <f>'SEAP template'!E25</f>
        <v>1691.29489157334</v>
      </c>
      <c r="E14" s="451"/>
      <c r="F14" s="451"/>
      <c r="G14" s="451"/>
      <c r="H14" s="451"/>
      <c r="I14" s="451"/>
      <c r="J14" s="451"/>
      <c r="K14" s="451"/>
      <c r="L14" s="451"/>
      <c r="M14" s="451"/>
      <c r="N14" s="451"/>
      <c r="O14" s="451"/>
      <c r="P14" s="452"/>
      <c r="Q14" s="443">
        <f t="shared" si="0"/>
        <v>2744.7788915733399</v>
      </c>
    </row>
    <row r="15" spans="1:17" s="453" customFormat="1">
      <c r="A15" s="1009" t="s">
        <v>552</v>
      </c>
      <c r="B15" s="949">
        <f ca="1">SUM(B4:B14)</f>
        <v>37490.978783439765</v>
      </c>
      <c r="C15" s="949">
        <f t="shared" ref="C15:Q15" ca="1" si="1">SUM(C4:C14)</f>
        <v>0</v>
      </c>
      <c r="D15" s="949">
        <f t="shared" ca="1" si="1"/>
        <v>48738.848065444668</v>
      </c>
      <c r="E15" s="949">
        <f t="shared" si="1"/>
        <v>2194.9334530939573</v>
      </c>
      <c r="F15" s="949">
        <f t="shared" ca="1" si="1"/>
        <v>39468.06262766177</v>
      </c>
      <c r="G15" s="949">
        <f t="shared" si="1"/>
        <v>338646.0498910874</v>
      </c>
      <c r="H15" s="949">
        <f t="shared" si="1"/>
        <v>41309.614391924501</v>
      </c>
      <c r="I15" s="949">
        <f t="shared" si="1"/>
        <v>0</v>
      </c>
      <c r="J15" s="949">
        <f t="shared" si="1"/>
        <v>971.11119673998758</v>
      </c>
      <c r="K15" s="949">
        <f t="shared" si="1"/>
        <v>0</v>
      </c>
      <c r="L15" s="949">
        <f t="shared" ca="1" si="1"/>
        <v>0</v>
      </c>
      <c r="M15" s="949">
        <f t="shared" si="1"/>
        <v>20893.544846720295</v>
      </c>
      <c r="N15" s="949">
        <f t="shared" ca="1" si="1"/>
        <v>6303.6758580874493</v>
      </c>
      <c r="O15" s="949">
        <f t="shared" si="1"/>
        <v>136.01</v>
      </c>
      <c r="P15" s="949">
        <f t="shared" si="1"/>
        <v>762.66666666666674</v>
      </c>
      <c r="Q15" s="949">
        <f t="shared" ca="1" si="1"/>
        <v>536915.49578086648</v>
      </c>
    </row>
    <row r="17" spans="1:17">
      <c r="A17" s="454" t="s">
        <v>553</v>
      </c>
      <c r="B17" s="753">
        <f ca="1">huishoudens!B10</f>
        <v>0.20534597314836425</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4746.9683714348012</v>
      </c>
      <c r="C22" s="444">
        <f t="shared" ref="C22:C32" ca="1" si="3">C4*$C$17</f>
        <v>0</v>
      </c>
      <c r="D22" s="444">
        <f t="shared" ref="D22:D32" si="4">D4*$D$17</f>
        <v>6628.5059831907593</v>
      </c>
      <c r="E22" s="444">
        <f t="shared" ref="E22:E32" si="5">E4*$E$17</f>
        <v>241.4967142199547</v>
      </c>
      <c r="F22" s="444">
        <f t="shared" ref="F22:F32" si="6">F4*$F$17</f>
        <v>8960.9292168020875</v>
      </c>
      <c r="G22" s="444">
        <f t="shared" ref="G22:G32" si="7">G4*$G$17</f>
        <v>0</v>
      </c>
      <c r="H22" s="444">
        <f t="shared" ref="H22:H32" si="8">H4*$H$17</f>
        <v>0</v>
      </c>
      <c r="I22" s="444">
        <f t="shared" ref="I22:I32" si="9">I4*$I$17</f>
        <v>0</v>
      </c>
      <c r="J22" s="444">
        <f t="shared" ref="J22:J32" si="10">J4*$J$17</f>
        <v>277.05940041842405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20854.959686066024</v>
      </c>
    </row>
    <row r="23" spans="1:17">
      <c r="A23" s="443" t="s">
        <v>149</v>
      </c>
      <c r="B23" s="444">
        <f t="shared" ca="1" si="2"/>
        <v>1966.7173417641293</v>
      </c>
      <c r="C23" s="444">
        <f t="shared" ca="1" si="3"/>
        <v>0</v>
      </c>
      <c r="D23" s="444">
        <f t="shared" ca="1" si="4"/>
        <v>2567.5800328903379</v>
      </c>
      <c r="E23" s="444">
        <f t="shared" si="5"/>
        <v>26.133985428680912</v>
      </c>
      <c r="F23" s="444">
        <f t="shared" ca="1" si="6"/>
        <v>389.18527532546085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4949.6166354086081</v>
      </c>
    </row>
    <row r="24" spans="1:17">
      <c r="A24" s="443" t="s">
        <v>187</v>
      </c>
      <c r="B24" s="444">
        <f t="shared" ca="1" si="2"/>
        <v>169.39194670981715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169.39194670981715</v>
      </c>
    </row>
    <row r="25" spans="1:17">
      <c r="A25" s="443" t="s">
        <v>105</v>
      </c>
      <c r="B25" s="444">
        <f t="shared" ca="1" si="2"/>
        <v>234.68346484770859</v>
      </c>
      <c r="C25" s="444">
        <f t="shared" ca="1" si="3"/>
        <v>0</v>
      </c>
      <c r="D25" s="444">
        <f t="shared" si="4"/>
        <v>88.985847950205368</v>
      </c>
      <c r="E25" s="444">
        <f t="shared" si="5"/>
        <v>2.4029601766795317</v>
      </c>
      <c r="F25" s="444">
        <f t="shared" si="6"/>
        <v>774.21331963678165</v>
      </c>
      <c r="G25" s="444">
        <f t="shared" si="7"/>
        <v>0</v>
      </c>
      <c r="H25" s="444">
        <f t="shared" si="8"/>
        <v>0</v>
      </c>
      <c r="I25" s="444">
        <f t="shared" si="9"/>
        <v>0</v>
      </c>
      <c r="J25" s="444">
        <f t="shared" si="10"/>
        <v>62.025936834103561</v>
      </c>
      <c r="K25" s="444">
        <f t="shared" si="11"/>
        <v>0</v>
      </c>
      <c r="L25" s="444">
        <f t="shared" si="12"/>
        <v>0</v>
      </c>
      <c r="M25" s="444">
        <f t="shared" si="13"/>
        <v>0</v>
      </c>
      <c r="N25" s="444">
        <f t="shared" si="14"/>
        <v>0</v>
      </c>
      <c r="O25" s="444">
        <f t="shared" si="15"/>
        <v>0</v>
      </c>
      <c r="P25" s="445">
        <f t="shared" si="16"/>
        <v>0</v>
      </c>
      <c r="Q25" s="443">
        <f t="shared" ca="1" si="17"/>
        <v>1162.3115294454788</v>
      </c>
    </row>
    <row r="26" spans="1:17">
      <c r="A26" s="443" t="s">
        <v>637</v>
      </c>
      <c r="B26" s="444">
        <f t="shared" ca="1" si="2"/>
        <v>353.24649244686282</v>
      </c>
      <c r="C26" s="444">
        <f t="shared" ca="1" si="3"/>
        <v>0</v>
      </c>
      <c r="D26" s="444">
        <f t="shared" si="4"/>
        <v>204.6166341098745</v>
      </c>
      <c r="E26" s="444">
        <f t="shared" si="5"/>
        <v>49.05076490024797</v>
      </c>
      <c r="F26" s="444">
        <f t="shared" si="6"/>
        <v>413.64490982136255</v>
      </c>
      <c r="G26" s="444">
        <f t="shared" si="7"/>
        <v>0</v>
      </c>
      <c r="H26" s="444">
        <f t="shared" si="8"/>
        <v>0</v>
      </c>
      <c r="I26" s="444">
        <f t="shared" si="9"/>
        <v>0</v>
      </c>
      <c r="J26" s="444">
        <f t="shared" si="10"/>
        <v>4.6880263934279807</v>
      </c>
      <c r="K26" s="444">
        <f t="shared" si="11"/>
        <v>0</v>
      </c>
      <c r="L26" s="444">
        <f t="shared" si="12"/>
        <v>0</v>
      </c>
      <c r="M26" s="444">
        <f t="shared" si="13"/>
        <v>0</v>
      </c>
      <c r="N26" s="444">
        <f t="shared" si="14"/>
        <v>0</v>
      </c>
      <c r="O26" s="444">
        <f t="shared" si="15"/>
        <v>0</v>
      </c>
      <c r="P26" s="445">
        <f t="shared" si="16"/>
        <v>0</v>
      </c>
      <c r="Q26" s="443">
        <f t="shared" ca="1" si="17"/>
        <v>1025.2468276717757</v>
      </c>
    </row>
    <row r="27" spans="1:17" s="449" customFormat="1">
      <c r="A27" s="447" t="s">
        <v>558</v>
      </c>
      <c r="B27" s="747">
        <f t="shared" ca="1" si="2"/>
        <v>10.62394316314335</v>
      </c>
      <c r="C27" s="448">
        <f t="shared" ca="1" si="3"/>
        <v>0</v>
      </c>
      <c r="D27" s="448">
        <f t="shared" si="4"/>
        <v>13.917242980831189</v>
      </c>
      <c r="E27" s="448">
        <f t="shared" si="5"/>
        <v>179.1654691267652</v>
      </c>
      <c r="F27" s="448">
        <f t="shared" si="6"/>
        <v>0</v>
      </c>
      <c r="G27" s="448">
        <f t="shared" si="7"/>
        <v>90255.573371312814</v>
      </c>
      <c r="H27" s="448">
        <f t="shared" si="8"/>
        <v>10286.0939835892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100745.37401017276</v>
      </c>
    </row>
    <row r="28" spans="1:17">
      <c r="A28" s="443" t="s">
        <v>548</v>
      </c>
      <c r="B28" s="444">
        <f t="shared" ca="1" si="2"/>
        <v>0.66126502742236337</v>
      </c>
      <c r="C28" s="444">
        <f t="shared" ca="1" si="3"/>
        <v>0</v>
      </c>
      <c r="D28" s="444">
        <f t="shared" si="4"/>
        <v>0</v>
      </c>
      <c r="E28" s="444">
        <f t="shared" si="5"/>
        <v>0</v>
      </c>
      <c r="F28" s="444">
        <f t="shared" si="6"/>
        <v>0</v>
      </c>
      <c r="G28" s="444">
        <f t="shared" si="7"/>
        <v>162.9219496075203</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163.58321463494266</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216.32869717623134</v>
      </c>
      <c r="C32" s="444">
        <f t="shared" ca="1" si="3"/>
        <v>0</v>
      </c>
      <c r="D32" s="444">
        <f t="shared" si="4"/>
        <v>341.64156809781468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557.97026527404603</v>
      </c>
    </row>
    <row r="33" spans="1:17" s="453" customFormat="1">
      <c r="A33" s="1009" t="s">
        <v>552</v>
      </c>
      <c r="B33" s="949">
        <f ca="1">SUM(B22:B32)</f>
        <v>7698.6215225701162</v>
      </c>
      <c r="C33" s="949">
        <f t="shared" ref="C33:Q33" ca="1" si="18">SUM(C22:C32)</f>
        <v>0</v>
      </c>
      <c r="D33" s="949">
        <f t="shared" ca="1" si="18"/>
        <v>9845.2473092198234</v>
      </c>
      <c r="E33" s="949">
        <f t="shared" si="18"/>
        <v>498.24989385232823</v>
      </c>
      <c r="F33" s="949">
        <f t="shared" ca="1" si="18"/>
        <v>10537.972721585693</v>
      </c>
      <c r="G33" s="949">
        <f t="shared" si="18"/>
        <v>90418.495320920338</v>
      </c>
      <c r="H33" s="949">
        <f t="shared" si="18"/>
        <v>10286.0939835892</v>
      </c>
      <c r="I33" s="949">
        <f t="shared" si="18"/>
        <v>0</v>
      </c>
      <c r="J33" s="949">
        <f t="shared" si="18"/>
        <v>343.77336364595561</v>
      </c>
      <c r="K33" s="949">
        <f t="shared" si="18"/>
        <v>0</v>
      </c>
      <c r="L33" s="949">
        <f t="shared" ca="1" si="18"/>
        <v>0</v>
      </c>
      <c r="M33" s="949">
        <f t="shared" si="18"/>
        <v>0</v>
      </c>
      <c r="N33" s="949">
        <f t="shared" ca="1" si="18"/>
        <v>0</v>
      </c>
      <c r="O33" s="949">
        <f t="shared" si="18"/>
        <v>0</v>
      </c>
      <c r="P33" s="949">
        <f t="shared" si="18"/>
        <v>0</v>
      </c>
      <c r="Q33" s="949">
        <f t="shared" ca="1" si="18"/>
        <v>129628.45411538346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2655.5872785976117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2655.5872785976117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0.20534597314836425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0.20534597314836425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0.20534597314836425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0.20534597314836425</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4312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1374</v>
      </c>
      <c r="C14" s="324"/>
      <c r="D14" s="324"/>
      <c r="E14" s="324"/>
      <c r="F14" s="324"/>
    </row>
    <row r="15" spans="1:6">
      <c r="A15" s="1302" t="s">
        <v>177</v>
      </c>
      <c r="B15" s="1303">
        <v>9</v>
      </c>
      <c r="C15" s="324"/>
      <c r="D15" s="324"/>
      <c r="E15" s="324"/>
      <c r="F15" s="324"/>
    </row>
    <row r="16" spans="1:6">
      <c r="A16" s="1302" t="s">
        <v>6</v>
      </c>
      <c r="B16" s="1303">
        <v>372</v>
      </c>
      <c r="C16" s="324"/>
      <c r="D16" s="324"/>
      <c r="E16" s="324"/>
      <c r="F16" s="324"/>
    </row>
    <row r="17" spans="1:6">
      <c r="A17" s="1302" t="s">
        <v>7</v>
      </c>
      <c r="B17" s="1303">
        <v>474</v>
      </c>
      <c r="C17" s="324"/>
      <c r="D17" s="324"/>
      <c r="E17" s="324"/>
      <c r="F17" s="324"/>
    </row>
    <row r="18" spans="1:6">
      <c r="A18" s="1302" t="s">
        <v>8</v>
      </c>
      <c r="B18" s="1303">
        <v>508</v>
      </c>
      <c r="C18" s="324"/>
      <c r="D18" s="324"/>
      <c r="E18" s="324"/>
      <c r="F18" s="324"/>
    </row>
    <row r="19" spans="1:6">
      <c r="A19" s="1302" t="s">
        <v>9</v>
      </c>
      <c r="B19" s="1303">
        <v>426</v>
      </c>
      <c r="C19" s="324"/>
      <c r="D19" s="324"/>
      <c r="E19" s="324"/>
      <c r="F19" s="324"/>
    </row>
    <row r="20" spans="1:6">
      <c r="A20" s="1302" t="s">
        <v>10</v>
      </c>
      <c r="B20" s="1303">
        <v>358</v>
      </c>
      <c r="C20" s="324"/>
      <c r="D20" s="324"/>
      <c r="E20" s="324"/>
      <c r="F20" s="324"/>
    </row>
    <row r="21" spans="1:6">
      <c r="A21" s="1302" t="s">
        <v>11</v>
      </c>
      <c r="B21" s="1303">
        <v>4975</v>
      </c>
      <c r="C21" s="324"/>
      <c r="D21" s="324"/>
      <c r="E21" s="324"/>
      <c r="F21" s="324"/>
    </row>
    <row r="22" spans="1:6">
      <c r="A22" s="1302" t="s">
        <v>12</v>
      </c>
      <c r="B22" s="1303">
        <v>9953</v>
      </c>
      <c r="C22" s="324"/>
      <c r="D22" s="324"/>
      <c r="E22" s="324"/>
      <c r="F22" s="324"/>
    </row>
    <row r="23" spans="1:6">
      <c r="A23" s="1302" t="s">
        <v>13</v>
      </c>
      <c r="B23" s="1303">
        <v>215</v>
      </c>
      <c r="C23" s="324"/>
      <c r="D23" s="324"/>
      <c r="E23" s="324"/>
      <c r="F23" s="324"/>
    </row>
    <row r="24" spans="1:6">
      <c r="A24" s="1302" t="s">
        <v>14</v>
      </c>
      <c r="B24" s="1303">
        <v>8</v>
      </c>
      <c r="C24" s="324"/>
      <c r="D24" s="324"/>
      <c r="E24" s="324"/>
      <c r="F24" s="324"/>
    </row>
    <row r="25" spans="1:6">
      <c r="A25" s="1302" t="s">
        <v>15</v>
      </c>
      <c r="B25" s="1303">
        <v>1034</v>
      </c>
      <c r="C25" s="324"/>
      <c r="D25" s="324"/>
      <c r="E25" s="324"/>
      <c r="F25" s="324"/>
    </row>
    <row r="26" spans="1:6">
      <c r="A26" s="1302" t="s">
        <v>16</v>
      </c>
      <c r="B26" s="1303">
        <v>31</v>
      </c>
      <c r="C26" s="324"/>
      <c r="D26" s="324"/>
      <c r="E26" s="324"/>
      <c r="F26" s="324"/>
    </row>
    <row r="27" spans="1:6">
      <c r="A27" s="1302" t="s">
        <v>17</v>
      </c>
      <c r="B27" s="1303">
        <v>0</v>
      </c>
      <c r="C27" s="324"/>
      <c r="D27" s="324"/>
      <c r="E27" s="324"/>
      <c r="F27" s="324"/>
    </row>
    <row r="28" spans="1:6">
      <c r="A28" s="1302" t="s">
        <v>18</v>
      </c>
      <c r="B28" s="1304">
        <v>7800</v>
      </c>
      <c r="C28" s="324"/>
      <c r="D28" s="324"/>
      <c r="E28" s="324"/>
      <c r="F28" s="324"/>
    </row>
    <row r="29" spans="1:6">
      <c r="A29" s="1302" t="s">
        <v>918</v>
      </c>
      <c r="B29" s="1304">
        <v>199</v>
      </c>
      <c r="C29" s="324"/>
      <c r="D29" s="324"/>
      <c r="E29" s="324"/>
      <c r="F29" s="324"/>
    </row>
    <row r="30" spans="1:6">
      <c r="A30" s="1297" t="s">
        <v>919</v>
      </c>
      <c r="B30" s="1305">
        <v>65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2273</v>
      </c>
      <c r="D39" s="1303">
        <v>36379585.427272499</v>
      </c>
      <c r="E39" s="1303">
        <v>4084</v>
      </c>
      <c r="F39" s="1303">
        <v>21020785</v>
      </c>
    </row>
    <row r="40" spans="1:6">
      <c r="A40" s="1302" t="s">
        <v>29</v>
      </c>
      <c r="B40" s="1302" t="s">
        <v>28</v>
      </c>
      <c r="C40" s="1303">
        <v>0</v>
      </c>
      <c r="D40" s="1303">
        <v>0</v>
      </c>
      <c r="E40" s="1303">
        <v>0</v>
      </c>
      <c r="F40" s="1303">
        <v>0</v>
      </c>
    </row>
    <row r="41" spans="1:6">
      <c r="A41" s="1302" t="s">
        <v>31</v>
      </c>
      <c r="B41" s="1302" t="s">
        <v>32</v>
      </c>
      <c r="C41" s="1303">
        <v>36</v>
      </c>
      <c r="D41" s="1303">
        <v>723619.01518559002</v>
      </c>
      <c r="E41" s="1303">
        <v>86</v>
      </c>
      <c r="F41" s="1303">
        <v>691502.5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32840</v>
      </c>
    </row>
    <row r="45" spans="1:6">
      <c r="A45" s="1302" t="s">
        <v>31</v>
      </c>
      <c r="B45" s="1302" t="s">
        <v>36</v>
      </c>
      <c r="C45" s="1303">
        <v>0</v>
      </c>
      <c r="D45" s="1303">
        <v>0</v>
      </c>
      <c r="E45" s="1303">
        <v>3</v>
      </c>
      <c r="F45" s="1303">
        <v>128321.9</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17</v>
      </c>
      <c r="D48" s="1303">
        <v>292546.74261064699</v>
      </c>
      <c r="E48" s="1303">
        <v>29</v>
      </c>
      <c r="F48" s="1303">
        <v>390690.8</v>
      </c>
    </row>
    <row r="49" spans="1:6">
      <c r="A49" s="1302" t="s">
        <v>31</v>
      </c>
      <c r="B49" s="1302" t="s">
        <v>39</v>
      </c>
      <c r="C49" s="1303">
        <v>0</v>
      </c>
      <c r="D49" s="1303">
        <v>0</v>
      </c>
      <c r="E49" s="1303">
        <v>0</v>
      </c>
      <c r="F49" s="1303">
        <v>0</v>
      </c>
    </row>
    <row r="50" spans="1:6">
      <c r="A50" s="1302" t="s">
        <v>31</v>
      </c>
      <c r="B50" s="1302" t="s">
        <v>40</v>
      </c>
      <c r="C50" s="1303">
        <v>3</v>
      </c>
      <c r="D50" s="1303">
        <v>106842.705848219</v>
      </c>
      <c r="E50" s="1303">
        <v>7</v>
      </c>
      <c r="F50" s="1303">
        <v>476895.2</v>
      </c>
    </row>
    <row r="51" spans="1:6">
      <c r="A51" s="1302" t="s">
        <v>41</v>
      </c>
      <c r="B51" s="1302" t="s">
        <v>42</v>
      </c>
      <c r="C51" s="1303">
        <v>0</v>
      </c>
      <c r="D51" s="1303">
        <v>0</v>
      </c>
      <c r="E51" s="1303">
        <v>40</v>
      </c>
      <c r="F51" s="1303">
        <v>882326.2</v>
      </c>
    </row>
    <row r="52" spans="1:6">
      <c r="A52" s="1302" t="s">
        <v>41</v>
      </c>
      <c r="B52" s="1302" t="s">
        <v>28</v>
      </c>
      <c r="C52" s="1303">
        <v>3</v>
      </c>
      <c r="D52" s="1303">
        <v>488385.80903934798</v>
      </c>
      <c r="E52" s="1303">
        <v>3</v>
      </c>
      <c r="F52" s="1303">
        <v>260542.4</v>
      </c>
    </row>
    <row r="53" spans="1:6">
      <c r="A53" s="1302" t="s">
        <v>43</v>
      </c>
      <c r="B53" s="1302" t="s">
        <v>44</v>
      </c>
      <c r="C53" s="1303">
        <v>68</v>
      </c>
      <c r="D53" s="1303">
        <v>1691294.8915733399</v>
      </c>
      <c r="E53" s="1303">
        <v>166</v>
      </c>
      <c r="F53" s="1303">
        <v>1053484</v>
      </c>
    </row>
    <row r="54" spans="1:6">
      <c r="A54" s="1302" t="s">
        <v>45</v>
      </c>
      <c r="B54" s="1302" t="s">
        <v>46</v>
      </c>
      <c r="C54" s="1303">
        <v>0</v>
      </c>
      <c r="D54" s="1303">
        <v>0</v>
      </c>
      <c r="E54" s="1303">
        <v>1</v>
      </c>
      <c r="F54" s="1303">
        <v>824910</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16</v>
      </c>
      <c r="D57" s="1303">
        <v>301828.77018677897</v>
      </c>
      <c r="E57" s="1303">
        <v>82</v>
      </c>
      <c r="F57" s="1303">
        <v>1045029</v>
      </c>
    </row>
    <row r="58" spans="1:6">
      <c r="A58" s="1302" t="s">
        <v>48</v>
      </c>
      <c r="B58" s="1302" t="s">
        <v>50</v>
      </c>
      <c r="C58" s="1303">
        <v>20</v>
      </c>
      <c r="D58" s="1303">
        <v>1966907.4451598299</v>
      </c>
      <c r="E58" s="1303">
        <v>37</v>
      </c>
      <c r="F58" s="1303">
        <v>588128.5</v>
      </c>
    </row>
    <row r="59" spans="1:6">
      <c r="A59" s="1302" t="s">
        <v>48</v>
      </c>
      <c r="B59" s="1302" t="s">
        <v>51</v>
      </c>
      <c r="C59" s="1303">
        <v>41</v>
      </c>
      <c r="D59" s="1303">
        <v>1189312.79789769</v>
      </c>
      <c r="E59" s="1303">
        <v>111</v>
      </c>
      <c r="F59" s="1303">
        <v>2138898</v>
      </c>
    </row>
    <row r="60" spans="1:6">
      <c r="A60" s="1302" t="s">
        <v>48</v>
      </c>
      <c r="B60" s="1302" t="s">
        <v>52</v>
      </c>
      <c r="C60" s="1303">
        <v>34</v>
      </c>
      <c r="D60" s="1303">
        <v>1654001.4781695199</v>
      </c>
      <c r="E60" s="1303">
        <v>54</v>
      </c>
      <c r="F60" s="1303">
        <v>1695266</v>
      </c>
    </row>
    <row r="61" spans="1:6">
      <c r="A61" s="1302" t="s">
        <v>48</v>
      </c>
      <c r="B61" s="1302" t="s">
        <v>53</v>
      </c>
      <c r="C61" s="1303">
        <v>102</v>
      </c>
      <c r="D61" s="1303">
        <v>4444819.0623904699</v>
      </c>
      <c r="E61" s="1303">
        <v>212</v>
      </c>
      <c r="F61" s="1303">
        <v>3136222</v>
      </c>
    </row>
    <row r="62" spans="1:6">
      <c r="A62" s="1302" t="s">
        <v>48</v>
      </c>
      <c r="B62" s="1302" t="s">
        <v>54</v>
      </c>
      <c r="C62" s="1303">
        <v>4</v>
      </c>
      <c r="D62" s="1303">
        <v>134129.659977367</v>
      </c>
      <c r="E62" s="1303">
        <v>10</v>
      </c>
      <c r="F62" s="1303">
        <v>113827.1</v>
      </c>
    </row>
    <row r="63" spans="1:6">
      <c r="A63" s="1302" t="s">
        <v>48</v>
      </c>
      <c r="B63" s="1302" t="s">
        <v>28</v>
      </c>
      <c r="C63" s="1303">
        <v>87</v>
      </c>
      <c r="D63" s="1303">
        <v>4400788.1942353901</v>
      </c>
      <c r="E63" s="1303">
        <v>90</v>
      </c>
      <c r="F63" s="1303">
        <v>860208.7</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16240.96</v>
      </c>
    </row>
    <row r="66" spans="1:6">
      <c r="A66" s="1302" t="s">
        <v>55</v>
      </c>
      <c r="B66" s="1302" t="s">
        <v>57</v>
      </c>
      <c r="C66" s="1303">
        <v>0</v>
      </c>
      <c r="D66" s="1303">
        <v>0</v>
      </c>
      <c r="E66" s="1303">
        <v>9</v>
      </c>
      <c r="F66" s="1303">
        <v>414504.1</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33690.33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40634613</v>
      </c>
      <c r="E73" s="442"/>
      <c r="F73" s="324"/>
    </row>
    <row r="74" spans="1:6">
      <c r="A74" s="1302" t="s">
        <v>63</v>
      </c>
      <c r="B74" s="1302" t="s">
        <v>695</v>
      </c>
      <c r="C74" s="1315" t="s">
        <v>697</v>
      </c>
      <c r="D74" s="1303">
        <v>3279265.2642950458</v>
      </c>
      <c r="E74" s="442"/>
      <c r="F74" s="324"/>
    </row>
    <row r="75" spans="1:6">
      <c r="A75" s="1302" t="s">
        <v>64</v>
      </c>
      <c r="B75" s="1302" t="s">
        <v>694</v>
      </c>
      <c r="C75" s="1315" t="s">
        <v>698</v>
      </c>
      <c r="D75" s="1303">
        <v>24625488</v>
      </c>
      <c r="E75" s="442"/>
      <c r="F75" s="324"/>
    </row>
    <row r="76" spans="1:6">
      <c r="A76" s="1302" t="s">
        <v>64</v>
      </c>
      <c r="B76" s="1302" t="s">
        <v>695</v>
      </c>
      <c r="C76" s="1315" t="s">
        <v>699</v>
      </c>
      <c r="D76" s="1303">
        <v>612858.26429504552</v>
      </c>
      <c r="E76" s="442"/>
      <c r="F76" s="324"/>
    </row>
    <row r="77" spans="1:6">
      <c r="A77" s="1302" t="s">
        <v>65</v>
      </c>
      <c r="B77" s="1302" t="s">
        <v>694</v>
      </c>
      <c r="C77" s="1315" t="s">
        <v>700</v>
      </c>
      <c r="D77" s="1303">
        <v>264137511</v>
      </c>
      <c r="E77" s="442"/>
      <c r="F77" s="324"/>
    </row>
    <row r="78" spans="1:6">
      <c r="A78" s="1297" t="s">
        <v>65</v>
      </c>
      <c r="B78" s="1297" t="s">
        <v>695</v>
      </c>
      <c r="C78" s="1297" t="s">
        <v>701</v>
      </c>
      <c r="D78" s="1305">
        <v>64527832</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174187.47140990885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2096.1444369608848</v>
      </c>
      <c r="C91" s="324"/>
      <c r="D91" s="324"/>
      <c r="E91" s="324"/>
      <c r="F91" s="324"/>
    </row>
    <row r="92" spans="1:6">
      <c r="A92" s="1297" t="s">
        <v>68</v>
      </c>
      <c r="B92" s="1298">
        <v>559.44284163672705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1195</v>
      </c>
      <c r="C97" s="324"/>
      <c r="D97" s="324"/>
      <c r="E97" s="324"/>
      <c r="F97" s="324"/>
    </row>
    <row r="98" spans="1:6">
      <c r="A98" s="1302" t="s">
        <v>71</v>
      </c>
      <c r="B98" s="1303">
        <v>0</v>
      </c>
      <c r="C98" s="324"/>
      <c r="D98" s="324"/>
      <c r="E98" s="324"/>
      <c r="F98" s="324"/>
    </row>
    <row r="99" spans="1:6">
      <c r="A99" s="1302" t="s">
        <v>72</v>
      </c>
      <c r="B99" s="1303">
        <v>80</v>
      </c>
      <c r="C99" s="324"/>
      <c r="D99" s="324"/>
      <c r="E99" s="324"/>
      <c r="F99" s="324"/>
    </row>
    <row r="100" spans="1:6">
      <c r="A100" s="1302" t="s">
        <v>73</v>
      </c>
      <c r="B100" s="1303">
        <v>447</v>
      </c>
      <c r="C100" s="324"/>
      <c r="D100" s="324"/>
      <c r="E100" s="324"/>
      <c r="F100" s="324"/>
    </row>
    <row r="101" spans="1:6">
      <c r="A101" s="1302" t="s">
        <v>74</v>
      </c>
      <c r="B101" s="1303">
        <v>87</v>
      </c>
      <c r="C101" s="324"/>
      <c r="D101" s="324"/>
      <c r="E101" s="324"/>
      <c r="F101" s="324"/>
    </row>
    <row r="102" spans="1:6">
      <c r="A102" s="1302" t="s">
        <v>75</v>
      </c>
      <c r="B102" s="1303">
        <v>66</v>
      </c>
      <c r="C102" s="324"/>
      <c r="D102" s="324"/>
      <c r="E102" s="324"/>
      <c r="F102" s="324"/>
    </row>
    <row r="103" spans="1:6">
      <c r="A103" s="1302" t="s">
        <v>76</v>
      </c>
      <c r="B103" s="1303">
        <v>169</v>
      </c>
      <c r="C103" s="324"/>
      <c r="D103" s="324"/>
      <c r="E103" s="324"/>
      <c r="F103" s="324"/>
    </row>
    <row r="104" spans="1:6">
      <c r="A104" s="1302" t="s">
        <v>77</v>
      </c>
      <c r="B104" s="1303">
        <v>1789</v>
      </c>
      <c r="C104" s="324"/>
      <c r="D104" s="324"/>
      <c r="E104" s="324"/>
      <c r="F104" s="324"/>
    </row>
    <row r="105" spans="1:6">
      <c r="A105" s="1297" t="s">
        <v>78</v>
      </c>
      <c r="B105" s="1305">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25</v>
      </c>
      <c r="C123" s="1303">
        <v>15</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70</v>
      </c>
      <c r="C129" s="324"/>
      <c r="D129" s="324"/>
      <c r="E129" s="324"/>
      <c r="F129" s="324"/>
    </row>
    <row r="130" spans="1:6">
      <c r="A130" s="1302" t="s">
        <v>284</v>
      </c>
      <c r="B130" s="1303">
        <v>2</v>
      </c>
      <c r="C130" s="324"/>
      <c r="D130" s="324"/>
      <c r="E130" s="324"/>
      <c r="F130" s="324"/>
    </row>
    <row r="131" spans="1:6">
      <c r="A131" s="1302" t="s">
        <v>285</v>
      </c>
      <c r="B131" s="1303">
        <v>1</v>
      </c>
      <c r="C131" s="324"/>
      <c r="D131" s="324"/>
      <c r="E131" s="324"/>
      <c r="F131" s="324"/>
    </row>
    <row r="132" spans="1:6">
      <c r="A132" s="1297" t="s">
        <v>286</v>
      </c>
      <c r="B132" s="1298">
        <v>13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37490.978783439758</v>
      </c>
      <c r="C3" s="43" t="s">
        <v>163</v>
      </c>
      <c r="D3" s="43"/>
      <c r="E3" s="154"/>
      <c r="F3" s="43"/>
      <c r="G3" s="43"/>
      <c r="H3" s="43"/>
      <c r="I3" s="43"/>
      <c r="J3" s="43"/>
      <c r="K3" s="96"/>
    </row>
    <row r="4" spans="1:11">
      <c r="A4" s="351" t="s">
        <v>164</v>
      </c>
      <c r="B4" s="49">
        <f>IF(ISERROR('SEAP template'!B78+'SEAP template'!C78),0,'SEAP template'!B78+'SEAP template'!C78)</f>
        <v>2655.5872785976117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0.20534597314836425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824.91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824.91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0.20534597314836425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169.39194670981715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21020.785</v>
      </c>
      <c r="C5" s="17">
        <f>IF(ISERROR('Eigen informatie GS &amp; warmtenet'!B57),0,'Eigen informatie GS &amp; warmtenet'!B57)</f>
        <v>0</v>
      </c>
      <c r="D5" s="30">
        <f>(SUM(HH_hh_gas_kWh,HH_rest_gas_kWh)/1000)*0.902</f>
        <v>32814.386055399795</v>
      </c>
      <c r="E5" s="17">
        <f>B32*B41</f>
        <v>1063.8621771804171</v>
      </c>
      <c r="F5" s="17">
        <f>B36*B45</f>
        <v>33561.53264719883</v>
      </c>
      <c r="G5" s="18"/>
      <c r="H5" s="17"/>
      <c r="I5" s="17"/>
      <c r="J5" s="17">
        <f>B35*B44+C35*C44</f>
        <v>782.653673498373</v>
      </c>
      <c r="K5" s="17"/>
      <c r="L5" s="17"/>
      <c r="M5" s="17"/>
      <c r="N5" s="17">
        <f>B34*B43+C34*C43</f>
        <v>5110.949124179434</v>
      </c>
      <c r="O5" s="17">
        <f>B52*B53*B54</f>
        <v>132.88333333333333</v>
      </c>
      <c r="P5" s="17">
        <f>B60*B61*B62/1000-B60*B61*B62/1000/B63</f>
        <v>743.6</v>
      </c>
    </row>
    <row r="6" spans="1:16">
      <c r="A6" s="16" t="s">
        <v>618</v>
      </c>
      <c r="B6" s="755">
        <f>kWh_PV_kleiner_dan_10kW</f>
        <v>2096.1444369608848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23116.929436960883</v>
      </c>
      <c r="C8" s="21">
        <f>C5</f>
        <v>0</v>
      </c>
      <c r="D8" s="21">
        <f>D5</f>
        <v>32814.386055399795</v>
      </c>
      <c r="E8" s="21">
        <f>E5</f>
        <v>1063.8621771804171</v>
      </c>
      <c r="F8" s="21">
        <f>F5</f>
        <v>33561.53264719883</v>
      </c>
      <c r="G8" s="21"/>
      <c r="H8" s="21"/>
      <c r="I8" s="21"/>
      <c r="J8" s="21">
        <f>J5</f>
        <v>782.653673498373</v>
      </c>
      <c r="K8" s="21"/>
      <c r="L8" s="21">
        <f>L5</f>
        <v>0</v>
      </c>
      <c r="M8" s="21">
        <f>M5</f>
        <v>0</v>
      </c>
      <c r="N8" s="21">
        <f>N5</f>
        <v>5110.949124179434</v>
      </c>
      <c r="O8" s="21">
        <f>O5</f>
        <v>132.88333333333333</v>
      </c>
      <c r="P8" s="21">
        <f>P5</f>
        <v>743.6</v>
      </c>
    </row>
    <row r="9" spans="1:16">
      <c r="B9" s="19"/>
      <c r="C9" s="19"/>
      <c r="D9" s="254"/>
      <c r="E9" s="19"/>
      <c r="F9" s="19"/>
      <c r="G9" s="19"/>
      <c r="H9" s="19"/>
      <c r="I9" s="19"/>
      <c r="J9" s="19"/>
      <c r="K9" s="19"/>
      <c r="L9" s="19"/>
      <c r="M9" s="19"/>
      <c r="N9" s="19"/>
      <c r="O9" s="19"/>
      <c r="P9" s="19"/>
    </row>
    <row r="10" spans="1:16">
      <c r="A10" s="24" t="s">
        <v>207</v>
      </c>
      <c r="B10" s="25">
        <f ca="1">'EF ele_warmte'!B12</f>
        <v>0.20534597314836425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4746.9683714348012</v>
      </c>
      <c r="C12" s="23">
        <f ca="1">C10*C8</f>
        <v>0</v>
      </c>
      <c r="D12" s="23">
        <f>D8*D10</f>
        <v>6628.5059831907593</v>
      </c>
      <c r="E12" s="23">
        <f>E10*E8</f>
        <v>241.4967142199547</v>
      </c>
      <c r="F12" s="23">
        <f>F10*F8</f>
        <v>8960.9292168020875</v>
      </c>
      <c r="G12" s="23"/>
      <c r="H12" s="23"/>
      <c r="I12" s="23"/>
      <c r="J12" s="23">
        <f>J10*J8</f>
        <v>277.05940041842405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4312</v>
      </c>
      <c r="C26" s="36"/>
      <c r="D26" s="225"/>
    </row>
    <row r="27" spans="1:5" s="15" customFormat="1">
      <c r="A27" s="227" t="s">
        <v>721</v>
      </c>
      <c r="B27" s="37">
        <f>SUM(HH_hh_gas_aantal,HH_rest_gas_aantal)</f>
        <v>2273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2159.35</v>
      </c>
      <c r="C31" s="34" t="s">
        <v>104</v>
      </c>
      <c r="D31" s="171"/>
    </row>
    <row r="32" spans="1:5">
      <c r="A32" s="168" t="s">
        <v>72</v>
      </c>
      <c r="B32" s="33">
        <f>IF((B21*($B$26-($B$27-0.05*$B$27)-$B$60))&lt;0,0,B21*($B$26-($B$27-0.05*$B$27)-$B$60))</f>
        <v>13.32702920330698</v>
      </c>
      <c r="C32" s="34" t="s">
        <v>104</v>
      </c>
      <c r="D32" s="171"/>
    </row>
    <row r="33" spans="1:6">
      <c r="A33" s="168" t="s">
        <v>73</v>
      </c>
      <c r="B33" s="33">
        <f>IF((B22*($B$26-($B$27-0.05*$B$27)-$B$60))&lt;0,0,B22*($B$26-($B$27-0.05*$B$27)-$B$60))</f>
        <v>464.0955701513879</v>
      </c>
      <c r="C33" s="34" t="s">
        <v>104</v>
      </c>
      <c r="D33" s="171"/>
    </row>
    <row r="34" spans="1:6">
      <c r="A34" s="168" t="s">
        <v>74</v>
      </c>
      <c r="B34" s="33">
        <f>IF((B24*($B$26-($B$27-0.05*$B$27)-$B$60))&lt;0,0,B24*($B$26-($B$27-0.05*$B$27)-$B$60))</f>
        <v>92.120917550738739</v>
      </c>
      <c r="C34" s="33">
        <f>B26*C24</f>
        <v>882.23383061443951</v>
      </c>
      <c r="D34" s="230"/>
    </row>
    <row r="35" spans="1:6">
      <c r="A35" s="168" t="s">
        <v>76</v>
      </c>
      <c r="B35" s="33">
        <f>IF((B19*($B$26-($B$27-0.05*$B$27)-$B$60))&lt;0,0,B19*($B$26-($B$27-0.05*$B$27)-$B$60))</f>
        <v>45.006307101283305</v>
      </c>
      <c r="C35" s="33">
        <f>B35/2</f>
        <v>22.503153550641652</v>
      </c>
      <c r="D35" s="230"/>
    </row>
    <row r="36" spans="1:6">
      <c r="A36" s="168" t="s">
        <v>77</v>
      </c>
      <c r="B36" s="33">
        <f>IF((B18*($B$26-($B$27-0.05*$B$27)-$B$60))&lt;0,0,B18*($B$26-($B$27-0.05*$B$27)-$B$60))</f>
        <v>1499.1001759932838</v>
      </c>
      <c r="C36" s="34" t="s">
        <v>104</v>
      </c>
      <c r="D36" s="171"/>
    </row>
    <row r="37" spans="1:6">
      <c r="A37" s="168" t="s">
        <v>78</v>
      </c>
      <c r="B37" s="33">
        <f>B60</f>
        <v>39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9577.5792999999994</v>
      </c>
      <c r="C5" s="17">
        <f>IF(ISERROR('Eigen informatie GS &amp; warmtenet'!B58),0,'Eigen informatie GS &amp; warmtenet'!B58)</f>
        <v>0</v>
      </c>
      <c r="D5" s="30">
        <f>SUM(D6:D12)</f>
        <v>12710.792242031375</v>
      </c>
      <c r="E5" s="17">
        <f>SUM(E6:E12)</f>
        <v>115.12768911313177</v>
      </c>
      <c r="F5" s="17">
        <f>SUM(F6:F12)</f>
        <v>1457.6227540279431</v>
      </c>
      <c r="G5" s="18"/>
      <c r="H5" s="17"/>
      <c r="I5" s="17"/>
      <c r="J5" s="17">
        <f>SUM(J6:J12)</f>
        <v>0</v>
      </c>
      <c r="K5" s="17"/>
      <c r="L5" s="17"/>
      <c r="M5" s="17"/>
      <c r="N5" s="17">
        <f>SUM(N6:N12)</f>
        <v>863.5314672456127</v>
      </c>
      <c r="O5" s="17">
        <f>B38*B39*B40</f>
        <v>3.1266666666666669</v>
      </c>
      <c r="P5" s="17">
        <f>B46*B47*B48/1000-B46*B47*B48/1000/B49</f>
        <v>19.066666666666666</v>
      </c>
      <c r="R5" s="32"/>
    </row>
    <row r="6" spans="1:18">
      <c r="A6" s="32" t="s">
        <v>53</v>
      </c>
      <c r="B6" s="37">
        <f>B26</f>
        <v>3136.2220000000002</v>
      </c>
      <c r="C6" s="33"/>
      <c r="D6" s="37">
        <f>IF(ISERROR(TER_kantoor_gas_kWh/1000),0,TER_kantoor_gas_kWh/1000)*0.902</f>
        <v>4009.2267942762041</v>
      </c>
      <c r="E6" s="33">
        <f>$C$26*'E Balans VL '!I12/100/3.6*1000000</f>
        <v>9.0860952830131243</v>
      </c>
      <c r="F6" s="33">
        <f>$C$26*('E Balans VL '!L12+'E Balans VL '!N12)/100/3.6*1000000</f>
        <v>354.9512340721397</v>
      </c>
      <c r="G6" s="34"/>
      <c r="H6" s="33"/>
      <c r="I6" s="33"/>
      <c r="J6" s="33">
        <f>$C$26*('E Balans VL '!D12+'E Balans VL '!E12)/100/3.6*1000000</f>
        <v>0</v>
      </c>
      <c r="K6" s="33"/>
      <c r="L6" s="33"/>
      <c r="M6" s="33"/>
      <c r="N6" s="33">
        <f>$C$26*'E Balans VL '!Y12/100/3.6*1000000</f>
        <v>31.39127134845284</v>
      </c>
      <c r="O6" s="33"/>
      <c r="P6" s="33"/>
      <c r="R6" s="32"/>
    </row>
    <row r="7" spans="1:18">
      <c r="A7" s="32" t="s">
        <v>52</v>
      </c>
      <c r="B7" s="37">
        <f t="shared" ref="B7:B12" si="0">B27</f>
        <v>1695.2660000000001</v>
      </c>
      <c r="C7" s="33"/>
      <c r="D7" s="37">
        <f>IF(ISERROR(TER_horeca_gas_kWh/1000),0,TER_horeca_gas_kWh/1000)*0.902</f>
        <v>1491.909333308907</v>
      </c>
      <c r="E7" s="33">
        <f>$C$27*'E Balans VL '!I9/100/3.6*1000000</f>
        <v>71.162530200407005</v>
      </c>
      <c r="F7" s="33">
        <f>$C$27*('E Balans VL '!L9+'E Balans VL '!N9)/100/3.6*1000000</f>
        <v>364.26266480357236</v>
      </c>
      <c r="G7" s="34"/>
      <c r="H7" s="33"/>
      <c r="I7" s="33"/>
      <c r="J7" s="33">
        <f>$C$27*('E Balans VL '!D9+'E Balans VL '!E9)/100/3.6*1000000</f>
        <v>0</v>
      </c>
      <c r="K7" s="33"/>
      <c r="L7" s="33"/>
      <c r="M7" s="33"/>
      <c r="N7" s="33">
        <f>$C$27*'E Balans VL '!Y9/100/3.6*1000000</f>
        <v>0.43685522256099574</v>
      </c>
      <c r="O7" s="33"/>
      <c r="P7" s="33"/>
      <c r="R7" s="32"/>
    </row>
    <row r="8" spans="1:18">
      <c r="A8" s="6" t="s">
        <v>51</v>
      </c>
      <c r="B8" s="37">
        <f t="shared" si="0"/>
        <v>2138.8980000000001</v>
      </c>
      <c r="C8" s="33"/>
      <c r="D8" s="37">
        <f>IF(ISERROR(TER_handel_gas_kWh/1000),0,TER_handel_gas_kWh/1000)*0.902</f>
        <v>1072.7601437037163</v>
      </c>
      <c r="E8" s="33">
        <f>$C$28*'E Balans VL '!I13/100/3.6*1000000</f>
        <v>22.97354467420168</v>
      </c>
      <c r="F8" s="33">
        <f>$C$28*('E Balans VL '!L13+'E Balans VL '!N13)/100/3.6*1000000</f>
        <v>276.89800875557205</v>
      </c>
      <c r="G8" s="34"/>
      <c r="H8" s="33"/>
      <c r="I8" s="33"/>
      <c r="J8" s="33">
        <f>$C$28*('E Balans VL '!D13+'E Balans VL '!E13)/100/3.6*1000000</f>
        <v>0</v>
      </c>
      <c r="K8" s="33"/>
      <c r="L8" s="33"/>
      <c r="M8" s="33"/>
      <c r="N8" s="33">
        <f>$C$28*'E Balans VL '!Y13/100/3.6*1000000</f>
        <v>17.350857364908727</v>
      </c>
      <c r="O8" s="33"/>
      <c r="P8" s="33"/>
      <c r="R8" s="32"/>
    </row>
    <row r="9" spans="1:18">
      <c r="A9" s="32" t="s">
        <v>50</v>
      </c>
      <c r="B9" s="37">
        <f t="shared" si="0"/>
        <v>588.12850000000003</v>
      </c>
      <c r="C9" s="33"/>
      <c r="D9" s="37">
        <f>IF(ISERROR(TER_gezond_gas_kWh/1000),0,TER_gezond_gas_kWh/1000)*0.902</f>
        <v>1774.1505155341665</v>
      </c>
      <c r="E9" s="33">
        <f>$C$29*'E Balans VL '!I10/100/3.6*1000000</f>
        <v>0.46818832513228154</v>
      </c>
      <c r="F9" s="33">
        <f>$C$29*('E Balans VL '!L10+'E Balans VL '!N10)/100/3.6*1000000</f>
        <v>71.495518397353393</v>
      </c>
      <c r="G9" s="34"/>
      <c r="H9" s="33"/>
      <c r="I9" s="33"/>
      <c r="J9" s="33">
        <f>$C$29*('E Balans VL '!D10+'E Balans VL '!E10)/100/3.6*1000000</f>
        <v>0</v>
      </c>
      <c r="K9" s="33"/>
      <c r="L9" s="33"/>
      <c r="M9" s="33"/>
      <c r="N9" s="33">
        <f>$C$29*'E Balans VL '!Y10/100/3.6*1000000</f>
        <v>4.7507462085915098</v>
      </c>
      <c r="O9" s="33"/>
      <c r="P9" s="33"/>
      <c r="R9" s="32"/>
    </row>
    <row r="10" spans="1:18">
      <c r="A10" s="32" t="s">
        <v>49</v>
      </c>
      <c r="B10" s="37">
        <f t="shared" si="0"/>
        <v>1045.029</v>
      </c>
      <c r="C10" s="33"/>
      <c r="D10" s="37">
        <f>IF(ISERROR(TER_ander_gas_kWh/1000),0,TER_ander_gas_kWh/1000)*0.902</f>
        <v>272.24955070847466</v>
      </c>
      <c r="E10" s="33">
        <f>$C$30*'E Balans VL '!I14/100/3.6*1000000</f>
        <v>3.5813692817864071</v>
      </c>
      <c r="F10" s="33">
        <f>$C$30*('E Balans VL '!L14+'E Balans VL '!N14)/100/3.6*1000000</f>
        <v>233.41701362366564</v>
      </c>
      <c r="G10" s="34"/>
      <c r="H10" s="33"/>
      <c r="I10" s="33"/>
      <c r="J10" s="33">
        <f>$C$30*('E Balans VL '!D14+'E Balans VL '!E14)/100/3.6*1000000</f>
        <v>0</v>
      </c>
      <c r="K10" s="33"/>
      <c r="L10" s="33"/>
      <c r="M10" s="33"/>
      <c r="N10" s="33">
        <f>$C$30*'E Balans VL '!Y14/100/3.6*1000000</f>
        <v>736.1241364818336</v>
      </c>
      <c r="O10" s="33"/>
      <c r="P10" s="33"/>
      <c r="R10" s="32"/>
    </row>
    <row r="11" spans="1:18">
      <c r="A11" s="32" t="s">
        <v>54</v>
      </c>
      <c r="B11" s="37">
        <f t="shared" si="0"/>
        <v>113.8271</v>
      </c>
      <c r="C11" s="33"/>
      <c r="D11" s="37">
        <f>IF(ISERROR(TER_onderwijs_gas_kWh/1000),0,TER_onderwijs_gas_kWh/1000)*0.902</f>
        <v>120.98495329958503</v>
      </c>
      <c r="E11" s="33">
        <f>$C$31*'E Balans VL '!I11/100/3.6*1000000</f>
        <v>7.8685168631214969E-2</v>
      </c>
      <c r="F11" s="33">
        <f>$C$31*('E Balans VL '!L11+'E Balans VL '!N11)/100/3.6*1000000</f>
        <v>29.796628327093213</v>
      </c>
      <c r="G11" s="34"/>
      <c r="H11" s="33"/>
      <c r="I11" s="33"/>
      <c r="J11" s="33">
        <f>$C$31*('E Balans VL '!D11+'E Balans VL '!E11)/100/3.6*1000000</f>
        <v>0</v>
      </c>
      <c r="K11" s="33"/>
      <c r="L11" s="33"/>
      <c r="M11" s="33"/>
      <c r="N11" s="33">
        <f>$C$31*'E Balans VL '!Y11/100/3.6*1000000</f>
        <v>0.1133051830139149</v>
      </c>
      <c r="O11" s="33"/>
      <c r="P11" s="33"/>
      <c r="R11" s="32"/>
    </row>
    <row r="12" spans="1:18">
      <c r="A12" s="32" t="s">
        <v>249</v>
      </c>
      <c r="B12" s="37">
        <f t="shared" si="0"/>
        <v>860.20869999999991</v>
      </c>
      <c r="C12" s="33"/>
      <c r="D12" s="37">
        <f>IF(ISERROR(TER_rest_gas_kWh/1000),0,TER_rest_gas_kWh/1000)*0.902</f>
        <v>3969.5109512003214</v>
      </c>
      <c r="E12" s="33">
        <f>$C$32*'E Balans VL '!I8/100/3.6*1000000</f>
        <v>7.7772761799600643</v>
      </c>
      <c r="F12" s="33">
        <f>$C$32*('E Balans VL '!L8+'E Balans VL '!N8)/100/3.6*1000000</f>
        <v>126.80168604854681</v>
      </c>
      <c r="G12" s="34"/>
      <c r="H12" s="33"/>
      <c r="I12" s="33"/>
      <c r="J12" s="33">
        <f>$C$32*('E Balans VL '!D8+'E Balans VL '!E8)/100/3.6*1000000</f>
        <v>0</v>
      </c>
      <c r="K12" s="33"/>
      <c r="L12" s="33"/>
      <c r="M12" s="33"/>
      <c r="N12" s="33">
        <f>$C$32*'E Balans VL '!Y8/100/3.6*1000000</f>
        <v>73.364295436251098</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9577.5792999999994</v>
      </c>
      <c r="C16" s="21">
        <f t="shared" ca="1" si="1"/>
        <v>0</v>
      </c>
      <c r="D16" s="21">
        <f t="shared" ca="1" si="1"/>
        <v>12710.792242031375</v>
      </c>
      <c r="E16" s="21">
        <f t="shared" si="1"/>
        <v>115.12768911313177</v>
      </c>
      <c r="F16" s="21">
        <f t="shared" ca="1" si="1"/>
        <v>1457.6227540279431</v>
      </c>
      <c r="G16" s="21">
        <f t="shared" si="1"/>
        <v>0</v>
      </c>
      <c r="H16" s="21">
        <f t="shared" si="1"/>
        <v>0</v>
      </c>
      <c r="I16" s="21">
        <f t="shared" si="1"/>
        <v>0</v>
      </c>
      <c r="J16" s="21">
        <f t="shared" si="1"/>
        <v>0</v>
      </c>
      <c r="K16" s="21">
        <f t="shared" si="1"/>
        <v>0</v>
      </c>
      <c r="L16" s="21">
        <f t="shared" ca="1" si="1"/>
        <v>0</v>
      </c>
      <c r="M16" s="21">
        <f t="shared" si="1"/>
        <v>0</v>
      </c>
      <c r="N16" s="21">
        <f t="shared" ca="1" si="1"/>
        <v>863.5314672456127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0.20534597314836425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1966.7173417641293</v>
      </c>
      <c r="C20" s="23">
        <f t="shared" ref="C20:P20" ca="1" si="2">C16*C18</f>
        <v>0</v>
      </c>
      <c r="D20" s="23">
        <f t="shared" ca="1" si="2"/>
        <v>2567.5800328903379</v>
      </c>
      <c r="E20" s="23">
        <f t="shared" si="2"/>
        <v>26.133985428680912</v>
      </c>
      <c r="F20" s="23">
        <f t="shared" ca="1" si="2"/>
        <v>389.18527532546085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3136.2220000000002</v>
      </c>
      <c r="C26" s="39">
        <f>IF(ISERROR(B26*3.6/1000000/'E Balans VL '!Z12*100),0,B26*3.6/1000000/'E Balans VL '!Z12*100)</f>
        <v>6.8890742065713204E-2</v>
      </c>
      <c r="D26" s="233" t="s">
        <v>676</v>
      </c>
      <c r="F26" s="6"/>
    </row>
    <row r="27" spans="1:18">
      <c r="A27" s="228" t="s">
        <v>52</v>
      </c>
      <c r="B27" s="33">
        <f>IF(ISERROR(TER_horeca_ele_kWh/1000),0,TER_horeca_ele_kWh/1000)</f>
        <v>1695.2660000000001</v>
      </c>
      <c r="C27" s="39">
        <f>IF(ISERROR(B27*3.6/1000000/'E Balans VL '!Z9*100),0,B27*3.6/1000000/'E Balans VL '!Z9*100)</f>
        <v>0.13623152171107886</v>
      </c>
      <c r="D27" s="233" t="s">
        <v>676</v>
      </c>
      <c r="F27" s="6"/>
    </row>
    <row r="28" spans="1:18">
      <c r="A28" s="168" t="s">
        <v>51</v>
      </c>
      <c r="B28" s="33">
        <f>IF(ISERROR(TER_handel_ele_kWh/1000),0,TER_handel_ele_kWh/1000)</f>
        <v>2138.8980000000001</v>
      </c>
      <c r="C28" s="39">
        <f>IF(ISERROR(B28*3.6/1000000/'E Balans VL '!Z13*100),0,B28*3.6/1000000/'E Balans VL '!Z13*100)</f>
        <v>6.3245719594482747E-2</v>
      </c>
      <c r="D28" s="233" t="s">
        <v>676</v>
      </c>
      <c r="F28" s="6"/>
    </row>
    <row r="29" spans="1:18">
      <c r="A29" s="228" t="s">
        <v>50</v>
      </c>
      <c r="B29" s="33">
        <f>IF(ISERROR(TER_gezond_ele_kWh/1000),0,TER_gezond_ele_kWh/1000)</f>
        <v>588.12850000000003</v>
      </c>
      <c r="C29" s="39">
        <f>IF(ISERROR(B29*3.6/1000000/'E Balans VL '!Z10*100),0,B29*3.6/1000000/'E Balans VL '!Z10*100)</f>
        <v>6.6266897810615275E-2</v>
      </c>
      <c r="D29" s="233" t="s">
        <v>676</v>
      </c>
      <c r="F29" s="6"/>
    </row>
    <row r="30" spans="1:18">
      <c r="A30" s="228" t="s">
        <v>49</v>
      </c>
      <c r="B30" s="33">
        <f>IF(ISERROR(TER_ander_ele_kWh/1000),0,TER_ander_ele_kWh/1000)</f>
        <v>1045.029</v>
      </c>
      <c r="C30" s="39">
        <f>IF(ISERROR(B30*3.6/1000000/'E Balans VL '!Z14*100),0,B30*3.6/1000000/'E Balans VL '!Z14*100)</f>
        <v>7.9033756873616134E-2</v>
      </c>
      <c r="D30" s="233" t="s">
        <v>676</v>
      </c>
      <c r="F30" s="6"/>
    </row>
    <row r="31" spans="1:18">
      <c r="A31" s="228" t="s">
        <v>54</v>
      </c>
      <c r="B31" s="33">
        <f>IF(ISERROR(TER_onderwijs_ele_kWh/1000),0,TER_onderwijs_ele_kWh/1000)</f>
        <v>113.8271</v>
      </c>
      <c r="C31" s="39">
        <f>IF(ISERROR(B31*3.6/1000000/'E Balans VL '!Z11*100),0,B31*3.6/1000000/'E Balans VL '!Z11*100)</f>
        <v>2.3627863577312107E-2</v>
      </c>
      <c r="D31" s="233" t="s">
        <v>676</v>
      </c>
    </row>
    <row r="32" spans="1:18">
      <c r="A32" s="228" t="s">
        <v>249</v>
      </c>
      <c r="B32" s="33">
        <f>IF(ISERROR(TER_rest_ele_kWh/1000),0,TER_rest_ele_kWh/1000)</f>
        <v>860.20869999999991</v>
      </c>
      <c r="C32" s="39">
        <f>IF(ISERROR(B32*3.6/1000000/'E Balans VL '!Z8*100),0,B32*3.6/1000000/'E Balans VL '!Z8*100)</f>
        <v>7.2467522538587782E-3</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1720.2503999999999</v>
      </c>
      <c r="C5" s="17">
        <f>IF(ISERROR('Eigen informatie GS &amp; warmtenet'!B59),0,'Eigen informatie GS &amp; warmtenet'!B59)</f>
        <v>0</v>
      </c>
      <c r="D5" s="30">
        <f>SUM(D6:D15)</f>
        <v>1012.9536342072994</v>
      </c>
      <c r="E5" s="17">
        <f>SUM(E6:E15)</f>
        <v>216.08266475880163</v>
      </c>
      <c r="F5" s="17">
        <f>SUM(F6:F15)</f>
        <v>1549.2318719901218</v>
      </c>
      <c r="G5" s="18"/>
      <c r="H5" s="17"/>
      <c r="I5" s="17"/>
      <c r="J5" s="17">
        <f>SUM(J6:J15)</f>
        <v>13.243012410813506</v>
      </c>
      <c r="K5" s="17"/>
      <c r="L5" s="17"/>
      <c r="M5" s="17"/>
      <c r="N5" s="17">
        <f>SUM(N6:N15)</f>
        <v>329.19526666240318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32.840000000000003</v>
      </c>
      <c r="C8" s="33"/>
      <c r="D8" s="37">
        <f>IF( ISERROR(IND_metaal_Gas_kWH/1000),0,IND_metaal_Gas_kWH/1000)*0.902</f>
        <v>0</v>
      </c>
      <c r="E8" s="33">
        <f>C30*'E Balans VL '!I18/100/3.6*1000000</f>
        <v>0.82187026246237627</v>
      </c>
      <c r="F8" s="33">
        <f>C30*'E Balans VL '!L18/100/3.6*1000000+C30*'E Balans VL '!N18/100/3.6*1000000</f>
        <v>10.292219354560993</v>
      </c>
      <c r="G8" s="34"/>
      <c r="H8" s="33"/>
      <c r="I8" s="33"/>
      <c r="J8" s="40">
        <f>C30*'E Balans VL '!D18/100/3.6*1000000+C30*'E Balans VL '!E18/100/3.6*1000000</f>
        <v>0</v>
      </c>
      <c r="K8" s="33"/>
      <c r="L8" s="33"/>
      <c r="M8" s="33"/>
      <c r="N8" s="33">
        <f>C30*'E Balans VL '!Y18/100/3.6*1000000</f>
        <v>0.82502602723187191</v>
      </c>
      <c r="O8" s="33"/>
      <c r="P8" s="33"/>
      <c r="R8" s="32"/>
    </row>
    <row r="9" spans="1:18">
      <c r="A9" s="6" t="s">
        <v>32</v>
      </c>
      <c r="B9" s="37">
        <f t="shared" si="0"/>
        <v>691.50250000000005</v>
      </c>
      <c r="C9" s="33"/>
      <c r="D9" s="37">
        <f>IF( ISERROR(IND_andere_gas_kWh/1000),0,IND_andere_gas_kWh/1000)*0.902</f>
        <v>652.70435169740222</v>
      </c>
      <c r="E9" s="33">
        <f>C31*'E Balans VL '!I19/100/3.6*1000000</f>
        <v>190.13482548651902</v>
      </c>
      <c r="F9" s="33">
        <f>C31*'E Balans VL '!L19/100/3.6*1000000+C31*'E Balans VL '!N19/100/3.6*1000000</f>
        <v>545.02430007445389</v>
      </c>
      <c r="G9" s="34"/>
      <c r="H9" s="33"/>
      <c r="I9" s="33"/>
      <c r="J9" s="40">
        <f>C31*'E Balans VL '!D19/100/3.6*1000000+C31*'E Balans VL '!E19/100/3.6*1000000</f>
        <v>0</v>
      </c>
      <c r="K9" s="33"/>
      <c r="L9" s="33"/>
      <c r="M9" s="33"/>
      <c r="N9" s="33">
        <f>C31*'E Balans VL '!Y19/100/3.6*1000000</f>
        <v>55.70787715408504</v>
      </c>
      <c r="O9" s="33"/>
      <c r="P9" s="33"/>
      <c r="R9" s="32"/>
    </row>
    <row r="10" spans="1:18">
      <c r="A10" s="6" t="s">
        <v>40</v>
      </c>
      <c r="B10" s="37">
        <f t="shared" si="0"/>
        <v>476.89519999999999</v>
      </c>
      <c r="C10" s="33"/>
      <c r="D10" s="37">
        <f>IF( ISERROR(IND_voed_gas_kWh/1000),0,IND_voed_gas_kWh/1000)*0.902</f>
        <v>96.372120675093541</v>
      </c>
      <c r="E10" s="33">
        <f>C32*'E Balans VL '!I20/100/3.6*1000000</f>
        <v>4.861683840935215</v>
      </c>
      <c r="F10" s="33">
        <f>C32*'E Balans VL '!L20/100/3.6*1000000+C32*'E Balans VL '!N20/100/3.6*1000000</f>
        <v>900.85205010844618</v>
      </c>
      <c r="G10" s="34"/>
      <c r="H10" s="33"/>
      <c r="I10" s="33"/>
      <c r="J10" s="40">
        <f>C32*'E Balans VL '!D20/100/3.6*1000000+C32*'E Balans VL '!E20/100/3.6*1000000</f>
        <v>11.41366254415899</v>
      </c>
      <c r="K10" s="33"/>
      <c r="L10" s="33"/>
      <c r="M10" s="33"/>
      <c r="N10" s="33">
        <f>C32*'E Balans VL '!Y20/100/3.6*1000000</f>
        <v>251.3787019911324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128.3219</v>
      </c>
      <c r="C12" s="33"/>
      <c r="D12" s="37">
        <f>IF( ISERROR(IND_min_gas_kWh/1000),0,IND_min_gas_kWh/1000)*0.902</f>
        <v>0</v>
      </c>
      <c r="E12" s="33">
        <f>C34*'E Balans VL '!I22/100/3.6*1000000</f>
        <v>0.38862898831218351</v>
      </c>
      <c r="F12" s="33">
        <f>C34*'E Balans VL '!L22/100/3.6*1000000+C34*'E Balans VL '!N22/100/3.6*1000000</f>
        <v>4.0101696979704924</v>
      </c>
      <c r="G12" s="34"/>
      <c r="H12" s="33"/>
      <c r="I12" s="33"/>
      <c r="J12" s="40">
        <f>C34*'E Balans VL '!D22/100/3.6*1000000+C34*'E Balans VL '!E22/100/3.6*1000000</f>
        <v>0.19027289170605577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390.69079999999997</v>
      </c>
      <c r="C15" s="33"/>
      <c r="D15" s="37">
        <f>IF( ISERROR(IND_rest_gas_kWh/1000),0,IND_rest_gas_kWh/1000)*0.902</f>
        <v>263.87716183480359</v>
      </c>
      <c r="E15" s="33">
        <f>C37*'E Balans VL '!I15/100/3.6*1000000</f>
        <v>19.875656180572847</v>
      </c>
      <c r="F15" s="33">
        <f>C37*'E Balans VL '!L15/100/3.6*1000000+C37*'E Balans VL '!N15/100/3.6*1000000</f>
        <v>89.053132754690296</v>
      </c>
      <c r="G15" s="34"/>
      <c r="H15" s="33"/>
      <c r="I15" s="33"/>
      <c r="J15" s="40">
        <f>C37*'E Balans VL '!D15/100/3.6*1000000+C37*'E Balans VL '!E15/100/3.6*1000000</f>
        <v>1.6390769749484599</v>
      </c>
      <c r="K15" s="33"/>
      <c r="L15" s="33"/>
      <c r="M15" s="33"/>
      <c r="N15" s="33">
        <f>C37*'E Balans VL '!Y15/100/3.6*1000000</f>
        <v>21.283661489953882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1720.2503999999999</v>
      </c>
      <c r="C18" s="21">
        <f>C5+C16</f>
        <v>0</v>
      </c>
      <c r="D18" s="21">
        <f>MAX((D5+D16),0)</f>
        <v>1012.9536342072994</v>
      </c>
      <c r="E18" s="21">
        <f>MAX((E5+E16),0)</f>
        <v>216.08266475880163</v>
      </c>
      <c r="F18" s="21">
        <f>MAX((F5+F16),0)</f>
        <v>1549.2318719901218</v>
      </c>
      <c r="G18" s="21"/>
      <c r="H18" s="21"/>
      <c r="I18" s="21"/>
      <c r="J18" s="21">
        <f>MAX((J5+J16),0)</f>
        <v>13.243012410813506</v>
      </c>
      <c r="K18" s="21"/>
      <c r="L18" s="21">
        <f>MAX((L5+L16),0)</f>
        <v>0</v>
      </c>
      <c r="M18" s="21"/>
      <c r="N18" s="21">
        <f>MAX((N5+N16),0)</f>
        <v>329.19526666240318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0.20534597314836425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353.24649244686282</v>
      </c>
      <c r="C22" s="23">
        <f ca="1">C18*C20</f>
        <v>0</v>
      </c>
      <c r="D22" s="23">
        <f>D18*D20</f>
        <v>204.6166341098745</v>
      </c>
      <c r="E22" s="23">
        <f>E18*E20</f>
        <v>49.05076490024797</v>
      </c>
      <c r="F22" s="23">
        <f>F18*F20</f>
        <v>413.64490982136255</v>
      </c>
      <c r="G22" s="23"/>
      <c r="H22" s="23"/>
      <c r="I22" s="23"/>
      <c r="J22" s="23">
        <f>J18*J20</f>
        <v>4.6880263934279807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32.840000000000003</v>
      </c>
      <c r="C30" s="39">
        <f>IF(ISERROR(B30*3.6/1000000/'E Balans VL '!Z18*100),0,B30*3.6/1000000/'E Balans VL '!Z18*100)</f>
        <v>4.5965055949097732E-3</v>
      </c>
      <c r="D30" s="233" t="s">
        <v>676</v>
      </c>
    </row>
    <row r="31" spans="1:18">
      <c r="A31" s="6" t="s">
        <v>32</v>
      </c>
      <c r="B31" s="37">
        <f>IF( ISERROR(IND_ander_ele_kWh/1000),0,IND_ander_ele_kWh/1000)</f>
        <v>691.50250000000005</v>
      </c>
      <c r="C31" s="39">
        <f>IF(ISERROR(B31*3.6/1000000/'E Balans VL '!Z19*100),0,B31*3.6/1000000/'E Balans VL '!Z19*100)</f>
        <v>3.026695224735694E-2</v>
      </c>
      <c r="D31" s="233" t="s">
        <v>676</v>
      </c>
    </row>
    <row r="32" spans="1:18">
      <c r="A32" s="168" t="s">
        <v>40</v>
      </c>
      <c r="B32" s="37">
        <f>IF( ISERROR(IND_voed_ele_kWh/1000),0,IND_voed_ele_kWh/1000)</f>
        <v>476.89519999999999</v>
      </c>
      <c r="C32" s="39">
        <f>IF(ISERROR(B32*3.6/1000000/'E Balans VL '!Z20*100),0,B32*3.6/1000000/'E Balans VL '!Z20*100)</f>
        <v>0.11806341461157112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128.3219</v>
      </c>
      <c r="C34" s="39">
        <f>IF(ISERROR(B34*3.6/1000000/'E Balans VL '!Z22*100),0,B34*3.6/1000000/'E Balans VL '!Z22*100)</f>
        <v>3.6412519967845775E-3</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390.69079999999997</v>
      </c>
      <c r="C37" s="39">
        <f>IF(ISERROR(B37*3.6/1000000/'E Balans VL '!Z15*100),0,B37*3.6/1000000/'E Balans VL '!Z15*100)</f>
        <v>2.8969053929045309E-3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1142.8685999999998</v>
      </c>
      <c r="C5" s="17">
        <f>'Eigen informatie GS &amp; warmtenet'!B60</f>
        <v>0</v>
      </c>
      <c r="D5" s="30">
        <f>IF(ISERROR(SUM(LB_lb_gas_kWh,LB_rest_gas_kWh)/1000),0,SUM(LB_lb_gas_kWh,LB_rest_gas_kWh)/1000)*0.902</f>
        <v>440.52399975349186</v>
      </c>
      <c r="E5" s="17">
        <f>B17*'E Balans VL '!I25/3.6*1000000/100</f>
        <v>10.585727650570623</v>
      </c>
      <c r="F5" s="17">
        <f>B17*('E Balans VL '!L25/3.6*1000000+'E Balans VL '!N25/3.6*1000000)/100</f>
        <v>2899.6753544448748</v>
      </c>
      <c r="G5" s="18"/>
      <c r="H5" s="17"/>
      <c r="I5" s="17"/>
      <c r="J5" s="17">
        <f>('E Balans VL '!D25+'E Balans VL '!E25)/3.6*1000000*landbouw!B17/100</f>
        <v>175.21451083080103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1142.8685999999998</v>
      </c>
      <c r="C8" s="21">
        <f>C5+C6</f>
        <v>0</v>
      </c>
      <c r="D8" s="21">
        <f>MAX((D5+D6),0)</f>
        <v>440.52399975349186</v>
      </c>
      <c r="E8" s="21">
        <f>MAX((E5+E6),0)</f>
        <v>10.585727650570623</v>
      </c>
      <c r="F8" s="21">
        <f>MAX((F5+F6),0)</f>
        <v>2899.6753544448748</v>
      </c>
      <c r="G8" s="21"/>
      <c r="H8" s="21"/>
      <c r="I8" s="21"/>
      <c r="J8" s="21">
        <f>MAX((J5+J6),0)</f>
        <v>175.21451083080103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0.20534597314836425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234.68346484770859</v>
      </c>
      <c r="C12" s="23">
        <f ca="1">C8*C10</f>
        <v>0</v>
      </c>
      <c r="D12" s="23">
        <f>D8*D10</f>
        <v>88.985847950205368</v>
      </c>
      <c r="E12" s="23">
        <f>E8*E10</f>
        <v>2.4029601766795317</v>
      </c>
      <c r="F12" s="23">
        <f>F8*F10</f>
        <v>774.21331963678165</v>
      </c>
      <c r="G12" s="23"/>
      <c r="H12" s="23"/>
      <c r="I12" s="23"/>
      <c r="J12" s="23">
        <f>J8*J10</f>
        <v>62.025936834103561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0.16249168191702795</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158.15241558454505</v>
      </c>
      <c r="C26" s="243">
        <f>B26*'GWP N2O_CH4'!B5</f>
        <v>3321.2007272754463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86.833142376897356</v>
      </c>
      <c r="C27" s="243">
        <f>B27*'GWP N2O_CH4'!B5</f>
        <v>1823.4959899148446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2.485686602492875</v>
      </c>
      <c r="C28" s="243">
        <f>B28*'GWP N2O_CH4'!B4</f>
        <v>770.5628467727912</v>
      </c>
      <c r="D28" s="50"/>
    </row>
    <row r="29" spans="1:4">
      <c r="A29" s="41" t="s">
        <v>266</v>
      </c>
      <c r="B29" s="243">
        <f>B34*'ha_N2O bodem landbouw'!B4</f>
        <v>9.0955875407878057</v>
      </c>
      <c r="C29" s="243">
        <f>B29*'GWP N2O_CH4'!B4</f>
        <v>2819.6321376442197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2.0399800456100342E-3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1.8625247333037718E-4</v>
      </c>
      <c r="C5" s="430" t="s">
        <v>204</v>
      </c>
      <c r="D5" s="415">
        <f>SUM(D6:D11)</f>
        <v>2.4803007292570437E-4</v>
      </c>
      <c r="E5" s="415">
        <f>SUM(E6:E11)</f>
        <v>2.8413906998077301E-3</v>
      </c>
      <c r="F5" s="428" t="s">
        <v>204</v>
      </c>
      <c r="G5" s="415">
        <f>SUM(G6:G11)</f>
        <v>1.2169290791637684</v>
      </c>
      <c r="H5" s="415">
        <f>SUM(H6:H11)</f>
        <v>0.14871461181092818</v>
      </c>
      <c r="I5" s="430" t="s">
        <v>204</v>
      </c>
      <c r="J5" s="430" t="s">
        <v>204</v>
      </c>
      <c r="K5" s="430" t="s">
        <v>204</v>
      </c>
      <c r="L5" s="430" t="s">
        <v>204</v>
      </c>
      <c r="M5" s="415">
        <f>SUM(M6:M11)</f>
        <v>7.5090301717902097E-2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1.9059638172466676E-5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2.8786497314678047E-5</v>
      </c>
      <c r="E6" s="858">
        <f>vkm_GW_PW*SUMIFS(TableVerdeelsleutelVkm[LPG],TableVerdeelsleutelVkm[Voertuigtype],"Lichte voertuigen")*SUMIFS(TableECFTransport[EnergieConsumptieFactor (PJ per km)],TableECFTransport[Index],CONCATENATE($A6,"_LPG_LPG"))</f>
        <v>2.8353288008983268E-4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6.4866366781054258E-2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1.6739593021769691E-2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4.27137281493397E-3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7.9936159408638957E-7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3.0679830969202359E-2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5.8010739280777095E-7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1.7787467862657568E-3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1.3159198620493896E-5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2.998090967084894E-5</v>
      </c>
      <c r="E8" s="418">
        <f>vkm_NGW_PW*SUMIFS(TableVerdeelsleutelVkm[LPG],TableVerdeelsleutelVkm[Voertuigtype],"Lichte voertuigen")*SUMIFS(TableECFTransport[EnergieConsumptieFactor (PJ per km)],TableECFTransport[Index],CONCATENATE($A8,"_LPG_LPG"))</f>
        <v>2.8162967851273985E-4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5.9799927193714554E-2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1.6841609173161232E-2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3.9807468856736944E-3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1.4939180566754783E-7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7.3667648572291406E-3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1.3086043041838136E-7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4.271080057723818E-4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1.3735542348946697E-4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1.892626659401774E-4</v>
      </c>
      <c r="E10" s="418">
        <f>vkm_SW_PW*SUMIFS(TableVerdeelsleutelVkm[LPG],TableVerdeelsleutelVkm[Voertuigtype],"Lichte voertuigen")*SUMIFS(TableECFTransport[EnergieConsumptieFactor (PJ per km)],TableECFTransport[Index],CONCATENATE($A10,"_LPG_LPG"))</f>
        <v>2.2762281412051573E-3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0.4787510392806274</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0.11512094941928008</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3.1268140841047704E-2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1.57294596481957E-5</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0.57546515008194055</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1.1749228893966192E-5</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3.3364186384208593E-2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51.736798147326994</v>
      </c>
      <c r="C14" s="21"/>
      <c r="D14" s="21">
        <f t="shared" ref="D14:M14" si="0">((D5)*10^9/3600)+D12</f>
        <v>68.897242479362319</v>
      </c>
      <c r="E14" s="21">
        <f t="shared" si="0"/>
        <v>789.27519439103617</v>
      </c>
      <c r="F14" s="21"/>
      <c r="G14" s="21">
        <f t="shared" si="0"/>
        <v>338035.85532326897</v>
      </c>
      <c r="H14" s="21">
        <f t="shared" si="0"/>
        <v>41309.614391924501</v>
      </c>
      <c r="I14" s="21"/>
      <c r="J14" s="21"/>
      <c r="K14" s="21"/>
      <c r="L14" s="21"/>
      <c r="M14" s="21">
        <f t="shared" si="0"/>
        <v>20858.417143861694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0.20534597314836425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10.62394316314335</v>
      </c>
      <c r="C18" s="23"/>
      <c r="D18" s="23">
        <f t="shared" ref="D18:M18" si="1">D14*D16</f>
        <v>13.917242980831189</v>
      </c>
      <c r="E18" s="23">
        <f t="shared" si="1"/>
        <v>179.1654691267652</v>
      </c>
      <c r="F18" s="23"/>
      <c r="G18" s="23">
        <f t="shared" si="1"/>
        <v>90255.573371312814</v>
      </c>
      <c r="H18" s="23">
        <f t="shared" si="1"/>
        <v>10286.0939835892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1.159289399359459E-5</v>
      </c>
      <c r="C50" s="313">
        <f t="shared" ref="C50:P50" si="2">SUM(C51:C52)</f>
        <v>0</v>
      </c>
      <c r="D50" s="313">
        <f t="shared" si="2"/>
        <v>0</v>
      </c>
      <c r="E50" s="313">
        <f t="shared" si="2"/>
        <v>0</v>
      </c>
      <c r="F50" s="313">
        <f t="shared" si="2"/>
        <v>0</v>
      </c>
      <c r="G50" s="313">
        <f t="shared" si="2"/>
        <v>2.1967004441463406E-3</v>
      </c>
      <c r="H50" s="313">
        <f t="shared" si="2"/>
        <v>0</v>
      </c>
      <c r="I50" s="313">
        <f t="shared" si="2"/>
        <v>0</v>
      </c>
      <c r="J50" s="313">
        <f t="shared" si="2"/>
        <v>0</v>
      </c>
      <c r="K50" s="313">
        <f t="shared" si="2"/>
        <v>0</v>
      </c>
      <c r="L50" s="313">
        <f t="shared" si="2"/>
        <v>0</v>
      </c>
      <c r="M50" s="313">
        <f t="shared" si="2"/>
        <v>1.2645973029096717E-4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1.159289399359459E-5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2.1967004441463406E-3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1.2645973029096717E-4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3.2202483315540529</v>
      </c>
      <c r="C54" s="21">
        <f t="shared" ref="C54:P54" si="3">(C50)*10^9/3600</f>
        <v>0</v>
      </c>
      <c r="D54" s="21">
        <f t="shared" si="3"/>
        <v>0</v>
      </c>
      <c r="E54" s="21">
        <f t="shared" si="3"/>
        <v>0</v>
      </c>
      <c r="F54" s="21">
        <f t="shared" si="3"/>
        <v>0</v>
      </c>
      <c r="G54" s="21">
        <f t="shared" si="3"/>
        <v>610.19456781842803</v>
      </c>
      <c r="H54" s="21">
        <f t="shared" si="3"/>
        <v>0</v>
      </c>
      <c r="I54" s="21">
        <f t="shared" si="3"/>
        <v>0</v>
      </c>
      <c r="J54" s="21">
        <f t="shared" si="3"/>
        <v>0</v>
      </c>
      <c r="K54" s="21">
        <f t="shared" si="3"/>
        <v>0</v>
      </c>
      <c r="L54" s="21">
        <f t="shared" si="3"/>
        <v>0</v>
      </c>
      <c r="M54" s="21">
        <f t="shared" si="3"/>
        <v>35.127702858601992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0.20534597314836425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0.66126502742236337</v>
      </c>
      <c r="C58" s="23">
        <f t="shared" ref="C58:P58" ca="1" si="4">C54*C56</f>
        <v>0</v>
      </c>
      <c r="D58" s="23">
        <f t="shared" si="4"/>
        <v>0</v>
      </c>
      <c r="E58" s="23">
        <f t="shared" si="4"/>
        <v>0</v>
      </c>
      <c r="F58" s="23">
        <f t="shared" si="4"/>
        <v>0</v>
      </c>
      <c r="G58" s="23">
        <f t="shared" si="4"/>
        <v>162.9219496075203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2655.5872785976117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2655.5872785976117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2021-11-11T13:14:10Z</dcterms:modified>
</cp:coreProperties>
</file>