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419B92ED-7A34-48B8-BB89-46499DEA249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C13" i="15" s="1"/>
  <c r="N32" i="18"/>
  <c r="M32" i="18"/>
  <c r="W31" i="18"/>
  <c r="V31" i="18"/>
  <c r="U31" i="18"/>
  <c r="T31" i="18"/>
  <c r="S31" i="18"/>
  <c r="R31" i="18"/>
  <c r="Q31" i="18"/>
  <c r="P31" i="18"/>
  <c r="O31" i="18"/>
  <c r="N31" i="18"/>
  <c r="M31" i="18"/>
  <c r="W30" i="18"/>
  <c r="V30" i="18"/>
  <c r="U30" i="18"/>
  <c r="T30" i="18"/>
  <c r="S30" i="18"/>
  <c r="R30" i="18"/>
  <c r="Q30" i="18"/>
  <c r="P30" i="18"/>
  <c r="O30" i="18"/>
  <c r="B17" i="18" s="1"/>
  <c r="N30" i="18"/>
  <c r="B8" i="18" s="1"/>
  <c r="M30"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2" i="48" s="1"/>
  <c r="K4" i="48"/>
  <c r="I4" i="48"/>
  <c r="H4" i="48"/>
  <c r="G4" i="48"/>
  <c r="H11" i="48"/>
  <c r="G11" i="48"/>
  <c r="P3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R44" i="14"/>
  <c r="E25" i="14"/>
  <c r="E55" i="14" s="1"/>
  <c r="C25" i="14"/>
  <c r="B14" i="48" s="1"/>
  <c r="Q26" i="14"/>
  <c r="P26" i="14"/>
  <c r="N26" i="14"/>
  <c r="L26" i="14"/>
  <c r="J26" i="14"/>
  <c r="I26" i="14"/>
  <c r="H26" i="14"/>
  <c r="F20" i="18" l="1"/>
  <c r="P25" i="48"/>
  <c r="O31" i="48"/>
  <c r="D14" i="48"/>
  <c r="D13" i="15"/>
  <c r="L6" i="17"/>
  <c r="N6" i="17"/>
  <c r="E10" i="59"/>
  <c r="B46" i="18"/>
  <c r="C50" i="18" s="1"/>
  <c r="C6" i="17"/>
  <c r="J9" i="18"/>
  <c r="J77" i="14" s="1"/>
  <c r="J9" i="59" s="1"/>
  <c r="K20" i="18"/>
  <c r="L10" i="59"/>
  <c r="B16" i="16"/>
  <c r="C46" i="18"/>
  <c r="E49"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0" i="18" l="1"/>
  <c r="H17" i="18" s="1"/>
  <c r="Q14" i="48"/>
  <c r="D50" i="18"/>
  <c r="H50" i="18"/>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2" i="13"/>
  <c r="B33" i="13"/>
  <c r="B36"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M14" i="22" l="1"/>
  <c r="L63" i="14"/>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13" i="14"/>
  <c r="J8" i="48"/>
  <c r="G33" i="48"/>
  <c r="I22" i="14"/>
  <c r="I27" i="14" s="1"/>
  <c r="I63" i="14" s="1"/>
  <c r="R20" i="14"/>
  <c r="R22" i="14" s="1"/>
  <c r="H27" i="48"/>
  <c r="H33" i="48" s="1"/>
  <c r="H15" i="48"/>
  <c r="O13" i="14"/>
  <c r="N8" i="48"/>
  <c r="N26" i="48" s="1"/>
  <c r="F8" i="48"/>
  <c r="G13" i="14"/>
  <c r="K63" i="14"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<sst xmlns="http://schemas.openxmlformats.org/spreadsheetml/2006/main" count="2511" uniqueCount="925">
  <si>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</si>
  <si>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</si>
  <si>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</si>
  <si>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</si>
  <si>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</si>
  <si>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</si>
  <si>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</si>
  <si>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</si>
  <si>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</si>
  <si>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</si>
  <si>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</si>
  <si>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</si>
  <si>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</si>
  <si>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</si>
  <si>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</si>
  <si>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</si>
  <si>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</si>
  <si>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</si>
  <si>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</si>
  <si>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</si>
  <si>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</si>
  <si>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</si>
  <si>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</si>
  <si>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</si>
  <si>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</si>
  <si>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</si>
  <si>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</si>
  <si>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</si>
  <si>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</si>
  <si>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</si>
  <si>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</si>
  <si>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</si>
  <si>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</si>
  <si>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</si>
  <si>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</si>
  <si>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</si>
  <si>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</si>
  <si>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</si>
  <si>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</si>
  <si>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</si>
  <si>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</si>
  <si>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</si>
  <si>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</si>
  <si>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</si>
  <si>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</si>
  <si>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</si>
  <si>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</si>
  <si>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</si>
  <si>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</si>
  <si>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</si>
  <si>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</si>
  <si>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</si>
  <si>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</si>
  <si>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</si>
  <si>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</si>
  <si>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</si>
  <si>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</si>
  <si>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</si>
  <si>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</si>
  <si>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</si>
  <si>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</si>
  <si>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</si>
  <si>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</si>
  <si>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</si>
  <si>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</si>
  <si>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</si>
  <si>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</si>
  <si>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</si>
  <si>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</si>
  <si>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</si>
  <si>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</si>
  <si>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</si>
  <si>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</si>
  <si>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</si>
  <si>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</si>
  <si>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</si>
  <si>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</si>
  <si>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</si>
  <si>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</si>
  <si>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</si>
  <si>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</si>
  <si>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</si>
  <si>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</si>
  <si>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</si>
  <si>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</si>
  <si>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</si>
  <si>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</si>
  <si>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</si>
  <si>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</si>
  <si>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</si>
  <si>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</si>
  <si>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</si>
  <si>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</si>
  <si>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</si>
  <si>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</si>
  <si>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</si>
  <si>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</si>
  <si>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</si>
  <si>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</si>
  <si>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</si>
  <si>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</si>
  <si>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</si>
  <si>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</si>
  <si>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</si>
  <si>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</si>
  <si>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</si>
  <si>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</si>
  <si>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</si>
  <si>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</si>
  <si>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</si>
  <si>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</si>
  <si>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</si>
  <si>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</si>
  <si>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</si>
  <si>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</si>
  <si>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</si>
  <si>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</si>
  <si>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</si>
  <si>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</si>
  <si>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</si>
  <si>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</si>
  <si>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</si>
  <si>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</si>
  <si>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</si>
  <si>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</si>
  <si>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</si>
  <si>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</si>
  <si>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</si>
  <si>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</si>
  <si>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</si>
  <si>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</si>
  <si>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</si>
  <si>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</si>
  <si>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</si>
  <si>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</si>
  <si>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</si>
  <si>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</si>
  <si>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</si>
  <si>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</si>
  <si>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</si>
  <si>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</si>
  <si>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</si>
  <si>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</si>
  <si>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</si>
  <si>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</si>
  <si>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</si>
  <si>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</si>
  <si>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</si>
  <si>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</si>
  <si>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</si>
  <si>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</si>
  <si>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</si>
  <si>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</si>
  <si>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</si>
  <si>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</si>
  <si>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</si>
  <si>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</si>
  <si>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</si>
  <si>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</si>
  <si>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</si>
  <si>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</si>
  <si>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</si>
  <si>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</si>
  <si>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</si>
  <si>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</si>
  <si>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</si>
  <si>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</si>
  <si>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</si>
  <si>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</si>
  <si>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</si>
  <si>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</si>
  <si>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</si>
  <si>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</si>
  <si>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</si>
  <si>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</si>
  <si>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</si>
  <si>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</si>
  <si>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</si>
  <si>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</si>
  <si>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</si>
  <si>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</si>
  <si>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</si>
  <si>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</si>
  <si>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</si>
  <si>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</si>
  <si>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</si>
  <si>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</si>
  <si>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</si>
  <si>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</si>
  <si>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</si>
  <si>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</si>
  <si>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</si>
  <si>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</si>
  <si>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</si>
  <si>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</si>
  <si>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</si>
  <si>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</si>
  <si>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</si>
  <si>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</si>
  <si>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</si>
  <si>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</si>
  <si>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</si>
  <si>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</si>
  <si>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</si>
  <si>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</si>
  <si>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</si>
  <si>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</si>
  <si>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</si>
  <si>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</si>
  <si>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</si>
  <si>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</si>
  <si>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</si>
  <si>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</si>
  <si>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</si>
  <si>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</si>
  <si>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</si>
  <si>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</si>
  <si>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</si>
  <si>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</si>
  <si>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</si>
  <si>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</si>
  <si>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</si>
  <si>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</si>
  <si>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</si>
  <si>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</si>
  <si>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</si>
  <si>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</si>
  <si>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</si>
  <si>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</si>
  <si>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</si>
  <si>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</si>
  <si>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</si>
  <si>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</si>
  <si>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</si>
  <si>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</si>
  <si>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</si>
  <si>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</si>
  <si>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</si>
  <si>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</si>
  <si>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</si>
  <si>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</si>
  <si>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</si>
  <si>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</si>
  <si>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</si>
  <si>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</si>
  <si>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</si>
  <si>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</si>
  <si>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</si>
  <si>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</si>
  <si>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</si>
  <si>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</si>
  <si>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</si>
  <si>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</si>
  <si>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</si>
  <si>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</si>
  <si>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</si>
  <si>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</si>
  <si>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</si>
  <si>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</si>
  <si>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</si>
  <si>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</si>
  <si>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</si>
  <si>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</si>
  <si>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</si>
  <si>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</si>
  <si>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</si>
  <si>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</si>
  <si>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</si>
  <si>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</si>
  <si>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</si>
  <si>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</si>
  <si>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</si>
  <si>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</si>
  <si>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</si>
  <si>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</si>
  <si>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</si>
  <si>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</si>
  <si>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</si>
  <si>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</si>
  <si>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</si>
  <si>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</si>
  <si>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</si>
  <si>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</si>
  <si>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</si>
  <si>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</si>
  <si>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</si>
  <si>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</si>
  <si>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</si>
  <si>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</si>
  <si>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</si>
  <si>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</si>
  <si>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</si>
  <si>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</si>
  <si>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</si>
  <si>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</si>
  <si>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</si>
  <si>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</si>
  <si>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</si>
  <si>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</si>
  <si>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</si>
  <si>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</si>
  <si>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</si>
  <si>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</si>
  <si>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</si>
  <si>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</si>
  <si>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</si>
  <si>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</si>
  <si>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</si>
  <si>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</si>
  <si>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</si>
  <si>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</si>
  <si>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</si>
  <si>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</si>
  <si>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</si>
  <si>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</si>
  <si>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</si>
  <si>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</si>
  <si>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</si>
  <si>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</si>
  <si>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</si>
  <si>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</si>
  <si>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</si>
  <si>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</si>
  <si>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</si>
  <si>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</si>
  <si>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</si>
  <si>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</si>
  <si>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</si>
  <si>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</si>
  <si>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</si>
  <si>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</si>
  <si>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</si>
  <si>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</si>
  <si>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</si>
  <si>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</si>
  <si>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</si>
  <si>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</si>
  <si>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</si>
  <si>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</si>
  <si>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</si>
  <si>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</si>
  <si>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</si>
  <si>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</si>
  <si>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</si>
  <si>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</si>
  <si>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</si>
  <si>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</si>
  <si>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</si>
  <si>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</si>
  <si>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</si>
  <si>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</si>
  <si>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</si>
  <si>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</si>
  <si>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</si>
  <si>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</si>
  <si>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</si>
  <si>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</si>
  <si>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</si>
  <si>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</si>
  <si>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</si>
  <si>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</si>
  <si>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</si>
  <si>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</si>
  <si>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</si>
  <si>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</si>
  <si>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</si>
  <si>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</si>
  <si>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</si>
  <si>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</si>
  <si>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</si>
  <si>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</si>
  <si>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</si>
  <si>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</si>
  <si>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</si>
  <si>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</si>
  <si>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</si>
  <si>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</si>
  <si>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</si>
  <si>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</si>
  <si>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</si>
  <si>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</si>
  <si>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</si>
  <si>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</si>
  <si>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</si>
  <si>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</si>
  <si>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</si>
  <si>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</si>
  <si>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</si>
  <si>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</si>
  <si>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</si>
  <si>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</si>
  <si>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</si>
  <si>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</si>
  <si>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</si>
  <si>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</si>
  <si>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</si>
  <si>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</si>
  <si>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</si>
  <si>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</si>
  <si>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</si>
  <si>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</si>
  <si>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</si>
  <si>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</si>
  <si>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</si>
  <si>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</si>
  <si>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</si>
  <si>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</si>
  <si>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</si>
  <si>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</si>
  <si>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</si>
  <si>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</si>
  <si>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</si>
  <si>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</si>
  <si>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</si>
  <si>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</si>
  <si>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</si>
  <si>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</si>
  <si>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</si>
  <si>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</si>
  <si>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</si>
  <si>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</si>
  <si>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</si>
  <si>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</si>
  <si>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</si>
  <si>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</si>
  <si>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</si>
  <si>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</si>
  <si>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</si>
  <si>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</si>
  <si>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</si>
  <si>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</si>
  <si>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</si>
  <si>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</si>
  <si>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</si>
  <si>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</si>
  <si>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</si>
  <si>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</si>
  <si>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</si>
  <si>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</si>
  <si>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</si>
  <si>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</si>
  <si>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</si>
  <si>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</si>
  <si>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</si>
  <si>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</si>
  <si>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</si>
  <si>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</si>
  <si>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</si>
  <si>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</si>
  <si>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</si>
  <si>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</si>
  <si>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</si>
  <si>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</si>
  <si>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</si>
  <si>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</si>
  <si>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</si>
  <si>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</si>
  <si>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</si>
  <si>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</si>
  <si>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</si>
  <si>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</si>
  <si>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</si>
  <si>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</si>
  <si>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</si>
  <si>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</si>
  <si>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</si>
  <si>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</si>
  <si>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</si>
  <si>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</si>
  <si>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</si>
  <si>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</si>
  <si>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</si>
  <si>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</si>
  <si>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</si>
  <si>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</si>
  <si>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</si>
  <si>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</si>
  <si>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</si>
  <si>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</si>
  <si>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</si>
  <si>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</si>
  <si>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</si>
  <si>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</si>
  <si>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</si>
  <si>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</si>
  <si>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</si>
  <si>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</si>
  <si>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</si>
  <si>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</si>
  <si>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</si>
  <si>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</si>
  <si>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</si>
  <si>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</si>
  <si>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</si>
  <si>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</si>
  <si>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</si>
  <si>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</si>
  <si>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</si>
  <si>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</si>
  <si>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</si>
  <si>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</si>
  <si>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</si>
  <si>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</si>
  <si>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</si>
  <si>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</si>
  <si>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</si>
  <si>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</si>
  <si>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</si>
  <si>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</si>
  <si>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</si>
  <si>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</si>
  <si>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</si>
  <si>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</si>
  <si>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</si>
  <si>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</si>
  <si>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</si>
  <si>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</si>
  <si>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</si>
  <si>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</si>
  <si>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</si>
  <si>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</si>
  <si>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</si>
  <si>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</si>
  <si>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</si>
  <si>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</si>
  <si>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</si>
  <si>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</si>
  <si>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</si>
  <si>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</si>
  <si>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</si>
  <si>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</si>
  <si>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</si>
  <si>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</si>
  <si>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</si>
  <si>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</si>
  <si>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</si>
  <si>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</si>
  <si>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</si>
  <si>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</si>
  <si>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</si>
  <si>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</si>
  <si>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</si>
  <si>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</si>
  <si>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</si>
  <si>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</si>
  <si>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</si>
  <si>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</si>
  <si>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</si>
  <si>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</si>
  <si>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</si>
  <si>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</si>
  <si>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</si>
  <si>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</si>
  <si>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</si>
  <si>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</si>
  <si>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</si>
  <si>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</si>
  <si>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</si>
  <si>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</si>
  <si>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</si>
  <si>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</si>
  <si>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</si>
  <si>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</si>
  <si>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</si>
  <si>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</si>
  <si>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</si>
  <si>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</si>
  <si>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</si>
  <si>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</si>
  <si>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</si>
  <si>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</si>
  <si>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</si>
  <si>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</si>
  <si>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</si>
  <si>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</si>
  <si>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</si>
  <si>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</si>
  <si>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</si>
  <si>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</si>
  <si>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</si>
  <si>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</si>
  <si>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</si>
  <si>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</si>
  <si>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</si>
  <si>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</si>
  <si>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</si>
  <si>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</si>
  <si>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</si>
  <si>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</si>
  <si>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</si>
  <si>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</si>
  <si>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</si>
  <si>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</si>
  <si>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</si>
  <si>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</si>
  <si>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</si>
  <si>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</si>
  <si>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</si>
  <si>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</si>
  <si>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</si>
  <si>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</si>
  <si>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</si>
  <si>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</si>
  <si>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</si>
  <si>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</si>
  <si>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</si>
  <si>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</si>
  <si>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</si>
  <si>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</si>
  <si>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</si>
  <si>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</si>
  <si>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</si>
  <si>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</si>
  <si>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</si>
  <si>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</si>
  <si>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</si>
  <si>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</si>
  <si>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</si>
  <si>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</si>
  <si>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</si>
  <si>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</si>
  <si>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</si>
  <si>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</si>
  <si>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</si>
  <si>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</si>
  <si>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</si>
  <si>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</si>
  <si>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</si>
  <si>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</si>
  <si>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</si>
  <si>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</si>
  <si>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</si>
  <si>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</si>
  <si>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</si>
  <si>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</si>
  <si>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</si>
  <si>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</si>
  <si>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</si>
  <si>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</si>
  <si>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</si>
  <si>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</si>
  <si>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</si>
  <si>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</si>
  <si>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</si>
  <si>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</si>
  <si>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</si>
  <si>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</si>
  <si>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</si>
  <si>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</si>
  <si>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</si>
  <si>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</si>
  <si>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</si>
  <si>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</si>
  <si>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</si>
  <si>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</si>
  <si>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</si>
  <si>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</si>
  <si>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</si>
  <si>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</si>
  <si>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</si>
  <si>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</si>
  <si>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</si>
  <si>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</si>
  <si>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</si>
  <si>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</si>
  <si>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</si>
  <si>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</si>
  <si>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</si>
  <si>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</si>
  <si>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</si>
  <si>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</si>
  <si>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</si>
  <si>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</si>
  <si>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</si>
  <si>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</si>
  <si>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</si>
  <si>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</si>
  <si>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</si>
  <si>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</si>
  <si>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</si>
  <si>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</si>
  <si>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</si>
  <si>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</si>
  <si>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</si>
  <si>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</si>
  <si>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</si>
  <si>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</si>
  <si>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</si>
  <si>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</si>
  <si>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</si>
  <si>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</si>
  <si>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</si>
  <si>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</si>
  <si>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</si>
  <si>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</si>
  <si>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</si>
  <si>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</si>
  <si>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</si>
  <si>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</si>
  <si>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</si>
  <si>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</si>
  <si>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</si>
  <si>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</si>
  <si>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</si>
  <si>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</si>
  <si>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</si>
  <si>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</si>
  <si>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</si>
  <si>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</si>
  <si>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</si>
  <si>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</si>
  <si>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</si>
  <si>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</si>
  <si>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</si>
  <si>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</si>
  <si>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</si>
  <si>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</si>
  <si>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</si>
  <si>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</si>
  <si>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</si>
  <si>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</si>
  <si>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</si>
  <si>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</si>
  <si>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</si>
  <si>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</si>
  <si>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</si>
  <si>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</si>
  <si>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</si>
  <si>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</si>
  <si>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</si>
  <si>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</si>
  <si>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</si>
  <si>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</si>
  <si>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</si>
  <si>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</si>
  <si>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</si>
  <si>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</si>
  <si>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</si>
  <si>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</si>
  <si>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</si>
  <si>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</si>
  <si>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</si>
  <si>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</si>
  <si>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</si>
  <si>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</si>
  <si>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</si>
  <si>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</si>
  <si>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</si>
  <si>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</si>
  <si>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</si>
  <si>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</si>
  <si>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</si>
  <si>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</si>
  <si>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</si>
  <si>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</si>
  <si>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</si>
  <si>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</si>
  <si>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</si>
  <si>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</si>
  <si>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</si>
  <si>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</si>
  <si>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</si>
  <si>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</si>
  <si>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</si>
  <si>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</si>
  <si>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</si>
  <si>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</si>
  <si>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</si>
  <si>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</si>
  <si>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</si>
  <si>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</si>
  <si>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</si>
  <si>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</si>
  <si>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</si>
  <si>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</si>
  <si>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</si>
  <si>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</si>
  <si>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</si>
  <si>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</si>
  <si>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</si>
  <si>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</si>
  <si>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</si>
  <si>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</si>
  <si>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</si>
  <si>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</si>
  <si>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</si>
  <si>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</si>
  <si>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</si>
  <si>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</si>
  <si>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</si>
  <si>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</si>
  <si>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</si>
  <si>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</si>
  <si>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</si>
  <si>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</si>
  <si>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</si>
  <si>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</si>
  <si>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</si>
  <si>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</si>
  <si>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</si>
  <si>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</si>
  <si>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</si>
  <si>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</si>
  <si>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</si>
  <si>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</si>
  <si>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</si>
  <si>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</si>
  <si>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</si>
  <si>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</si>
  <si>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</si>
  <si>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</si>
  <si>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</si>
  <si>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</si>
  <si>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</si>
  <si>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</si>
  <si>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</si>
  <si>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</si>
  <si>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</si>
  <si>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</si>
  <si>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</si>
  <si>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</si>
  <si>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</si>
  <si>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</si>
  <si>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</si>
  <si>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</si>
  <si>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</si>
  <si>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</si>
  <si>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</si>
  <si>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</si>
  <si>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</si>
  <si>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</si>
  <si>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</si>
  <si>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</si>
  <si>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</si>
  <si>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</si>
  <si>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</si>
  <si>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</si>
  <si>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</si>
  <si>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</si>
  <si>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</si>
  <si>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</si>
  <si>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</si>
  <si>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</si>
  <si>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</si>
  <si>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</si>
  <si>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</si>
  <si>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</si>
  <si>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</si>
  <si>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</si>
  <si>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</si>
  <si>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</si>
  <si>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</si>
  <si>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</si>
  <si>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</si>
  <si>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</si>
  <si>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</si>
  <si>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</si>
  <si>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</si>
  <si>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</si>
  <si>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</si>
  <si>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</si>
  <si>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</si>
  <si>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</si>
  <si>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</si>
  <si>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</si>
  <si>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</si>
  <si>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</si>
  <si>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</si>
  <si>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</si>
  <si>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</si>
  <si>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</si>
  <si>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</si>
  <si>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</si>
  <si>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</si>
  <si>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</si>
  <si>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</si>
  <si>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</si>
  <si>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</si>
  <si>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</si>
  <si>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</si>
  <si>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</si>
  <si>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</si>
  <si>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</si>
  <si>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</si>
  <si>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</si>
  <si>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</si>
  <si>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</si>
  <si>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</si>
  <si>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</si>
  <si>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</si>
  <si>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</si>
  <si>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</si>
  <si>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</si>
  <si>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</si>
  <si>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</si>
  <si>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</si>
  <si>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</si>
  <si>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</si>
  <si>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</si>
  <si>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</si>
  <si>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</si>
  <si>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</si>
  <si>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</si>
  <si>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</si>
  <si>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</si>
  <si>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</si>
  <si>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</si>
  <si>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</si>
  <si>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</si>
  <si>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</si>
  <si>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</si>
  <si>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</si>
  <si>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</si>
  <si>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</si>
  <si>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</si>
  <si>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</si>
  <si>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41027</t>
  </si>
  <si>
    <t>HERZELE</t>
  </si>
  <si>
    <t>Paarden&amp;pony's 200 - 600 kg</t>
  </si>
  <si>
    <t>Paarden&amp;pony's &lt; 200 kg</t>
  </si>
  <si>
    <t>Fluvius</t>
  </si>
  <si>
    <t>referentietaak LNE (2017); Jaarverslag De Lijn</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</si>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</sst>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7260E3FA-0229-4147-9FD3-A49AA2965AF1}"/>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154963.06334956799</c:v>
                </c:pt>
                <c:pt idx="1">
                  <c:v>19975.36478924979</c:v>
                </c:pt>
                <c:pt idx="2">
                  <c:v>1413.7809999999999</c:v>
                </c:pt>
                <c:pt idx="3">
                  <c:v>4420.4977395706228</c:v>
                </c:pt>
                <c:pt idx="4">
                  <c:v>6184.847139694356</c:v>
                </c:pt>
                <c:pt idx="5">
                  <c:v>80811.103903330193</c:v>
                </c:pt>
                <c:pt idx="6">
                  <c:v>894.52445677394746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154963.06334956799</c:v>
                </c:pt>
                <c:pt idx="1">
                  <c:v>19975.36478924979</c:v>
                </c:pt>
                <c:pt idx="2">
                  <c:v>1413.7809999999999</c:v>
                </c:pt>
                <c:pt idx="3">
                  <c:v>4420.4977395706228</c:v>
                </c:pt>
                <c:pt idx="4">
                  <c:v>6184.847139694356</c:v>
                </c:pt>
                <c:pt idx="5">
                  <c:v>80811.103903330193</c:v>
                </c:pt>
                <c:pt idx="6">
                  <c:v>894.52445677394746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34120.330767324958</c:v>
                </c:pt>
                <c:pt idx="2">
                  <c:v>4046.2192078776429</c:v>
                </c:pt>
                <c:pt idx="3">
                  <c:v>289.00588269421263</c:v>
                </c:pt>
                <c:pt idx="4">
                  <c:v>1098.5301641931421</c:v>
                </c:pt>
                <c:pt idx="5">
                  <c:v>1302.1583768215594</c:v>
                </c:pt>
                <c:pt idx="6">
                  <c:v>20253.774782254121</c:v>
                </c:pt>
                <c:pt idx="7">
                  <c:v>225.62363475071032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34120.330767324958</c:v>
                </c:pt>
                <c:pt idx="2">
                  <c:v>4046.2192078776429</c:v>
                </c:pt>
                <c:pt idx="3">
                  <c:v>289.00588269421263</c:v>
                </c:pt>
                <c:pt idx="4">
                  <c:v>1098.5301641931421</c:v>
                </c:pt>
                <c:pt idx="5">
                  <c:v>1302.1583768215594</c:v>
                </c:pt>
                <c:pt idx="6">
                  <c:v>20253.774782254121</c:v>
                </c:pt>
                <c:pt idx="7">
                  <c:v>225.62363475071032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41027</v>
      </c>
      <c r="B6" s="383"/>
      <c r="C6" s="384"/>
    </row>
    <row r="7" spans="1:7" s="381" customFormat="1" ht="15.75" customHeight="1">
      <c r="A7" s="385" t="str">
        <f>txtMunicipality</f>
        <v>HERZELE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11772.1404</v>
      </c>
      <c r="D10" s="983">
        <f ca="1">tertiair!C16</f>
        <v>62.357142857142847</v>
      </c>
      <c r="E10" s="983">
        <f ca="1">tertiair!D16</f>
        <v>7466.4940767001572</v>
      </c>
      <c r="F10" s="983">
        <f>tertiair!E16</f>
        <v>108.87143413947527</v>
      </c>
      <c r="G10" s="983">
        <f ca="1">tertiair!F16</f>
        <v>1482.4423737163488</v>
      </c>
      <c r="H10" s="983">
        <f>tertiair!G16</f>
        <v>0</v>
      </c>
      <c r="I10" s="983">
        <f>tertiair!H16</f>
        <v>0</v>
      </c>
      <c r="J10" s="983">
        <f>tertiair!I16</f>
        <v>0</v>
      </c>
      <c r="K10" s="983">
        <f>tertiair!J16</f>
        <v>0</v>
      </c>
      <c r="L10" s="983">
        <f>tertiair!K16</f>
        <v>0</v>
      </c>
      <c r="M10" s="983">
        <f ca="1">tertiair!L16</f>
        <v>0</v>
      </c>
      <c r="N10" s="983">
        <f>tertiair!M16</f>
        <v>0</v>
      </c>
      <c r="O10" s="983">
        <f ca="1">tertiair!N16</f>
        <v>476.21036183666627</v>
      </c>
      <c r="P10" s="983">
        <f>tertiair!O16</f>
        <v>1.5633333333333335</v>
      </c>
      <c r="Q10" s="984">
        <f>tertiair!P16</f>
        <v>19.066666666666666</v>
      </c>
      <c r="R10" s="667">
        <f ca="1">SUM(C10:Q10)</f>
        <v>21389.145789249793</v>
      </c>
      <c r="S10" s="67"/>
    </row>
    <row r="11" spans="1:19" s="440" customFormat="1">
      <c r="A11" s="776" t="s">
        <v>214</v>
      </c>
      <c r="B11" s="781"/>
      <c r="C11" s="983">
        <f>huishoudens!B8</f>
        <v>34223.752543379051</v>
      </c>
      <c r="D11" s="983">
        <f>huishoudens!C8</f>
        <v>0</v>
      </c>
      <c r="E11" s="983">
        <f>huishoudens!D8</f>
        <v>40420.165667010762</v>
      </c>
      <c r="F11" s="983">
        <f>huishoudens!E8</f>
        <v>2127.7746873004021</v>
      </c>
      <c r="G11" s="983">
        <f>huishoudens!F8</f>
        <v>67124.653141612071</v>
      </c>
      <c r="H11" s="983">
        <f>huishoudens!G8</f>
        <v>0</v>
      </c>
      <c r="I11" s="983">
        <f>huishoudens!H8</f>
        <v>0</v>
      </c>
      <c r="J11" s="983">
        <f>huishoudens!I8</f>
        <v>0</v>
      </c>
      <c r="K11" s="983">
        <f>huishoudens!J8</f>
        <v>1565.3443755338026</v>
      </c>
      <c r="L11" s="983">
        <f>huishoudens!K8</f>
        <v>0</v>
      </c>
      <c r="M11" s="983">
        <f>huishoudens!L8</f>
        <v>0</v>
      </c>
      <c r="N11" s="983">
        <f>huishoudens!M8</f>
        <v>0</v>
      </c>
      <c r="O11" s="983">
        <f>huishoudens!N8</f>
        <v>8790.512934731878</v>
      </c>
      <c r="P11" s="983">
        <f>huishoudens!O8</f>
        <v>253.26</v>
      </c>
      <c r="Q11" s="984">
        <f>huishoudens!P8</f>
        <v>457.6</v>
      </c>
      <c r="R11" s="667">
        <f>SUM(C11:Q11)</f>
        <v>154963.06334956799</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2635.9881100000002</v>
      </c>
      <c r="D13" s="983">
        <f>industrie!C18</f>
        <v>0</v>
      </c>
      <c r="E13" s="983">
        <f>industrie!D18</f>
        <v>1389.7571668974892</v>
      </c>
      <c r="F13" s="983">
        <f>industrie!E18</f>
        <v>286.0039514948603</v>
      </c>
      <c r="G13" s="983">
        <f>industrie!F18</f>
        <v>1545.94262838805</v>
      </c>
      <c r="H13" s="983">
        <f>industrie!G18</f>
        <v>0</v>
      </c>
      <c r="I13" s="983">
        <f>industrie!H18</f>
        <v>0</v>
      </c>
      <c r="J13" s="983">
        <f>industrie!I18</f>
        <v>0</v>
      </c>
      <c r="K13" s="983">
        <f>industrie!J18</f>
        <v>13.807129871844239</v>
      </c>
      <c r="L13" s="983">
        <f>industrie!K18</f>
        <v>0</v>
      </c>
      <c r="M13" s="983">
        <f>industrie!L18</f>
        <v>0</v>
      </c>
      <c r="N13" s="983">
        <f>industrie!M18</f>
        <v>0</v>
      </c>
      <c r="O13" s="983">
        <f>industrie!N18</f>
        <v>313.34815304211241</v>
      </c>
      <c r="P13" s="983">
        <f>industrie!O18</f>
        <v>0</v>
      </c>
      <c r="Q13" s="984">
        <f>industrie!P18</f>
        <v>0</v>
      </c>
      <c r="R13" s="667">
        <f>SUM(C13:Q13)</f>
        <v>6184.847139694356</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48631.881053379046</v>
      </c>
      <c r="D16" s="699">
        <f t="shared" ref="D16:R16" ca="1" si="0">SUM(D9:D15)</f>
        <v>62.357142857142847</v>
      </c>
      <c r="E16" s="699">
        <f t="shared" ca="1" si="0"/>
        <v>49276.416910608408</v>
      </c>
      <c r="F16" s="699">
        <f t="shared" si="0"/>
        <v>2522.6500729347376</v>
      </c>
      <c r="G16" s="699">
        <f t="shared" ca="1" si="0"/>
        <v>70153.038143716461</v>
      </c>
      <c r="H16" s="699">
        <f t="shared" si="0"/>
        <v>0</v>
      </c>
      <c r="I16" s="699">
        <f t="shared" si="0"/>
        <v>0</v>
      </c>
      <c r="J16" s="699">
        <f t="shared" si="0"/>
        <v>0</v>
      </c>
      <c r="K16" s="699">
        <f t="shared" si="0"/>
        <v>1579.1515054056467</v>
      </c>
      <c r="L16" s="699">
        <f t="shared" si="0"/>
        <v>0</v>
      </c>
      <c r="M16" s="699">
        <f t="shared" ca="1" si="0"/>
        <v>0</v>
      </c>
      <c r="N16" s="699">
        <f t="shared" si="0"/>
        <v>0</v>
      </c>
      <c r="O16" s="699">
        <f t="shared" ca="1" si="0"/>
        <v>9580.0714496106557</v>
      </c>
      <c r="P16" s="699">
        <f t="shared" si="0"/>
        <v>254.82333333333332</v>
      </c>
      <c r="Q16" s="699">
        <f t="shared" si="0"/>
        <v>476.66666666666669</v>
      </c>
      <c r="R16" s="699">
        <f t="shared" ca="1" si="0"/>
        <v>182537.05627851214</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4.4416376799228381</v>
      </c>
      <c r="D19" s="983">
        <f>transport!C54</f>
        <v>0</v>
      </c>
      <c r="E19" s="983">
        <f>transport!D54</f>
        <v>0</v>
      </c>
      <c r="F19" s="983">
        <f>transport!E54</f>
        <v>0</v>
      </c>
      <c r="G19" s="983">
        <f>transport!F54</f>
        <v>0</v>
      </c>
      <c r="H19" s="983">
        <f>transport!G54</f>
        <v>841.63173316469693</v>
      </c>
      <c r="I19" s="983">
        <f>transport!H54</f>
        <v>0</v>
      </c>
      <c r="J19" s="983">
        <f>transport!I54</f>
        <v>0</v>
      </c>
      <c r="K19" s="983">
        <f>transport!J54</f>
        <v>0</v>
      </c>
      <c r="L19" s="983">
        <f>transport!K54</f>
        <v>0</v>
      </c>
      <c r="M19" s="983">
        <f>transport!L54</f>
        <v>0</v>
      </c>
      <c r="N19" s="983">
        <f>transport!M54</f>
        <v>48.45108592932776</v>
      </c>
      <c r="O19" s="983">
        <f>transport!N54</f>
        <v>0</v>
      </c>
      <c r="P19" s="983">
        <f>transport!O54</f>
        <v>0</v>
      </c>
      <c r="Q19" s="984">
        <f>transport!P54</f>
        <v>0</v>
      </c>
      <c r="R19" s="667">
        <f>SUM(C19:Q19)</f>
        <v>894.52445677394746</v>
      </c>
      <c r="S19" s="67"/>
    </row>
    <row r="20" spans="1:19" s="440" customFormat="1">
      <c r="A20" s="776" t="s">
        <v>296</v>
      </c>
      <c r="B20" s="781"/>
      <c r="C20" s="983">
        <f>transport!B14</f>
        <v>12.279134432235223</v>
      </c>
      <c r="D20" s="983">
        <f>transport!C14</f>
        <v>0</v>
      </c>
      <c r="E20" s="983">
        <f>transport!D14</f>
        <v>21.088251932610515</v>
      </c>
      <c r="F20" s="983">
        <f>transport!E14</f>
        <v>203.28088738633448</v>
      </c>
      <c r="G20" s="983">
        <f>transport!F14</f>
        <v>0</v>
      </c>
      <c r="H20" s="983">
        <f>transport!G14</f>
        <v>64401.066856496014</v>
      </c>
      <c r="I20" s="983">
        <f>transport!H14</f>
        <v>12071.386489511682</v>
      </c>
      <c r="J20" s="983">
        <f>transport!I14</f>
        <v>0</v>
      </c>
      <c r="K20" s="983">
        <f>transport!J14</f>
        <v>0</v>
      </c>
      <c r="L20" s="983">
        <f>transport!K14</f>
        <v>0</v>
      </c>
      <c r="M20" s="983">
        <f>transport!L14</f>
        <v>0</v>
      </c>
      <c r="N20" s="983">
        <f>transport!M14</f>
        <v>4102.0022835713189</v>
      </c>
      <c r="O20" s="983">
        <f>transport!N14</f>
        <v>0</v>
      </c>
      <c r="P20" s="983">
        <f>transport!O14</f>
        <v>0</v>
      </c>
      <c r="Q20" s="984">
        <f>transport!P14</f>
        <v>0</v>
      </c>
      <c r="R20" s="667">
        <f>SUM(C20:Q20)</f>
        <v>80811.103903330193</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16.720772112158059</v>
      </c>
      <c r="D22" s="779">
        <f t="shared" ref="D22:R22" si="1">SUM(D18:D21)</f>
        <v>0</v>
      </c>
      <c r="E22" s="779">
        <f t="shared" si="1"/>
        <v>21.088251932610515</v>
      </c>
      <c r="F22" s="779">
        <f t="shared" si="1"/>
        <v>203.28088738633448</v>
      </c>
      <c r="G22" s="779">
        <f t="shared" si="1"/>
        <v>0</v>
      </c>
      <c r="H22" s="779">
        <f t="shared" si="1"/>
        <v>65242.698589660708</v>
      </c>
      <c r="I22" s="779">
        <f t="shared" si="1"/>
        <v>12071.386489511682</v>
      </c>
      <c r="J22" s="779">
        <f t="shared" si="1"/>
        <v>0</v>
      </c>
      <c r="K22" s="779">
        <f t="shared" si="1"/>
        <v>0</v>
      </c>
      <c r="L22" s="779">
        <f t="shared" si="1"/>
        <v>0</v>
      </c>
      <c r="M22" s="779">
        <f t="shared" si="1"/>
        <v>0</v>
      </c>
      <c r="N22" s="779">
        <f t="shared" si="1"/>
        <v>4150.4533695006467</v>
      </c>
      <c r="O22" s="779">
        <f t="shared" si="1"/>
        <v>0</v>
      </c>
      <c r="P22" s="779">
        <f t="shared" si="1"/>
        <v>0</v>
      </c>
      <c r="Q22" s="779">
        <f t="shared" si="1"/>
        <v>0</v>
      </c>
      <c r="R22" s="779">
        <f t="shared" si="1"/>
        <v>81705.628360104136</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1143.0952</v>
      </c>
      <c r="D24" s="983">
        <f>+landbouw!C8</f>
        <v>62.357142857142847</v>
      </c>
      <c r="E24" s="983">
        <f>+landbouw!D8</f>
        <v>128.95803724700616</v>
      </c>
      <c r="F24" s="983">
        <f>+landbouw!E8</f>
        <v>10.587826514679426</v>
      </c>
      <c r="G24" s="983">
        <f>+landbouw!F8</f>
        <v>2900.2502818121307</v>
      </c>
      <c r="H24" s="983">
        <f>+landbouw!G8</f>
        <v>0</v>
      </c>
      <c r="I24" s="983">
        <f>+landbouw!H8</f>
        <v>0</v>
      </c>
      <c r="J24" s="983">
        <f>+landbouw!I8</f>
        <v>0</v>
      </c>
      <c r="K24" s="983">
        <f>+landbouw!J8</f>
        <v>175.24925113966444</v>
      </c>
      <c r="L24" s="983">
        <f>+landbouw!K8</f>
        <v>0</v>
      </c>
      <c r="M24" s="983">
        <f>+landbouw!L8</f>
        <v>0</v>
      </c>
      <c r="N24" s="983">
        <f>+landbouw!M8</f>
        <v>0</v>
      </c>
      <c r="O24" s="983">
        <f>+landbouw!N8</f>
        <v>0</v>
      </c>
      <c r="P24" s="983">
        <f>+landbouw!O8</f>
        <v>0</v>
      </c>
      <c r="Q24" s="984">
        <f>+landbouw!P8</f>
        <v>0</v>
      </c>
      <c r="R24" s="667">
        <f>SUM(C24:Q24)</f>
        <v>4420.4977395706228</v>
      </c>
      <c r="S24" s="67"/>
    </row>
    <row r="25" spans="1:19" s="440" customFormat="1" ht="15" thickBot="1">
      <c r="A25" s="798" t="s">
        <v>829</v>
      </c>
      <c r="B25" s="986"/>
      <c r="C25" s="987">
        <f>IF(Onbekend_ele_kWh="---",0,Onbekend_ele_kWh)/1000+IF(REST_rest_ele_kWh="---",0,REST_rest_ele_kWh)/1000</f>
        <v>758.66680000000008</v>
      </c>
      <c r="D25" s="987"/>
      <c r="E25" s="987">
        <f>IF(onbekend_gas_kWh="---",0,onbekend_gas_kWh)/1000+IF(REST_rest_gas_kWh="---",0,REST_rest_gas_kWh)/1000</f>
        <v>1358.5567687412399</v>
      </c>
      <c r="F25" s="987"/>
      <c r="G25" s="987"/>
      <c r="H25" s="987"/>
      <c r="I25" s="987"/>
      <c r="J25" s="987"/>
      <c r="K25" s="987"/>
      <c r="L25" s="987"/>
      <c r="M25" s="987"/>
      <c r="N25" s="987"/>
      <c r="O25" s="987"/>
      <c r="P25" s="987"/>
      <c r="Q25" s="988"/>
      <c r="R25" s="667">
        <f>SUM(C25:Q25)</f>
        <v>2117.2235687412399</v>
      </c>
      <c r="S25" s="67"/>
    </row>
    <row r="26" spans="1:19" s="440" customFormat="1" ht="15.75" thickBot="1">
      <c r="A26" s="672" t="s">
        <v>830</v>
      </c>
      <c r="B26" s="784"/>
      <c r="C26" s="779">
        <f>SUM(C24:C25)</f>
        <v>1901.7620000000002</v>
      </c>
      <c r="D26" s="779">
        <f t="shared" ref="D26:R26" si="2">SUM(D24:D25)</f>
        <v>62.357142857142847</v>
      </c>
      <c r="E26" s="779">
        <f t="shared" si="2"/>
        <v>1487.5148059882461</v>
      </c>
      <c r="F26" s="779">
        <f t="shared" si="2"/>
        <v>10.587826514679426</v>
      </c>
      <c r="G26" s="779">
        <f t="shared" si="2"/>
        <v>2900.2502818121307</v>
      </c>
      <c r="H26" s="779">
        <f t="shared" si="2"/>
        <v>0</v>
      </c>
      <c r="I26" s="779">
        <f t="shared" si="2"/>
        <v>0</v>
      </c>
      <c r="J26" s="779">
        <f t="shared" si="2"/>
        <v>0</v>
      </c>
      <c r="K26" s="779">
        <f t="shared" si="2"/>
        <v>175.24925113966444</v>
      </c>
      <c r="L26" s="779">
        <f t="shared" si="2"/>
        <v>0</v>
      </c>
      <c r="M26" s="779">
        <f t="shared" si="2"/>
        <v>0</v>
      </c>
      <c r="N26" s="779">
        <f t="shared" si="2"/>
        <v>0</v>
      </c>
      <c r="O26" s="779">
        <f t="shared" si="2"/>
        <v>0</v>
      </c>
      <c r="P26" s="779">
        <f t="shared" si="2"/>
        <v>0</v>
      </c>
      <c r="Q26" s="779">
        <f t="shared" si="2"/>
        <v>0</v>
      </c>
      <c r="R26" s="779">
        <f t="shared" si="2"/>
        <v>6537.7213083118622</v>
      </c>
      <c r="S26" s="67"/>
    </row>
    <row r="27" spans="1:19" s="440" customFormat="1" ht="17.25" thickTop="1" thickBot="1">
      <c r="A27" s="673" t="s">
        <v>109</v>
      </c>
      <c r="B27" s="772"/>
      <c r="C27" s="674">
        <f ca="1">C22+C16+C26</f>
        <v>50550.363825491208</v>
      </c>
      <c r="D27" s="674">
        <f t="shared" ref="D27:R27" ca="1" si="3">D22+D16+D26</f>
        <v>124.71428571428569</v>
      </c>
      <c r="E27" s="674">
        <f t="shared" ca="1" si="3"/>
        <v>50785.019968529268</v>
      </c>
      <c r="F27" s="674">
        <f t="shared" si="3"/>
        <v>2736.5187868357516</v>
      </c>
      <c r="G27" s="674">
        <f t="shared" ca="1" si="3"/>
        <v>73053.28842552859</v>
      </c>
      <c r="H27" s="674">
        <f t="shared" si="3"/>
        <v>65242.698589660708</v>
      </c>
      <c r="I27" s="674">
        <f t="shared" si="3"/>
        <v>12071.386489511682</v>
      </c>
      <c r="J27" s="674">
        <f t="shared" si="3"/>
        <v>0</v>
      </c>
      <c r="K27" s="674">
        <f t="shared" si="3"/>
        <v>1754.4007565453112</v>
      </c>
      <c r="L27" s="674">
        <f t="shared" si="3"/>
        <v>0</v>
      </c>
      <c r="M27" s="674">
        <f t="shared" ca="1" si="3"/>
        <v>0</v>
      </c>
      <c r="N27" s="674">
        <f t="shared" si="3"/>
        <v>4150.4533695006467</v>
      </c>
      <c r="O27" s="674">
        <f t="shared" ca="1" si="3"/>
        <v>9580.0714496106557</v>
      </c>
      <c r="P27" s="674">
        <f t="shared" si="3"/>
        <v>254.82333333333332</v>
      </c>
      <c r="Q27" s="674">
        <f t="shared" si="3"/>
        <v>476.66666666666669</v>
      </c>
      <c r="R27" s="674">
        <f t="shared" ca="1" si="3"/>
        <v>270780.40594692813</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2406.4673577464978</v>
      </c>
      <c r="D40" s="983">
        <f ca="1">tertiair!C20</f>
        <v>0</v>
      </c>
      <c r="E40" s="983">
        <f ca="1">tertiair!D20</f>
        <v>1508.2318034934319</v>
      </c>
      <c r="F40" s="983">
        <f>tertiair!E20</f>
        <v>24.713815549660886</v>
      </c>
      <c r="G40" s="983">
        <f ca="1">tertiair!F20</f>
        <v>395.81211378226516</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4335.2250905718556</v>
      </c>
    </row>
    <row r="41" spans="1:18">
      <c r="A41" s="789" t="s">
        <v>214</v>
      </c>
      <c r="B41" s="796"/>
      <c r="C41" s="983">
        <f ca="1">huishoudens!B12</f>
        <v>6996.0381508222054</v>
      </c>
      <c r="D41" s="983">
        <f ca="1">huishoudens!C12</f>
        <v>0</v>
      </c>
      <c r="E41" s="983">
        <f>huishoudens!D12</f>
        <v>8164.8734647361744</v>
      </c>
      <c r="F41" s="983">
        <f>huishoudens!E12</f>
        <v>483.00485401719129</v>
      </c>
      <c r="G41" s="983">
        <f>huishoudens!F12</f>
        <v>17922.282388810425</v>
      </c>
      <c r="H41" s="983">
        <f>huishoudens!G12</f>
        <v>0</v>
      </c>
      <c r="I41" s="983">
        <f>huishoudens!H12</f>
        <v>0</v>
      </c>
      <c r="J41" s="983">
        <f>huishoudens!I12</f>
        <v>0</v>
      </c>
      <c r="K41" s="983">
        <f>huishoudens!J12</f>
        <v>554.13190893896603</v>
      </c>
      <c r="L41" s="983">
        <f>huishoudens!K12</f>
        <v>0</v>
      </c>
      <c r="M41" s="983">
        <f>huishoudens!L12</f>
        <v>0</v>
      </c>
      <c r="N41" s="983">
        <f>huishoudens!M12</f>
        <v>0</v>
      </c>
      <c r="O41" s="983">
        <f>huishoudens!N12</f>
        <v>0</v>
      </c>
      <c r="P41" s="983">
        <f>huishoudens!O12</f>
        <v>0</v>
      </c>
      <c r="Q41" s="741">
        <f>huishoudens!P12</f>
        <v>0</v>
      </c>
      <c r="R41" s="817">
        <f t="shared" ca="1" si="4"/>
        <v>34120.330767324958</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538.85012636469116</v>
      </c>
      <c r="D43" s="983">
        <f ca="1">industrie!C22</f>
        <v>0</v>
      </c>
      <c r="E43" s="983">
        <f>industrie!D22</f>
        <v>280.73094771329284</v>
      </c>
      <c r="F43" s="983">
        <f>industrie!E22</f>
        <v>64.922896989333296</v>
      </c>
      <c r="G43" s="983">
        <f>industrie!F22</f>
        <v>412.76668177960937</v>
      </c>
      <c r="H43" s="983">
        <f>industrie!G22</f>
        <v>0</v>
      </c>
      <c r="I43" s="983">
        <f>industrie!H22</f>
        <v>0</v>
      </c>
      <c r="J43" s="983">
        <f>industrie!I22</f>
        <v>0</v>
      </c>
      <c r="K43" s="983">
        <f>industrie!J22</f>
        <v>4.88772397463286</v>
      </c>
      <c r="L43" s="983">
        <f>industrie!K22</f>
        <v>0</v>
      </c>
      <c r="M43" s="983">
        <f>industrie!L22</f>
        <v>0</v>
      </c>
      <c r="N43" s="983">
        <f>industrie!M22</f>
        <v>0</v>
      </c>
      <c r="O43" s="983">
        <f>industrie!N22</f>
        <v>0</v>
      </c>
      <c r="P43" s="983">
        <f>industrie!O22</f>
        <v>0</v>
      </c>
      <c r="Q43" s="741">
        <f>industrie!P22</f>
        <v>0</v>
      </c>
      <c r="R43" s="816">
        <f t="shared" ca="1" si="4"/>
        <v>1302.1583768215594</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9941.355634933394</v>
      </c>
      <c r="D46" s="699">
        <f t="shared" ref="D46:Q46" ca="1" si="5">SUM(D39:D45)</f>
        <v>0</v>
      </c>
      <c r="E46" s="699">
        <f t="shared" ca="1" si="5"/>
        <v>9953.8362159428998</v>
      </c>
      <c r="F46" s="699">
        <f t="shared" si="5"/>
        <v>572.64156655618547</v>
      </c>
      <c r="G46" s="699">
        <f t="shared" ca="1" si="5"/>
        <v>18730.861184372297</v>
      </c>
      <c r="H46" s="699">
        <f t="shared" si="5"/>
        <v>0</v>
      </c>
      <c r="I46" s="699">
        <f t="shared" si="5"/>
        <v>0</v>
      </c>
      <c r="J46" s="699">
        <f t="shared" si="5"/>
        <v>0</v>
      </c>
      <c r="K46" s="699">
        <f t="shared" si="5"/>
        <v>559.01963291359891</v>
      </c>
      <c r="L46" s="699">
        <f t="shared" si="5"/>
        <v>0</v>
      </c>
      <c r="M46" s="699">
        <f t="shared" ca="1" si="5"/>
        <v>0</v>
      </c>
      <c r="N46" s="699">
        <f t="shared" si="5"/>
        <v>0</v>
      </c>
      <c r="O46" s="699">
        <f t="shared" ca="1" si="5"/>
        <v>0</v>
      </c>
      <c r="P46" s="699">
        <f t="shared" si="5"/>
        <v>0</v>
      </c>
      <c r="Q46" s="699">
        <f t="shared" si="5"/>
        <v>0</v>
      </c>
      <c r="R46" s="699">
        <f ca="1">SUM(R39:R45)</f>
        <v>39757.714234718369</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0.90796199573623826</v>
      </c>
      <c r="D49" s="983">
        <f ca="1">transport!C58</f>
        <v>0</v>
      </c>
      <c r="E49" s="983">
        <f>transport!D58</f>
        <v>0</v>
      </c>
      <c r="F49" s="983">
        <f>transport!E58</f>
        <v>0</v>
      </c>
      <c r="G49" s="983">
        <f>transport!F58</f>
        <v>0</v>
      </c>
      <c r="H49" s="983">
        <f>transport!G58</f>
        <v>224.71567275497409</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225.62363475071032</v>
      </c>
    </row>
    <row r="50" spans="1:18">
      <c r="A50" s="792" t="s">
        <v>296</v>
      </c>
      <c r="B50" s="802"/>
      <c r="C50" s="670">
        <f ca="1">transport!B18</f>
        <v>2.5101073541864265</v>
      </c>
      <c r="D50" s="670">
        <f>transport!C18</f>
        <v>0</v>
      </c>
      <c r="E50" s="670">
        <f>transport!D18</f>
        <v>4.2598268903873242</v>
      </c>
      <c r="F50" s="670">
        <f>transport!E18</f>
        <v>46.144761436697927</v>
      </c>
      <c r="G50" s="670">
        <f>transport!F18</f>
        <v>0</v>
      </c>
      <c r="H50" s="670">
        <f>transport!G18</f>
        <v>17195.084850684438</v>
      </c>
      <c r="I50" s="670">
        <f>transport!H18</f>
        <v>3005.775235888409</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20253.774782254121</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3.4180693499226646</v>
      </c>
      <c r="D52" s="699">
        <f t="shared" ref="D52:Q52" ca="1" si="6">SUM(D48:D51)</f>
        <v>0</v>
      </c>
      <c r="E52" s="699">
        <f t="shared" si="6"/>
        <v>4.2598268903873242</v>
      </c>
      <c r="F52" s="699">
        <f t="shared" si="6"/>
        <v>46.144761436697927</v>
      </c>
      <c r="G52" s="699">
        <f t="shared" si="6"/>
        <v>0</v>
      </c>
      <c r="H52" s="699">
        <f t="shared" si="6"/>
        <v>17419.800523439411</v>
      </c>
      <c r="I52" s="699">
        <f t="shared" si="6"/>
        <v>3005.775235888409</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20479.398417004832</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233.67214390313461</v>
      </c>
      <c r="D54" s="670">
        <f ca="1">+landbouw!C12</f>
        <v>0</v>
      </c>
      <c r="E54" s="670">
        <f>+landbouw!D12</f>
        <v>26.049523523895246</v>
      </c>
      <c r="F54" s="670">
        <f>+landbouw!E12</f>
        <v>2.4034366188322296</v>
      </c>
      <c r="G54" s="670">
        <f>+landbouw!F12</f>
        <v>774.36682524383889</v>
      </c>
      <c r="H54" s="670">
        <f>+landbouw!G12</f>
        <v>0</v>
      </c>
      <c r="I54" s="670">
        <f>+landbouw!H12</f>
        <v>0</v>
      </c>
      <c r="J54" s="670">
        <f>+landbouw!I12</f>
        <v>0</v>
      </c>
      <c r="K54" s="670">
        <f>+landbouw!J12</f>
        <v>62.038234903441207</v>
      </c>
      <c r="L54" s="670">
        <f>+landbouw!K12</f>
        <v>0</v>
      </c>
      <c r="M54" s="670">
        <f>+landbouw!L12</f>
        <v>0</v>
      </c>
      <c r="N54" s="670">
        <f>+landbouw!M12</f>
        <v>0</v>
      </c>
      <c r="O54" s="670">
        <f>+landbouw!N12</f>
        <v>0</v>
      </c>
      <c r="P54" s="670">
        <f>+landbouw!O12</f>
        <v>0</v>
      </c>
      <c r="Q54" s="671">
        <f>+landbouw!P12</f>
        <v>0</v>
      </c>
      <c r="R54" s="698">
        <f ca="1">SUM(C54:Q54)</f>
        <v>1098.5301641931421</v>
      </c>
    </row>
    <row r="55" spans="1:18" ht="15" thickBot="1">
      <c r="A55" s="792" t="s">
        <v>829</v>
      </c>
      <c r="B55" s="802"/>
      <c r="C55" s="670">
        <f ca="1">C25*'EF ele_warmte'!B12</f>
        <v>155.08708081718012</v>
      </c>
      <c r="D55" s="670"/>
      <c r="E55" s="670">
        <f>E25*EF_CO2_aardgas</f>
        <v>274.42846728573051</v>
      </c>
      <c r="F55" s="670"/>
      <c r="G55" s="670"/>
      <c r="H55" s="670"/>
      <c r="I55" s="670"/>
      <c r="J55" s="670"/>
      <c r="K55" s="670"/>
      <c r="L55" s="670"/>
      <c r="M55" s="670"/>
      <c r="N55" s="670"/>
      <c r="O55" s="670"/>
      <c r="P55" s="670"/>
      <c r="Q55" s="671"/>
      <c r="R55" s="698">
        <f ca="1">SUM(C55:Q55)</f>
        <v>429.51554810291066</v>
      </c>
    </row>
    <row r="56" spans="1:18" ht="15.75" thickBot="1">
      <c r="A56" s="790" t="s">
        <v>830</v>
      </c>
      <c r="B56" s="803"/>
      <c r="C56" s="699">
        <f ca="1">SUM(C54:C55)</f>
        <v>388.75922472031471</v>
      </c>
      <c r="D56" s="699">
        <f t="shared" ref="D56:Q56" ca="1" si="7">SUM(D54:D55)</f>
        <v>0</v>
      </c>
      <c r="E56" s="699">
        <f t="shared" si="7"/>
        <v>300.47799080962574</v>
      </c>
      <c r="F56" s="699">
        <f t="shared" si="7"/>
        <v>2.4034366188322296</v>
      </c>
      <c r="G56" s="699">
        <f t="shared" si="7"/>
        <v>774.36682524383889</v>
      </c>
      <c r="H56" s="699">
        <f t="shared" si="7"/>
        <v>0</v>
      </c>
      <c r="I56" s="699">
        <f t="shared" si="7"/>
        <v>0</v>
      </c>
      <c r="J56" s="699">
        <f t="shared" si="7"/>
        <v>0</v>
      </c>
      <c r="K56" s="699">
        <f t="shared" si="7"/>
        <v>62.038234903441207</v>
      </c>
      <c r="L56" s="699">
        <f t="shared" si="7"/>
        <v>0</v>
      </c>
      <c r="M56" s="699">
        <f t="shared" si="7"/>
        <v>0</v>
      </c>
      <c r="N56" s="699">
        <f t="shared" si="7"/>
        <v>0</v>
      </c>
      <c r="O56" s="699">
        <f t="shared" si="7"/>
        <v>0</v>
      </c>
      <c r="P56" s="699">
        <f t="shared" si="7"/>
        <v>0</v>
      </c>
      <c r="Q56" s="700">
        <f t="shared" si="7"/>
        <v>0</v>
      </c>
      <c r="R56" s="701">
        <f ca="1">SUM(R54:R55)</f>
        <v>1528.0457122960529</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10333.532929003632</v>
      </c>
      <c r="D61" s="707">
        <f t="shared" ref="D61:Q61" ca="1" si="8">D46+D52+D56</f>
        <v>0</v>
      </c>
      <c r="E61" s="707">
        <f t="shared" ca="1" si="8"/>
        <v>10258.574033642913</v>
      </c>
      <c r="F61" s="707">
        <f t="shared" si="8"/>
        <v>621.18976461171553</v>
      </c>
      <c r="G61" s="707">
        <f t="shared" ca="1" si="8"/>
        <v>19505.228009616138</v>
      </c>
      <c r="H61" s="707">
        <f t="shared" si="8"/>
        <v>17419.800523439411</v>
      </c>
      <c r="I61" s="707">
        <f t="shared" si="8"/>
        <v>3005.775235888409</v>
      </c>
      <c r="J61" s="707">
        <f t="shared" si="8"/>
        <v>0</v>
      </c>
      <c r="K61" s="707">
        <f t="shared" si="8"/>
        <v>621.05786781704012</v>
      </c>
      <c r="L61" s="707">
        <f t="shared" si="8"/>
        <v>0</v>
      </c>
      <c r="M61" s="707">
        <f t="shared" ca="1" si="8"/>
        <v>0</v>
      </c>
      <c r="N61" s="707">
        <f t="shared" si="8"/>
        <v>0</v>
      </c>
      <c r="O61" s="707">
        <f t="shared" ca="1" si="8"/>
        <v>0</v>
      </c>
      <c r="P61" s="707">
        <f t="shared" si="8"/>
        <v>0</v>
      </c>
      <c r="Q61" s="707">
        <f t="shared" si="8"/>
        <v>0</v>
      </c>
      <c r="R61" s="707">
        <f ca="1">R46+R52+R56</f>
        <v>61765.158364019255</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0.20442054511569518</v>
      </c>
      <c r="D63" s="748">
        <f t="shared" ca="1" si="9"/>
        <v>0</v>
      </c>
      <c r="E63" s="994">
        <f t="shared" ca="1" si="9"/>
        <v>0.20200000000000001</v>
      </c>
      <c r="F63" s="748">
        <f t="shared" si="9"/>
        <v>0.22699999999999998</v>
      </c>
      <c r="G63" s="748">
        <f t="shared" ca="1" si="9"/>
        <v>0.26700000000000007</v>
      </c>
      <c r="H63" s="748">
        <f t="shared" si="9"/>
        <v>0.26700000000000002</v>
      </c>
      <c r="I63" s="748">
        <f t="shared" si="9"/>
        <v>0.24900000000000003</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3704.9962734385731</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87.299999999999983</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102.70588235294116</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3792.2962734385733</v>
      </c>
      <c r="C78" s="722">
        <f>SUM(C72:C77)</f>
        <v>0</v>
      </c>
      <c r="D78" s="723">
        <f t="shared" ref="D78:H78" si="10">SUM(D76:D77)</f>
        <v>0</v>
      </c>
      <c r="E78" s="723">
        <f t="shared" si="10"/>
        <v>0</v>
      </c>
      <c r="F78" s="723">
        <f t="shared" si="10"/>
        <v>0</v>
      </c>
      <c r="G78" s="723">
        <f t="shared" si="10"/>
        <v>0</v>
      </c>
      <c r="H78" s="723">
        <f t="shared" si="10"/>
        <v>0</v>
      </c>
      <c r="I78" s="723">
        <f>SUM(I76:I77)</f>
        <v>0</v>
      </c>
      <c r="J78" s="723">
        <f>SUM(J76:J77)</f>
        <v>102.70588235294116</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124.71428571428569</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146.72268907563023</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124.71428571428569</v>
      </c>
      <c r="C90" s="722">
        <f>SUM(C87:C89)</f>
        <v>0</v>
      </c>
      <c r="D90" s="722">
        <f t="shared" ref="D90:H90" si="12">SUM(D87:D89)</f>
        <v>0</v>
      </c>
      <c r="E90" s="722">
        <f t="shared" si="12"/>
        <v>0</v>
      </c>
      <c r="F90" s="722">
        <f t="shared" si="12"/>
        <v>0</v>
      </c>
      <c r="G90" s="722">
        <f t="shared" si="12"/>
        <v>0</v>
      </c>
      <c r="H90" s="722">
        <f t="shared" si="12"/>
        <v>0</v>
      </c>
      <c r="I90" s="722">
        <f>SUM(I87:I89)</f>
        <v>0</v>
      </c>
      <c r="J90" s="722">
        <f>SUM(J87:J89)</f>
        <v>146.72268907563023</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34223.752543379051</v>
      </c>
      <c r="C4" s="444">
        <f>huishoudens!C8</f>
        <v>0</v>
      </c>
      <c r="D4" s="444">
        <f>huishoudens!D8</f>
        <v>40420.165667010762</v>
      </c>
      <c r="E4" s="444">
        <f>huishoudens!E8</f>
        <v>2127.7746873004021</v>
      </c>
      <c r="F4" s="444">
        <f>huishoudens!F8</f>
        <v>67124.653141612071</v>
      </c>
      <c r="G4" s="444">
        <f>huishoudens!G8</f>
        <v>0</v>
      </c>
      <c r="H4" s="444">
        <f>huishoudens!H8</f>
        <v>0</v>
      </c>
      <c r="I4" s="444">
        <f>huishoudens!I8</f>
        <v>0</v>
      </c>
      <c r="J4" s="444">
        <f>huishoudens!J8</f>
        <v>1565.3443755338026</v>
      </c>
      <c r="K4" s="444">
        <f>huishoudens!K8</f>
        <v>0</v>
      </c>
      <c r="L4" s="444">
        <f>huishoudens!L8</f>
        <v>0</v>
      </c>
      <c r="M4" s="444">
        <f>huishoudens!M8</f>
        <v>0</v>
      </c>
      <c r="N4" s="444">
        <f>huishoudens!N8</f>
        <v>8790.512934731878</v>
      </c>
      <c r="O4" s="444">
        <f>huishoudens!O8</f>
        <v>253.26</v>
      </c>
      <c r="P4" s="445">
        <f>huishoudens!P8</f>
        <v>457.6</v>
      </c>
      <c r="Q4" s="446">
        <f>SUM(B4:P4)</f>
        <v>154963.06334956799</v>
      </c>
    </row>
    <row r="5" spans="1:17">
      <c r="A5" s="443" t="s">
        <v>149</v>
      </c>
      <c r="B5" s="444">
        <f ca="1">tertiair!B16</f>
        <v>10358.359399999999</v>
      </c>
      <c r="C5" s="444">
        <f ca="1">tertiair!C16</f>
        <v>62.357142857142847</v>
      </c>
      <c r="D5" s="444">
        <f ca="1">tertiair!D16</f>
        <v>7466.4940767001572</v>
      </c>
      <c r="E5" s="444">
        <f>tertiair!E16</f>
        <v>108.87143413947527</v>
      </c>
      <c r="F5" s="444">
        <f ca="1">tertiair!F16</f>
        <v>1482.4423737163488</v>
      </c>
      <c r="G5" s="444">
        <f>tertiair!G16</f>
        <v>0</v>
      </c>
      <c r="H5" s="444">
        <f>tertiair!H16</f>
        <v>0</v>
      </c>
      <c r="I5" s="444">
        <f>tertiair!I16</f>
        <v>0</v>
      </c>
      <c r="J5" s="444">
        <f>tertiair!J16</f>
        <v>0</v>
      </c>
      <c r="K5" s="444">
        <f>tertiair!K16</f>
        <v>0</v>
      </c>
      <c r="L5" s="444">
        <f ca="1">tertiair!L16</f>
        <v>0</v>
      </c>
      <c r="M5" s="444">
        <f>tertiair!M16</f>
        <v>0</v>
      </c>
      <c r="N5" s="444">
        <f ca="1">tertiair!N16</f>
        <v>476.21036183666627</v>
      </c>
      <c r="O5" s="444">
        <f>tertiair!O16</f>
        <v>1.5633333333333335</v>
      </c>
      <c r="P5" s="445">
        <f>tertiair!P16</f>
        <v>19.066666666666666</v>
      </c>
      <c r="Q5" s="443">
        <f t="shared" ref="Q5:Q14" ca="1" si="0">SUM(B5:P5)</f>
        <v>19975.36478924979</v>
      </c>
    </row>
    <row r="6" spans="1:17">
      <c r="A6" s="443" t="s">
        <v>187</v>
      </c>
      <c r="B6" s="444">
        <f>'openbare verlichting'!B8</f>
        <v>1413.7809999999999</v>
      </c>
      <c r="C6" s="444"/>
      <c r="D6" s="444"/>
      <c r="E6" s="444"/>
      <c r="F6" s="444"/>
      <c r="G6" s="444"/>
      <c r="H6" s="444"/>
      <c r="I6" s="444"/>
      <c r="J6" s="444"/>
      <c r="K6" s="444"/>
      <c r="L6" s="444"/>
      <c r="M6" s="444"/>
      <c r="N6" s="444"/>
      <c r="O6" s="444"/>
      <c r="P6" s="445"/>
      <c r="Q6" s="443">
        <f t="shared" si="0"/>
        <v>1413.7809999999999</v>
      </c>
    </row>
    <row r="7" spans="1:17">
      <c r="A7" s="443" t="s">
        <v>105</v>
      </c>
      <c r="B7" s="444">
        <f>landbouw!B8</f>
        <v>1143.0952</v>
      </c>
      <c r="C7" s="444">
        <f>landbouw!C8</f>
        <v>62.357142857142847</v>
      </c>
      <c r="D7" s="444">
        <f>landbouw!D8</f>
        <v>128.95803724700616</v>
      </c>
      <c r="E7" s="444">
        <f>landbouw!E8</f>
        <v>10.587826514679426</v>
      </c>
      <c r="F7" s="444">
        <f>landbouw!F8</f>
        <v>2900.2502818121307</v>
      </c>
      <c r="G7" s="444">
        <f>landbouw!G8</f>
        <v>0</v>
      </c>
      <c r="H7" s="444">
        <f>landbouw!H8</f>
        <v>0</v>
      </c>
      <c r="I7" s="444">
        <f>landbouw!I8</f>
        <v>0</v>
      </c>
      <c r="J7" s="444">
        <f>landbouw!J8</f>
        <v>175.24925113966444</v>
      </c>
      <c r="K7" s="444">
        <f>landbouw!K8</f>
        <v>0</v>
      </c>
      <c r="L7" s="444">
        <f>landbouw!L8</f>
        <v>0</v>
      </c>
      <c r="M7" s="444">
        <f>landbouw!M8</f>
        <v>0</v>
      </c>
      <c r="N7" s="444">
        <f>landbouw!N8</f>
        <v>0</v>
      </c>
      <c r="O7" s="444">
        <f>landbouw!O8</f>
        <v>0</v>
      </c>
      <c r="P7" s="445">
        <f>landbouw!P8</f>
        <v>0</v>
      </c>
      <c r="Q7" s="443">
        <f t="shared" si="0"/>
        <v>4420.4977395706228</v>
      </c>
    </row>
    <row r="8" spans="1:17">
      <c r="A8" s="443" t="s">
        <v>637</v>
      </c>
      <c r="B8" s="444">
        <f>industrie!B18</f>
        <v>2635.9881100000002</v>
      </c>
      <c r="C8" s="444">
        <f>industrie!C18</f>
        <v>0</v>
      </c>
      <c r="D8" s="444">
        <f>industrie!D18</f>
        <v>1389.7571668974892</v>
      </c>
      <c r="E8" s="444">
        <f>industrie!E18</f>
        <v>286.0039514948603</v>
      </c>
      <c r="F8" s="444">
        <f>industrie!F18</f>
        <v>1545.94262838805</v>
      </c>
      <c r="G8" s="444">
        <f>industrie!G18</f>
        <v>0</v>
      </c>
      <c r="H8" s="444">
        <f>industrie!H18</f>
        <v>0</v>
      </c>
      <c r="I8" s="444">
        <f>industrie!I18</f>
        <v>0</v>
      </c>
      <c r="J8" s="444">
        <f>industrie!J18</f>
        <v>13.807129871844239</v>
      </c>
      <c r="K8" s="444">
        <f>industrie!K18</f>
        <v>0</v>
      </c>
      <c r="L8" s="444">
        <f>industrie!L18</f>
        <v>0</v>
      </c>
      <c r="M8" s="444">
        <f>industrie!M18</f>
        <v>0</v>
      </c>
      <c r="N8" s="444">
        <f>industrie!N18</f>
        <v>313.34815304211241</v>
      </c>
      <c r="O8" s="444">
        <f>industrie!O18</f>
        <v>0</v>
      </c>
      <c r="P8" s="445">
        <f>industrie!P18</f>
        <v>0</v>
      </c>
      <c r="Q8" s="443">
        <f t="shared" si="0"/>
        <v>6184.847139694356</v>
      </c>
    </row>
    <row r="9" spans="1:17" s="449" customFormat="1">
      <c r="A9" s="447" t="s">
        <v>558</v>
      </c>
      <c r="B9" s="448">
        <f>transport!B14</f>
        <v>12.279134432235223</v>
      </c>
      <c r="C9" s="448">
        <f>transport!C14</f>
        <v>0</v>
      </c>
      <c r="D9" s="448">
        <f>transport!D14</f>
        <v>21.088251932610515</v>
      </c>
      <c r="E9" s="448">
        <f>transport!E14</f>
        <v>203.28088738633448</v>
      </c>
      <c r="F9" s="448">
        <f>transport!F14</f>
        <v>0</v>
      </c>
      <c r="G9" s="448">
        <f>transport!G14</f>
        <v>64401.066856496014</v>
      </c>
      <c r="H9" s="448">
        <f>transport!H14</f>
        <v>12071.386489511682</v>
      </c>
      <c r="I9" s="448">
        <f>transport!I14</f>
        <v>0</v>
      </c>
      <c r="J9" s="448">
        <f>transport!J14</f>
        <v>0</v>
      </c>
      <c r="K9" s="448">
        <f>transport!K14</f>
        <v>0</v>
      </c>
      <c r="L9" s="448">
        <f>transport!L14</f>
        <v>0</v>
      </c>
      <c r="M9" s="448">
        <f>transport!M14</f>
        <v>4102.0022835713189</v>
      </c>
      <c r="N9" s="448">
        <f>transport!N14</f>
        <v>0</v>
      </c>
      <c r="O9" s="448">
        <f>transport!O14</f>
        <v>0</v>
      </c>
      <c r="P9" s="448">
        <f>transport!P14</f>
        <v>0</v>
      </c>
      <c r="Q9" s="447">
        <f>SUM(B9:P9)</f>
        <v>80811.103903330193</v>
      </c>
    </row>
    <row r="10" spans="1:17">
      <c r="A10" s="443" t="s">
        <v>548</v>
      </c>
      <c r="B10" s="444">
        <f>transport!B54</f>
        <v>4.4416376799228381</v>
      </c>
      <c r="C10" s="444">
        <f>transport!C54</f>
        <v>0</v>
      </c>
      <c r="D10" s="444">
        <f>transport!D54</f>
        <v>0</v>
      </c>
      <c r="E10" s="444">
        <f>transport!E54</f>
        <v>0</v>
      </c>
      <c r="F10" s="444">
        <f>transport!F54</f>
        <v>0</v>
      </c>
      <c r="G10" s="444">
        <f>transport!G54</f>
        <v>841.63173316469693</v>
      </c>
      <c r="H10" s="444">
        <f>transport!H54</f>
        <v>0</v>
      </c>
      <c r="I10" s="444">
        <f>transport!I54</f>
        <v>0</v>
      </c>
      <c r="J10" s="444">
        <f>transport!J54</f>
        <v>0</v>
      </c>
      <c r="K10" s="444">
        <f>transport!K54</f>
        <v>0</v>
      </c>
      <c r="L10" s="444">
        <f>transport!L54</f>
        <v>0</v>
      </c>
      <c r="M10" s="444">
        <f>transport!M54</f>
        <v>48.45108592932776</v>
      </c>
      <c r="N10" s="444">
        <f>transport!N54</f>
        <v>0</v>
      </c>
      <c r="O10" s="444">
        <f>transport!O54</f>
        <v>0</v>
      </c>
      <c r="P10" s="445">
        <f>transport!P54</f>
        <v>0</v>
      </c>
      <c r="Q10" s="443">
        <f t="shared" si="0"/>
        <v>894.52445677394746</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758.66680000000008</v>
      </c>
      <c r="C14" s="451"/>
      <c r="D14" s="451">
        <f>'SEAP template'!E25</f>
        <v>1358.5567687412399</v>
      </c>
      <c r="E14" s="451"/>
      <c r="F14" s="451"/>
      <c r="G14" s="451"/>
      <c r="H14" s="451"/>
      <c r="I14" s="451"/>
      <c r="J14" s="451"/>
      <c r="K14" s="451"/>
      <c r="L14" s="451"/>
      <c r="M14" s="451"/>
      <c r="N14" s="451"/>
      <c r="O14" s="451"/>
      <c r="P14" s="452"/>
      <c r="Q14" s="443">
        <f t="shared" si="0"/>
        <v>2117.2235687412399</v>
      </c>
    </row>
    <row r="15" spans="1:17" s="453" customFormat="1">
      <c r="A15" s="1009" t="s">
        <v>552</v>
      </c>
      <c r="B15" s="949">
        <f ca="1">SUM(B4:B14)</f>
        <v>50550.363825491208</v>
      </c>
      <c r="C15" s="949">
        <f t="shared" ref="C15:Q15" ca="1" si="1">SUM(C4:C14)</f>
        <v>124.71428571428569</v>
      </c>
      <c r="D15" s="949">
        <f t="shared" ca="1" si="1"/>
        <v>50785.019968529268</v>
      </c>
      <c r="E15" s="949">
        <f t="shared" si="1"/>
        <v>2736.5187868357516</v>
      </c>
      <c r="F15" s="949">
        <f t="shared" ca="1" si="1"/>
        <v>73053.28842552859</v>
      </c>
      <c r="G15" s="949">
        <f t="shared" si="1"/>
        <v>65242.698589660708</v>
      </c>
      <c r="H15" s="949">
        <f t="shared" si="1"/>
        <v>12071.386489511682</v>
      </c>
      <c r="I15" s="949">
        <f t="shared" si="1"/>
        <v>0</v>
      </c>
      <c r="J15" s="949">
        <f t="shared" si="1"/>
        <v>1754.4007565453112</v>
      </c>
      <c r="K15" s="949">
        <f t="shared" si="1"/>
        <v>0</v>
      </c>
      <c r="L15" s="949">
        <f t="shared" ca="1" si="1"/>
        <v>0</v>
      </c>
      <c r="M15" s="949">
        <f t="shared" si="1"/>
        <v>4150.4533695006467</v>
      </c>
      <c r="N15" s="949">
        <f t="shared" ca="1" si="1"/>
        <v>9580.0714496106557</v>
      </c>
      <c r="O15" s="949">
        <f t="shared" si="1"/>
        <v>254.82333333333332</v>
      </c>
      <c r="P15" s="949">
        <f t="shared" si="1"/>
        <v>476.66666666666669</v>
      </c>
      <c r="Q15" s="949">
        <f t="shared" ca="1" si="1"/>
        <v>270780.40594692813</v>
      </c>
    </row>
    <row r="17" spans="1:17">
      <c r="A17" s="454" t="s">
        <v>553</v>
      </c>
      <c r="B17" s="753">
        <f ca="1">huishoudens!B10</f>
        <v>0.20442054511569518</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6996.0381508222054</v>
      </c>
      <c r="C22" s="444">
        <f t="shared" ref="C22:C32" ca="1" si="3">C4*$C$17</f>
        <v>0</v>
      </c>
      <c r="D22" s="444">
        <f t="shared" ref="D22:D32" si="4">D4*$D$17</f>
        <v>8164.8734647361744</v>
      </c>
      <c r="E22" s="444">
        <f t="shared" ref="E22:E32" si="5">E4*$E$17</f>
        <v>483.00485401719129</v>
      </c>
      <c r="F22" s="444">
        <f t="shared" ref="F22:F32" si="6">F4*$F$17</f>
        <v>17922.282388810425</v>
      </c>
      <c r="G22" s="444">
        <f t="shared" ref="G22:G32" si="7">G4*$G$17</f>
        <v>0</v>
      </c>
      <c r="H22" s="444">
        <f t="shared" ref="H22:H32" si="8">H4*$H$17</f>
        <v>0</v>
      </c>
      <c r="I22" s="444">
        <f t="shared" ref="I22:I32" si="9">I4*$I$17</f>
        <v>0</v>
      </c>
      <c r="J22" s="444">
        <f t="shared" ref="J22:J32" si="10">J4*$J$17</f>
        <v>554.13190893896603</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34120.330767324958</v>
      </c>
    </row>
    <row r="23" spans="1:17">
      <c r="A23" s="443" t="s">
        <v>149</v>
      </c>
      <c r="B23" s="444">
        <f t="shared" ca="1" si="2"/>
        <v>2117.4614750522851</v>
      </c>
      <c r="C23" s="444">
        <f t="shared" ca="1" si="3"/>
        <v>0</v>
      </c>
      <c r="D23" s="444">
        <f t="shared" ca="1" si="4"/>
        <v>1508.2318034934319</v>
      </c>
      <c r="E23" s="444">
        <f t="shared" si="5"/>
        <v>24.713815549660886</v>
      </c>
      <c r="F23" s="444">
        <f t="shared" ca="1" si="6"/>
        <v>395.81211378226516</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4046.2192078776429</v>
      </c>
    </row>
    <row r="24" spans="1:17">
      <c r="A24" s="443" t="s">
        <v>187</v>
      </c>
      <c r="B24" s="444">
        <f t="shared" ca="1" si="2"/>
        <v>289.00588269421263</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289.00588269421263</v>
      </c>
    </row>
    <row r="25" spans="1:17">
      <c r="A25" s="443" t="s">
        <v>105</v>
      </c>
      <c r="B25" s="444">
        <f t="shared" ca="1" si="2"/>
        <v>233.67214390313461</v>
      </c>
      <c r="C25" s="444">
        <f t="shared" ca="1" si="3"/>
        <v>0</v>
      </c>
      <c r="D25" s="444">
        <f t="shared" si="4"/>
        <v>26.049523523895246</v>
      </c>
      <c r="E25" s="444">
        <f t="shared" si="5"/>
        <v>2.4034366188322296</v>
      </c>
      <c r="F25" s="444">
        <f t="shared" si="6"/>
        <v>774.36682524383889</v>
      </c>
      <c r="G25" s="444">
        <f t="shared" si="7"/>
        <v>0</v>
      </c>
      <c r="H25" s="444">
        <f t="shared" si="8"/>
        <v>0</v>
      </c>
      <c r="I25" s="444">
        <f t="shared" si="9"/>
        <v>0</v>
      </c>
      <c r="J25" s="444">
        <f t="shared" si="10"/>
        <v>62.038234903441207</v>
      </c>
      <c r="K25" s="444">
        <f t="shared" si="11"/>
        <v>0</v>
      </c>
      <c r="L25" s="444">
        <f t="shared" si="12"/>
        <v>0</v>
      </c>
      <c r="M25" s="444">
        <f t="shared" si="13"/>
        <v>0</v>
      </c>
      <c r="N25" s="444">
        <f t="shared" si="14"/>
        <v>0</v>
      </c>
      <c r="O25" s="444">
        <f t="shared" si="15"/>
        <v>0</v>
      </c>
      <c r="P25" s="445">
        <f t="shared" si="16"/>
        <v>0</v>
      </c>
      <c r="Q25" s="443">
        <f t="shared" ca="1" si="17"/>
        <v>1098.5301641931421</v>
      </c>
    </row>
    <row r="26" spans="1:17">
      <c r="A26" s="443" t="s">
        <v>637</v>
      </c>
      <c r="B26" s="444">
        <f t="shared" ca="1" si="2"/>
        <v>538.85012636469116</v>
      </c>
      <c r="C26" s="444">
        <f t="shared" ca="1" si="3"/>
        <v>0</v>
      </c>
      <c r="D26" s="444">
        <f t="shared" si="4"/>
        <v>280.73094771329284</v>
      </c>
      <c r="E26" s="444">
        <f t="shared" si="5"/>
        <v>64.922896989333296</v>
      </c>
      <c r="F26" s="444">
        <f t="shared" si="6"/>
        <v>412.76668177960937</v>
      </c>
      <c r="G26" s="444">
        <f t="shared" si="7"/>
        <v>0</v>
      </c>
      <c r="H26" s="444">
        <f t="shared" si="8"/>
        <v>0</v>
      </c>
      <c r="I26" s="444">
        <f t="shared" si="9"/>
        <v>0</v>
      </c>
      <c r="J26" s="444">
        <f t="shared" si="10"/>
        <v>4.88772397463286</v>
      </c>
      <c r="K26" s="444">
        <f t="shared" si="11"/>
        <v>0</v>
      </c>
      <c r="L26" s="444">
        <f t="shared" si="12"/>
        <v>0</v>
      </c>
      <c r="M26" s="444">
        <f t="shared" si="13"/>
        <v>0</v>
      </c>
      <c r="N26" s="444">
        <f t="shared" si="14"/>
        <v>0</v>
      </c>
      <c r="O26" s="444">
        <f t="shared" si="15"/>
        <v>0</v>
      </c>
      <c r="P26" s="445">
        <f t="shared" si="16"/>
        <v>0</v>
      </c>
      <c r="Q26" s="443">
        <f t="shared" ca="1" si="17"/>
        <v>1302.1583768215594</v>
      </c>
    </row>
    <row r="27" spans="1:17" s="449" customFormat="1">
      <c r="A27" s="447" t="s">
        <v>558</v>
      </c>
      <c r="B27" s="747">
        <f t="shared" ca="1" si="2"/>
        <v>2.5101073541864265</v>
      </c>
      <c r="C27" s="448">
        <f t="shared" ca="1" si="3"/>
        <v>0</v>
      </c>
      <c r="D27" s="448">
        <f t="shared" si="4"/>
        <v>4.2598268903873242</v>
      </c>
      <c r="E27" s="448">
        <f t="shared" si="5"/>
        <v>46.144761436697927</v>
      </c>
      <c r="F27" s="448">
        <f t="shared" si="6"/>
        <v>0</v>
      </c>
      <c r="G27" s="448">
        <f t="shared" si="7"/>
        <v>17195.084850684438</v>
      </c>
      <c r="H27" s="448">
        <f t="shared" si="8"/>
        <v>3005.775235888409</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20253.774782254121</v>
      </c>
    </row>
    <row r="28" spans="1:17">
      <c r="A28" s="443" t="s">
        <v>548</v>
      </c>
      <c r="B28" s="444">
        <f t="shared" ca="1" si="2"/>
        <v>0.90796199573623826</v>
      </c>
      <c r="C28" s="444">
        <f t="shared" ca="1" si="3"/>
        <v>0</v>
      </c>
      <c r="D28" s="444">
        <f t="shared" si="4"/>
        <v>0</v>
      </c>
      <c r="E28" s="444">
        <f t="shared" si="5"/>
        <v>0</v>
      </c>
      <c r="F28" s="444">
        <f t="shared" si="6"/>
        <v>0</v>
      </c>
      <c r="G28" s="444">
        <f t="shared" si="7"/>
        <v>224.71567275497409</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225.62363475071032</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155.08708081718012</v>
      </c>
      <c r="C32" s="444">
        <f t="shared" ca="1" si="3"/>
        <v>0</v>
      </c>
      <c r="D32" s="444">
        <f t="shared" si="4"/>
        <v>274.42846728573051</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429.51554810291066</v>
      </c>
    </row>
    <row r="33" spans="1:17" s="453" customFormat="1">
      <c r="A33" s="1009" t="s">
        <v>552</v>
      </c>
      <c r="B33" s="949">
        <f ca="1">SUM(B22:B32)</f>
        <v>10333.532929003632</v>
      </c>
      <c r="C33" s="949">
        <f t="shared" ref="C33:Q33" ca="1" si="18">SUM(C22:C32)</f>
        <v>0</v>
      </c>
      <c r="D33" s="949">
        <f t="shared" ca="1" si="18"/>
        <v>10258.574033642913</v>
      </c>
      <c r="E33" s="949">
        <f t="shared" si="18"/>
        <v>621.18976461171553</v>
      </c>
      <c r="F33" s="949">
        <f t="shared" ca="1" si="18"/>
        <v>19505.228009616138</v>
      </c>
      <c r="G33" s="949">
        <f t="shared" si="18"/>
        <v>17419.800523439411</v>
      </c>
      <c r="H33" s="949">
        <f t="shared" si="18"/>
        <v>3005.775235888409</v>
      </c>
      <c r="I33" s="949">
        <f t="shared" si="18"/>
        <v>0</v>
      </c>
      <c r="J33" s="949">
        <f t="shared" si="18"/>
        <v>621.05786781704012</v>
      </c>
      <c r="K33" s="949">
        <f t="shared" si="18"/>
        <v>0</v>
      </c>
      <c r="L33" s="949">
        <f t="shared" ca="1" si="18"/>
        <v>0</v>
      </c>
      <c r="M33" s="949">
        <f t="shared" si="18"/>
        <v>0</v>
      </c>
      <c r="N33" s="949">
        <f t="shared" ca="1" si="18"/>
        <v>0</v>
      </c>
      <c r="O33" s="949">
        <f t="shared" si="18"/>
        <v>0</v>
      </c>
      <c r="P33" s="949">
        <f t="shared" si="18"/>
        <v>0</v>
      </c>
      <c r="Q33" s="949">
        <f t="shared" ca="1" si="18"/>
        <v>61765.158364019255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3704.9962734385731</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87.299999999999983</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102.70588235294116</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3792.2962734385733</v>
      </c>
      <c r="C10" s="1030">
        <f>SUM(C4:C9)</f>
        <v>0</v>
      </c>
      <c r="D10" s="1030">
        <f t="shared" ref="D10:H10" si="0">SUM(D8:D9)</f>
        <v>0</v>
      </c>
      <c r="E10" s="1030">
        <f t="shared" si="0"/>
        <v>0</v>
      </c>
      <c r="F10" s="1030">
        <f t="shared" si="0"/>
        <v>0</v>
      </c>
      <c r="G10" s="1030">
        <f t="shared" si="0"/>
        <v>0</v>
      </c>
      <c r="H10" s="1030">
        <f t="shared" si="0"/>
        <v>0</v>
      </c>
      <c r="I10" s="1030">
        <f>SUM(I8:I9)</f>
        <v>0</v>
      </c>
      <c r="J10" s="1030">
        <f>SUM(J8:J9)</f>
        <v>102.70588235294116</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0.20442054511569518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124.71428571428569</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146.72268907563023</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124.71428571428569</v>
      </c>
      <c r="C20" s="1030">
        <f>SUM(C17:C19)</f>
        <v>0</v>
      </c>
      <c r="D20" s="1030">
        <f t="shared" ref="D20:H20" si="2">SUM(D17:D19)</f>
        <v>0</v>
      </c>
      <c r="E20" s="1030">
        <f t="shared" si="2"/>
        <v>0</v>
      </c>
      <c r="F20" s="1030">
        <f t="shared" si="2"/>
        <v>0</v>
      </c>
      <c r="G20" s="1030">
        <f t="shared" si="2"/>
        <v>0</v>
      </c>
      <c r="H20" s="1030">
        <f t="shared" si="2"/>
        <v>0</v>
      </c>
      <c r="I20" s="1030">
        <f>SUM(I17:I19)</f>
        <v>0</v>
      </c>
      <c r="J20" s="1030">
        <f>SUM(J17:J19)</f>
        <v>146.72268907563023</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0.20442054511569518</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0.20442054511569518</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0.20442054511569518</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7204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2852</v>
      </c>
      <c r="C14" s="324"/>
      <c r="D14" s="324"/>
      <c r="E14" s="324"/>
      <c r="F14" s="324"/>
    </row>
    <row r="15" spans="1:6">
      <c r="A15" s="1302" t="s">
        <v>177</v>
      </c>
      <c r="B15" s="1303">
        <v>183</v>
      </c>
      <c r="C15" s="324"/>
      <c r="D15" s="324"/>
      <c r="E15" s="324"/>
      <c r="F15" s="324"/>
    </row>
    <row r="16" spans="1:6">
      <c r="A16" s="1302" t="s">
        <v>6</v>
      </c>
      <c r="B16" s="1303">
        <v>1083</v>
      </c>
      <c r="C16" s="324"/>
      <c r="D16" s="324"/>
      <c r="E16" s="324"/>
      <c r="F16" s="324"/>
    </row>
    <row r="17" spans="1:6">
      <c r="A17" s="1302" t="s">
        <v>7</v>
      </c>
      <c r="B17" s="1303">
        <v>760</v>
      </c>
      <c r="C17" s="324"/>
      <c r="D17" s="324"/>
      <c r="E17" s="324"/>
      <c r="F17" s="324"/>
    </row>
    <row r="18" spans="1:6">
      <c r="A18" s="1302" t="s">
        <v>8</v>
      </c>
      <c r="B18" s="1303">
        <v>1193</v>
      </c>
      <c r="C18" s="324"/>
      <c r="D18" s="324"/>
      <c r="E18" s="324"/>
      <c r="F18" s="324"/>
    </row>
    <row r="19" spans="1:6">
      <c r="A19" s="1302" t="s">
        <v>9</v>
      </c>
      <c r="B19" s="1303">
        <v>1166</v>
      </c>
      <c r="C19" s="324"/>
      <c r="D19" s="324"/>
      <c r="E19" s="324"/>
      <c r="F19" s="324"/>
    </row>
    <row r="20" spans="1:6">
      <c r="A20" s="1302" t="s">
        <v>10</v>
      </c>
      <c r="B20" s="1303">
        <v>828</v>
      </c>
      <c r="C20" s="324"/>
      <c r="D20" s="324"/>
      <c r="E20" s="324"/>
      <c r="F20" s="324"/>
    </row>
    <row r="21" spans="1:6">
      <c r="A21" s="1302" t="s">
        <v>11</v>
      </c>
      <c r="B21" s="1303">
        <v>0</v>
      </c>
      <c r="C21" s="324"/>
      <c r="D21" s="324"/>
      <c r="E21" s="324"/>
      <c r="F21" s="324"/>
    </row>
    <row r="22" spans="1:6">
      <c r="A22" s="1302" t="s">
        <v>12</v>
      </c>
      <c r="B22" s="1303">
        <v>700</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216</v>
      </c>
      <c r="C26" s="324"/>
      <c r="D26" s="324"/>
      <c r="E26" s="324"/>
      <c r="F26" s="324"/>
    </row>
    <row r="27" spans="1:6">
      <c r="A27" s="1302" t="s">
        <v>17</v>
      </c>
      <c r="B27" s="1303">
        <v>411</v>
      </c>
      <c r="C27" s="324"/>
      <c r="D27" s="324"/>
      <c r="E27" s="324"/>
      <c r="F27" s="324"/>
    </row>
    <row r="28" spans="1:6">
      <c r="A28" s="1302" t="s">
        <v>18</v>
      </c>
      <c r="B28" s="1304">
        <v>8620</v>
      </c>
      <c r="C28" s="324"/>
      <c r="D28" s="324"/>
      <c r="E28" s="324"/>
      <c r="F28" s="324"/>
    </row>
    <row r="29" spans="1:6">
      <c r="A29" s="1302" t="s">
        <v>918</v>
      </c>
      <c r="B29" s="1304">
        <v>132</v>
      </c>
      <c r="C29" s="324"/>
      <c r="D29" s="324"/>
      <c r="E29" s="324"/>
      <c r="F29" s="324"/>
    </row>
    <row r="30" spans="1:6">
      <c r="A30" s="1297" t="s">
        <v>919</v>
      </c>
      <c r="B30" s="1305">
        <v>27</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2</v>
      </c>
      <c r="F38" s="1303">
        <v>4989</v>
      </c>
    </row>
    <row r="39" spans="1:6">
      <c r="A39" s="1302" t="s">
        <v>29</v>
      </c>
      <c r="B39" s="1302" t="s">
        <v>30</v>
      </c>
      <c r="C39" s="1303">
        <v>3108</v>
      </c>
      <c r="D39" s="1303">
        <v>44811713.599790201</v>
      </c>
      <c r="E39" s="1303">
        <v>7113</v>
      </c>
      <c r="F39" s="1303">
        <v>30908115</v>
      </c>
    </row>
    <row r="40" spans="1:6">
      <c r="A40" s="1302" t="s">
        <v>29</v>
      </c>
      <c r="B40" s="1302" t="s">
        <v>28</v>
      </c>
      <c r="C40" s="1303">
        <v>0</v>
      </c>
      <c r="D40" s="1303">
        <v>0</v>
      </c>
      <c r="E40" s="1303">
        <v>0</v>
      </c>
      <c r="F40" s="1303">
        <v>0</v>
      </c>
    </row>
    <row r="41" spans="1:6">
      <c r="A41" s="1302" t="s">
        <v>31</v>
      </c>
      <c r="B41" s="1302" t="s">
        <v>32</v>
      </c>
      <c r="C41" s="1303">
        <v>26</v>
      </c>
      <c r="D41" s="1303">
        <v>423141.83045302198</v>
      </c>
      <c r="E41" s="1303">
        <v>124</v>
      </c>
      <c r="F41" s="1303">
        <v>751587.5</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4</v>
      </c>
      <c r="D44" s="1303">
        <v>35696.082849352802</v>
      </c>
      <c r="E44" s="1303">
        <v>8</v>
      </c>
      <c r="F44" s="1303">
        <v>46681.78</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3</v>
      </c>
      <c r="F47" s="1303">
        <v>47771.63</v>
      </c>
    </row>
    <row r="48" spans="1:6">
      <c r="A48" s="1302" t="s">
        <v>31</v>
      </c>
      <c r="B48" s="1302" t="s">
        <v>28</v>
      </c>
      <c r="C48" s="1303">
        <v>22</v>
      </c>
      <c r="D48" s="1303">
        <v>693292.05054714205</v>
      </c>
      <c r="E48" s="1303">
        <v>39</v>
      </c>
      <c r="F48" s="1303">
        <v>1470881</v>
      </c>
    </row>
    <row r="49" spans="1:6">
      <c r="A49" s="1302" t="s">
        <v>31</v>
      </c>
      <c r="B49" s="1302" t="s">
        <v>39</v>
      </c>
      <c r="C49" s="1303">
        <v>0</v>
      </c>
      <c r="D49" s="1303">
        <v>0</v>
      </c>
      <c r="E49" s="1303">
        <v>0</v>
      </c>
      <c r="F49" s="1303">
        <v>0</v>
      </c>
    </row>
    <row r="50" spans="1:6">
      <c r="A50" s="1302" t="s">
        <v>31</v>
      </c>
      <c r="B50" s="1302" t="s">
        <v>40</v>
      </c>
      <c r="C50" s="1303">
        <v>4</v>
      </c>
      <c r="D50" s="1303">
        <v>388620.77550468402</v>
      </c>
      <c r="E50" s="1303">
        <v>8</v>
      </c>
      <c r="F50" s="1303">
        <v>319066.2</v>
      </c>
    </row>
    <row r="51" spans="1:6">
      <c r="A51" s="1302" t="s">
        <v>41</v>
      </c>
      <c r="B51" s="1302" t="s">
        <v>42</v>
      </c>
      <c r="C51" s="1303">
        <v>3</v>
      </c>
      <c r="D51" s="1303">
        <v>61267.490994042601</v>
      </c>
      <c r="E51" s="1303">
        <v>69</v>
      </c>
      <c r="F51" s="1303">
        <v>1041017</v>
      </c>
    </row>
    <row r="52" spans="1:6">
      <c r="A52" s="1302" t="s">
        <v>41</v>
      </c>
      <c r="B52" s="1302" t="s">
        <v>28</v>
      </c>
      <c r="C52" s="1303">
        <v>3</v>
      </c>
      <c r="D52" s="1303">
        <v>81701.508171152702</v>
      </c>
      <c r="E52" s="1303">
        <v>13</v>
      </c>
      <c r="F52" s="1303">
        <v>102078.2</v>
      </c>
    </row>
    <row r="53" spans="1:6">
      <c r="A53" s="1302" t="s">
        <v>43</v>
      </c>
      <c r="B53" s="1302" t="s">
        <v>44</v>
      </c>
      <c r="C53" s="1303">
        <v>76</v>
      </c>
      <c r="D53" s="1303">
        <v>1358556.76874124</v>
      </c>
      <c r="E53" s="1303">
        <v>220</v>
      </c>
      <c r="F53" s="1303">
        <v>758666.8</v>
      </c>
    </row>
    <row r="54" spans="1:6">
      <c r="A54" s="1302" t="s">
        <v>45</v>
      </c>
      <c r="B54" s="1302" t="s">
        <v>46</v>
      </c>
      <c r="C54" s="1303">
        <v>0</v>
      </c>
      <c r="D54" s="1303">
        <v>0</v>
      </c>
      <c r="E54" s="1303">
        <v>1</v>
      </c>
      <c r="F54" s="1303">
        <v>1413781</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9</v>
      </c>
      <c r="D57" s="1303">
        <v>156477.00935764299</v>
      </c>
      <c r="E57" s="1303">
        <v>41</v>
      </c>
      <c r="F57" s="1303">
        <v>528224.19999999995</v>
      </c>
    </row>
    <row r="58" spans="1:6">
      <c r="A58" s="1302" t="s">
        <v>48</v>
      </c>
      <c r="B58" s="1302" t="s">
        <v>50</v>
      </c>
      <c r="C58" s="1303">
        <v>4</v>
      </c>
      <c r="D58" s="1303">
        <v>108612.06295234901</v>
      </c>
      <c r="E58" s="1303">
        <v>24</v>
      </c>
      <c r="F58" s="1303">
        <v>469984.1</v>
      </c>
    </row>
    <row r="59" spans="1:6">
      <c r="A59" s="1302" t="s">
        <v>48</v>
      </c>
      <c r="B59" s="1302" t="s">
        <v>51</v>
      </c>
      <c r="C59" s="1303">
        <v>32</v>
      </c>
      <c r="D59" s="1303">
        <v>892799.739557661</v>
      </c>
      <c r="E59" s="1303">
        <v>117</v>
      </c>
      <c r="F59" s="1303">
        <v>3970510</v>
      </c>
    </row>
    <row r="60" spans="1:6">
      <c r="A60" s="1302" t="s">
        <v>48</v>
      </c>
      <c r="B60" s="1302" t="s">
        <v>52</v>
      </c>
      <c r="C60" s="1303">
        <v>20</v>
      </c>
      <c r="D60" s="1303">
        <v>473816.83384717198</v>
      </c>
      <c r="E60" s="1303">
        <v>56</v>
      </c>
      <c r="F60" s="1303">
        <v>938521.9</v>
      </c>
    </row>
    <row r="61" spans="1:6">
      <c r="A61" s="1302" t="s">
        <v>48</v>
      </c>
      <c r="B61" s="1302" t="s">
        <v>53</v>
      </c>
      <c r="C61" s="1303">
        <v>73</v>
      </c>
      <c r="D61" s="1303">
        <v>3947909.5933012599</v>
      </c>
      <c r="E61" s="1303">
        <v>214</v>
      </c>
      <c r="F61" s="1303">
        <v>2249488</v>
      </c>
    </row>
    <row r="62" spans="1:6">
      <c r="A62" s="1302" t="s">
        <v>48</v>
      </c>
      <c r="B62" s="1302" t="s">
        <v>54</v>
      </c>
      <c r="C62" s="1303">
        <v>0</v>
      </c>
      <c r="D62" s="1303">
        <v>0</v>
      </c>
      <c r="E62" s="1303">
        <v>10</v>
      </c>
      <c r="F62" s="1303">
        <v>165726.20000000001</v>
      </c>
    </row>
    <row r="63" spans="1:6">
      <c r="A63" s="1302" t="s">
        <v>48</v>
      </c>
      <c r="B63" s="1302" t="s">
        <v>28</v>
      </c>
      <c r="C63" s="1303">
        <v>95</v>
      </c>
      <c r="D63" s="1303">
        <v>2698094.3803854198</v>
      </c>
      <c r="E63" s="1303">
        <v>146</v>
      </c>
      <c r="F63" s="1303">
        <v>1992255</v>
      </c>
    </row>
    <row r="64" spans="1:6">
      <c r="A64" s="1302" t="s">
        <v>55</v>
      </c>
      <c r="B64" s="1302" t="s">
        <v>56</v>
      </c>
      <c r="C64" s="1303">
        <v>0</v>
      </c>
      <c r="D64" s="1303">
        <v>0</v>
      </c>
      <c r="E64" s="1303">
        <v>0</v>
      </c>
      <c r="F64" s="1303">
        <v>0</v>
      </c>
    </row>
    <row r="65" spans="1:6">
      <c r="A65" s="1302" t="s">
        <v>55</v>
      </c>
      <c r="B65" s="1302" t="s">
        <v>28</v>
      </c>
      <c r="C65" s="1303">
        <v>1</v>
      </c>
      <c r="D65" s="1303">
        <v>8106.8393989213</v>
      </c>
      <c r="E65" s="1303">
        <v>5</v>
      </c>
      <c r="F65" s="1303">
        <v>103559.4</v>
      </c>
    </row>
    <row r="66" spans="1:6">
      <c r="A66" s="1302" t="s">
        <v>55</v>
      </c>
      <c r="B66" s="1302" t="s">
        <v>57</v>
      </c>
      <c r="C66" s="1303">
        <v>0</v>
      </c>
      <c r="D66" s="1303">
        <v>0</v>
      </c>
      <c r="E66" s="1303">
        <v>5</v>
      </c>
      <c r="F66" s="1303">
        <v>12832</v>
      </c>
    </row>
    <row r="67" spans="1:6">
      <c r="A67" s="1302" t="s">
        <v>55</v>
      </c>
      <c r="B67" s="1302" t="s">
        <v>58</v>
      </c>
      <c r="C67" s="1303">
        <v>0</v>
      </c>
      <c r="D67" s="1303">
        <v>0</v>
      </c>
      <c r="E67" s="1303">
        <v>0</v>
      </c>
      <c r="F67" s="1303">
        <v>0</v>
      </c>
    </row>
    <row r="68" spans="1:6">
      <c r="A68" s="1297" t="s">
        <v>55</v>
      </c>
      <c r="B68" s="1297" t="s">
        <v>59</v>
      </c>
      <c r="C68" s="1305">
        <v>0</v>
      </c>
      <c r="D68" s="1305">
        <v>0</v>
      </c>
      <c r="E68" s="1305">
        <v>5</v>
      </c>
      <c r="F68" s="1305">
        <v>83323.210000000006</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57804299</v>
      </c>
      <c r="E73" s="442"/>
      <c r="F73" s="324"/>
    </row>
    <row r="74" spans="1:6">
      <c r="A74" s="1302" t="s">
        <v>63</v>
      </c>
      <c r="B74" s="1302" t="s">
        <v>695</v>
      </c>
      <c r="C74" s="1315" t="s">
        <v>697</v>
      </c>
      <c r="D74" s="1303">
        <v>6066945.9854459139</v>
      </c>
      <c r="E74" s="442"/>
      <c r="F74" s="324"/>
    </row>
    <row r="75" spans="1:6">
      <c r="A75" s="1302" t="s">
        <v>64</v>
      </c>
      <c r="B75" s="1302" t="s">
        <v>694</v>
      </c>
      <c r="C75" s="1315" t="s">
        <v>698</v>
      </c>
      <c r="D75" s="1303">
        <v>28721588</v>
      </c>
      <c r="E75" s="442"/>
      <c r="F75" s="324"/>
    </row>
    <row r="76" spans="1:6">
      <c r="A76" s="1302" t="s">
        <v>64</v>
      </c>
      <c r="B76" s="1302" t="s">
        <v>695</v>
      </c>
      <c r="C76" s="1315" t="s">
        <v>699</v>
      </c>
      <c r="D76" s="1303">
        <v>1086624.9854459134</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240254.02910817307</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3315.6375433790463</v>
      </c>
      <c r="C91" s="324"/>
      <c r="D91" s="324"/>
      <c r="E91" s="324"/>
      <c r="F91" s="324"/>
    </row>
    <row r="92" spans="1:6">
      <c r="A92" s="1297" t="s">
        <v>68</v>
      </c>
      <c r="B92" s="1298">
        <v>389.35873005952664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1016</v>
      </c>
      <c r="C97" s="324"/>
      <c r="D97" s="324"/>
      <c r="E97" s="324"/>
      <c r="F97" s="324"/>
    </row>
    <row r="98" spans="1:6">
      <c r="A98" s="1302" t="s">
        <v>71</v>
      </c>
      <c r="B98" s="1303">
        <v>1</v>
      </c>
      <c r="C98" s="324"/>
      <c r="D98" s="324"/>
      <c r="E98" s="324"/>
      <c r="F98" s="324"/>
    </row>
    <row r="99" spans="1:6">
      <c r="A99" s="1302" t="s">
        <v>72</v>
      </c>
      <c r="B99" s="1303">
        <v>101</v>
      </c>
      <c r="C99" s="324"/>
      <c r="D99" s="324"/>
      <c r="E99" s="324"/>
      <c r="F99" s="324"/>
    </row>
    <row r="100" spans="1:6">
      <c r="A100" s="1302" t="s">
        <v>73</v>
      </c>
      <c r="B100" s="1303">
        <v>581</v>
      </c>
      <c r="C100" s="324"/>
      <c r="D100" s="324"/>
      <c r="E100" s="324"/>
      <c r="F100" s="324"/>
    </row>
    <row r="101" spans="1:6">
      <c r="A101" s="1302" t="s">
        <v>74</v>
      </c>
      <c r="B101" s="1303">
        <v>141</v>
      </c>
      <c r="C101" s="324"/>
      <c r="D101" s="324"/>
      <c r="E101" s="324"/>
      <c r="F101" s="324"/>
    </row>
    <row r="102" spans="1:6">
      <c r="A102" s="1302" t="s">
        <v>75</v>
      </c>
      <c r="B102" s="1303">
        <v>117</v>
      </c>
      <c r="C102" s="324"/>
      <c r="D102" s="324"/>
      <c r="E102" s="324"/>
      <c r="F102" s="324"/>
    </row>
    <row r="103" spans="1:6">
      <c r="A103" s="1302" t="s">
        <v>76</v>
      </c>
      <c r="B103" s="1303">
        <v>374</v>
      </c>
      <c r="C103" s="324"/>
      <c r="D103" s="324"/>
      <c r="E103" s="324"/>
      <c r="F103" s="324"/>
    </row>
    <row r="104" spans="1:6">
      <c r="A104" s="1302" t="s">
        <v>77</v>
      </c>
      <c r="B104" s="1303">
        <v>4020</v>
      </c>
      <c r="C104" s="324"/>
      <c r="D104" s="324"/>
      <c r="E104" s="324"/>
      <c r="F104" s="324"/>
    </row>
    <row r="105" spans="1:6">
      <c r="A105" s="1297" t="s">
        <v>78</v>
      </c>
      <c r="B105" s="1305">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12</v>
      </c>
      <c r="C123" s="1303">
        <v>28</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134</v>
      </c>
      <c r="C129" s="324"/>
      <c r="D129" s="324"/>
      <c r="E129" s="324"/>
      <c r="F129" s="324"/>
    </row>
    <row r="130" spans="1:6">
      <c r="A130" s="1302" t="s">
        <v>284</v>
      </c>
      <c r="B130" s="1303">
        <v>1</v>
      </c>
      <c r="C130" s="324"/>
      <c r="D130" s="324"/>
      <c r="E130" s="324"/>
      <c r="F130" s="324"/>
    </row>
    <row r="131" spans="1:6">
      <c r="A131" s="1302" t="s">
        <v>285</v>
      </c>
      <c r="B131" s="1303">
        <v>1</v>
      </c>
      <c r="C131" s="324"/>
      <c r="D131" s="324"/>
      <c r="E131" s="324"/>
      <c r="F131" s="324"/>
    </row>
    <row r="132" spans="1:6">
      <c r="A132" s="1297" t="s">
        <v>286</v>
      </c>
      <c r="B132" s="1298">
        <v>12</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50550.363825491208</v>
      </c>
      <c r="C3" s="43" t="s">
        <v>163</v>
      </c>
      <c r="D3" s="43"/>
      <c r="E3" s="154"/>
      <c r="F3" s="43"/>
      <c r="G3" s="43"/>
      <c r="H3" s="43"/>
      <c r="I3" s="43"/>
      <c r="J3" s="43"/>
      <c r="K3" s="96"/>
    </row>
    <row r="4" spans="1:11">
      <c r="A4" s="351" t="s">
        <v>164</v>
      </c>
      <c r="B4" s="49">
        <f>IF(ISERROR('SEAP template'!B78+'SEAP template'!C78),0,'SEAP template'!B78+'SEAP template'!C78)</f>
        <v>3792.2962734385733</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0.20442054511569518</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124.71428571428569</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1413.7809999999999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1413.7809999999999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0.20442054511569518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289.00588269421263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30908.115000000002</v>
      </c>
      <c r="C5" s="17">
        <f>IF(ISERROR('Eigen informatie GS &amp; warmtenet'!B57),0,'Eigen informatie GS &amp; warmtenet'!B57)</f>
        <v>0</v>
      </c>
      <c r="D5" s="30">
        <f>(SUM(HH_hh_gas_kWh,HH_rest_gas_kWh)/1000)*0.902</f>
        <v>40420.165667010762</v>
      </c>
      <c r="E5" s="17">
        <f>B32*B41</f>
        <v>2127.7746873004021</v>
      </c>
      <c r="F5" s="17">
        <f>B36*B45</f>
        <v>67124.653141612071</v>
      </c>
      <c r="G5" s="18"/>
      <c r="H5" s="17"/>
      <c r="I5" s="17"/>
      <c r="J5" s="17">
        <f>B35*B44+C35*C44</f>
        <v>1565.3443755338026</v>
      </c>
      <c r="K5" s="17"/>
      <c r="L5" s="17"/>
      <c r="M5" s="17"/>
      <c r="N5" s="17">
        <f>B34*B43+C34*C43</f>
        <v>8790.512934731878</v>
      </c>
      <c r="O5" s="17">
        <f>B52*B53*B54</f>
        <v>253.26</v>
      </c>
      <c r="P5" s="17">
        <f>B60*B61*B62/1000-B60*B61*B62/1000/B63</f>
        <v>457.6</v>
      </c>
    </row>
    <row r="6" spans="1:16">
      <c r="A6" s="16" t="s">
        <v>618</v>
      </c>
      <c r="B6" s="755">
        <f>kWh_PV_kleiner_dan_10kW</f>
        <v>3315.6375433790463</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34223.752543379051</v>
      </c>
      <c r="C8" s="21">
        <f>C5</f>
        <v>0</v>
      </c>
      <c r="D8" s="21">
        <f>D5</f>
        <v>40420.165667010762</v>
      </c>
      <c r="E8" s="21">
        <f>E5</f>
        <v>2127.7746873004021</v>
      </c>
      <c r="F8" s="21">
        <f>F5</f>
        <v>67124.653141612071</v>
      </c>
      <c r="G8" s="21"/>
      <c r="H8" s="21"/>
      <c r="I8" s="21"/>
      <c r="J8" s="21">
        <f>J5</f>
        <v>1565.3443755338026</v>
      </c>
      <c r="K8" s="21"/>
      <c r="L8" s="21">
        <f>L5</f>
        <v>0</v>
      </c>
      <c r="M8" s="21">
        <f>M5</f>
        <v>0</v>
      </c>
      <c r="N8" s="21">
        <f>N5</f>
        <v>8790.512934731878</v>
      </c>
      <c r="O8" s="21">
        <f>O5</f>
        <v>253.26</v>
      </c>
      <c r="P8" s="21">
        <f>P5</f>
        <v>457.6</v>
      </c>
    </row>
    <row r="9" spans="1:16">
      <c r="B9" s="19"/>
      <c r="C9" s="19"/>
      <c r="D9" s="254"/>
      <c r="E9" s="19"/>
      <c r="F9" s="19"/>
      <c r="G9" s="19"/>
      <c r="H9" s="19"/>
      <c r="I9" s="19"/>
      <c r="J9" s="19"/>
      <c r="K9" s="19"/>
      <c r="L9" s="19"/>
      <c r="M9" s="19"/>
      <c r="N9" s="19"/>
      <c r="O9" s="19"/>
      <c r="P9" s="19"/>
    </row>
    <row r="10" spans="1:16">
      <c r="A10" s="24" t="s">
        <v>207</v>
      </c>
      <c r="B10" s="25">
        <f ca="1">'EF ele_warmte'!B12</f>
        <v>0.20442054511569518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6996.0381508222054</v>
      </c>
      <c r="C12" s="23">
        <f ca="1">C10*C8</f>
        <v>0</v>
      </c>
      <c r="D12" s="23">
        <f>D8*D10</f>
        <v>8164.8734647361744</v>
      </c>
      <c r="E12" s="23">
        <f>E10*E8</f>
        <v>483.00485401719129</v>
      </c>
      <c r="F12" s="23">
        <f>F10*F8</f>
        <v>17922.282388810425</v>
      </c>
      <c r="G12" s="23"/>
      <c r="H12" s="23"/>
      <c r="I12" s="23"/>
      <c r="J12" s="23">
        <f>J10*J8</f>
        <v>554.13190893896603</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7204</v>
      </c>
      <c r="C26" s="36"/>
      <c r="D26" s="225"/>
    </row>
    <row r="27" spans="1:5" s="15" customFormat="1">
      <c r="A27" s="227" t="s">
        <v>721</v>
      </c>
      <c r="B27" s="37">
        <f>SUM(HH_hh_gas_aantal,HH_rest_gas_aantal)</f>
        <v>3108</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2952.6</v>
      </c>
      <c r="C31" s="34" t="s">
        <v>104</v>
      </c>
      <c r="D31" s="171"/>
    </row>
    <row r="32" spans="1:5">
      <c r="A32" s="168" t="s">
        <v>72</v>
      </c>
      <c r="B32" s="33">
        <f>IF((B21*($B$26-($B$27-0.05*$B$27)-$B$60))&lt;0,0,B21*($B$26-($B$27-0.05*$B$27)-$B$60))</f>
        <v>26.654688928658917</v>
      </c>
      <c r="C32" s="34" t="s">
        <v>104</v>
      </c>
      <c r="D32" s="171"/>
    </row>
    <row r="33" spans="1:6">
      <c r="A33" s="168" t="s">
        <v>73</v>
      </c>
      <c r="B33" s="33">
        <f>IF((B22*($B$26-($B$27-0.05*$B$27)-$B$60))&lt;0,0,B22*($B$26-($B$27-0.05*$B$27)-$B$60))</f>
        <v>928.21309737088779</v>
      </c>
      <c r="C33" s="34" t="s">
        <v>104</v>
      </c>
      <c r="D33" s="171"/>
    </row>
    <row r="34" spans="1:6">
      <c r="A34" s="168" t="s">
        <v>74</v>
      </c>
      <c r="B34" s="33">
        <f>IF((B24*($B$26-($B$27-0.05*$B$27)-$B$60))&lt;0,0,B24*($B$26-($B$27-0.05*$B$27)-$B$60))</f>
        <v>184.24619348236126</v>
      </c>
      <c r="C34" s="33">
        <f>B26*C24</f>
        <v>1473.9361121860907</v>
      </c>
      <c r="D34" s="230"/>
    </row>
    <row r="35" spans="1:6">
      <c r="A35" s="168" t="s">
        <v>76</v>
      </c>
      <c r="B35" s="33">
        <f>IF((B19*($B$26-($B$27-0.05*$B$27)-$B$60))&lt;0,0,B19*($B$26-($B$27-0.05*$B$27)-$B$60))</f>
        <v>90.014743519487638</v>
      </c>
      <c r="C35" s="33">
        <f>B35/2</f>
        <v>45.007371759743819</v>
      </c>
      <c r="D35" s="230"/>
    </row>
    <row r="36" spans="1:6">
      <c r="A36" s="168" t="s">
        <v>77</v>
      </c>
      <c r="B36" s="33">
        <f>IF((B18*($B$26-($B$27-0.05*$B$27)-$B$60))&lt;0,0,B18*($B$26-($B$27-0.05*$B$27)-$B$60))</f>
        <v>2998.2712766986056</v>
      </c>
      <c r="C36" s="34" t="s">
        <v>104</v>
      </c>
      <c r="D36" s="171"/>
    </row>
    <row r="37" spans="1:6">
      <c r="A37" s="168" t="s">
        <v>78</v>
      </c>
      <c r="B37" s="33">
        <f>B60</f>
        <v>24</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162</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24</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10314.7094</v>
      </c>
      <c r="C5" s="17">
        <f>IF(ISERROR('Eigen informatie GS &amp; warmtenet'!B58),0,'Eigen informatie GS &amp; warmtenet'!B58)</f>
        <v>0</v>
      </c>
      <c r="D5" s="30">
        <f>SUM(D6:D12)</f>
        <v>7466.4940767001572</v>
      </c>
      <c r="E5" s="17">
        <f>SUM(E6:E12)</f>
        <v>108.87143413947527</v>
      </c>
      <c r="F5" s="17">
        <f>SUM(F6:F12)</f>
        <v>1482.4423737163488</v>
      </c>
      <c r="G5" s="18"/>
      <c r="H5" s="17"/>
      <c r="I5" s="17"/>
      <c r="J5" s="17">
        <f>SUM(J6:J12)</f>
        <v>0</v>
      </c>
      <c r="K5" s="17"/>
      <c r="L5" s="17"/>
      <c r="M5" s="17"/>
      <c r="N5" s="17">
        <f>SUM(N6:N12)</f>
        <v>600.92464755095193</v>
      </c>
      <c r="O5" s="17">
        <f>B38*B39*B40</f>
        <v>1.5633333333333335</v>
      </c>
      <c r="P5" s="17">
        <f>B46*B47*B48/1000-B46*B47*B48/1000/B49</f>
        <v>19.066666666666666</v>
      </c>
      <c r="R5" s="32"/>
    </row>
    <row r="6" spans="1:18">
      <c r="A6" s="32" t="s">
        <v>53</v>
      </c>
      <c r="B6" s="37">
        <f>B26</f>
        <v>2249.4879999999998</v>
      </c>
      <c r="C6" s="33"/>
      <c r="D6" s="37">
        <f>IF(ISERROR(TER_kantoor_gas_kWh/1000),0,TER_kantoor_gas_kWh/1000)*0.902</f>
        <v>3561.0144531577366</v>
      </c>
      <c r="E6" s="33">
        <f>$C$26*'E Balans VL '!I12/100/3.6*1000000</f>
        <v>6.5170967826877764</v>
      </c>
      <c r="F6" s="33">
        <f>$C$26*('E Balans VL '!L12+'E Balans VL '!N12)/100/3.6*1000000</f>
        <v>254.59248153685206</v>
      </c>
      <c r="G6" s="34"/>
      <c r="H6" s="33"/>
      <c r="I6" s="33"/>
      <c r="J6" s="33">
        <f>$C$26*('E Balans VL '!D12+'E Balans VL '!E12)/100/3.6*1000000</f>
        <v>0</v>
      </c>
      <c r="K6" s="33"/>
      <c r="L6" s="33"/>
      <c r="M6" s="33"/>
      <c r="N6" s="33">
        <f>$C$26*'E Balans VL '!Y12/100/3.6*1000000</f>
        <v>22.515717383236407</v>
      </c>
      <c r="O6" s="33"/>
      <c r="P6" s="33"/>
      <c r="R6" s="32"/>
    </row>
    <row r="7" spans="1:18">
      <c r="A7" s="32" t="s">
        <v>52</v>
      </c>
      <c r="B7" s="37">
        <f t="shared" ref="B7:B12" si="0">B27</f>
        <v>938.52190000000007</v>
      </c>
      <c r="C7" s="33"/>
      <c r="D7" s="37">
        <f>IF(ISERROR(TER_horeca_gas_kWh/1000),0,TER_horeca_gas_kWh/1000)*0.902</f>
        <v>427.3827841301491</v>
      </c>
      <c r="E7" s="33">
        <f>$C$27*'E Balans VL '!I9/100/3.6*1000000</f>
        <v>39.396527183635698</v>
      </c>
      <c r="F7" s="33">
        <f>$C$27*('E Balans VL '!L9+'E Balans VL '!N9)/100/3.6*1000000</f>
        <v>201.66067641922376</v>
      </c>
      <c r="G7" s="34"/>
      <c r="H7" s="33"/>
      <c r="I7" s="33"/>
      <c r="J7" s="33">
        <f>$C$27*('E Balans VL '!D9+'E Balans VL '!E9)/100/3.6*1000000</f>
        <v>0</v>
      </c>
      <c r="K7" s="33"/>
      <c r="L7" s="33"/>
      <c r="M7" s="33"/>
      <c r="N7" s="33">
        <f>$C$27*'E Balans VL '!Y9/100/3.6*1000000</f>
        <v>0.24184888595823226</v>
      </c>
      <c r="O7" s="33"/>
      <c r="P7" s="33"/>
      <c r="R7" s="32"/>
    </row>
    <row r="8" spans="1:18">
      <c r="A8" s="6" t="s">
        <v>51</v>
      </c>
      <c r="B8" s="37">
        <f t="shared" si="0"/>
        <v>3970.51</v>
      </c>
      <c r="C8" s="33"/>
      <c r="D8" s="37">
        <f>IF(ISERROR(TER_handel_gas_kWh/1000),0,TER_handel_gas_kWh/1000)*0.902</f>
        <v>805.30536508101034</v>
      </c>
      <c r="E8" s="33">
        <f>$C$28*'E Balans VL '!I13/100/3.6*1000000</f>
        <v>42.646581961535588</v>
      </c>
      <c r="F8" s="33">
        <f>$C$28*('E Balans VL '!L13+'E Balans VL '!N13)/100/3.6*1000000</f>
        <v>514.01530729566639</v>
      </c>
      <c r="G8" s="34"/>
      <c r="H8" s="33"/>
      <c r="I8" s="33"/>
      <c r="J8" s="33">
        <f>$C$28*('E Balans VL '!D13+'E Balans VL '!E13)/100/3.6*1000000</f>
        <v>0</v>
      </c>
      <c r="K8" s="33"/>
      <c r="L8" s="33"/>
      <c r="M8" s="33"/>
      <c r="N8" s="33">
        <f>$C$28*'E Balans VL '!Y13/100/3.6*1000000</f>
        <v>32.208993919272331</v>
      </c>
      <c r="O8" s="33"/>
      <c r="P8" s="33"/>
      <c r="R8" s="32"/>
    </row>
    <row r="9" spans="1:18">
      <c r="A9" s="32" t="s">
        <v>50</v>
      </c>
      <c r="B9" s="37">
        <f t="shared" si="0"/>
        <v>469.98409999999996</v>
      </c>
      <c r="C9" s="33"/>
      <c r="D9" s="37">
        <f>IF(ISERROR(TER_gezond_gas_kWh/1000),0,TER_gezond_gas_kWh/1000)*0.902</f>
        <v>97.968080783018806</v>
      </c>
      <c r="E9" s="33">
        <f>$C$29*'E Balans VL '!I10/100/3.6*1000000</f>
        <v>0.37413774135720795</v>
      </c>
      <c r="F9" s="33">
        <f>$C$29*('E Balans VL '!L10+'E Balans VL '!N10)/100/3.6*1000000</f>
        <v>57.133359236992547</v>
      </c>
      <c r="G9" s="34"/>
      <c r="H9" s="33"/>
      <c r="I9" s="33"/>
      <c r="J9" s="33">
        <f>$C$29*('E Balans VL '!D10+'E Balans VL '!E10)/100/3.6*1000000</f>
        <v>0</v>
      </c>
      <c r="K9" s="33"/>
      <c r="L9" s="33"/>
      <c r="M9" s="33"/>
      <c r="N9" s="33">
        <f>$C$29*'E Balans VL '!Y10/100/3.6*1000000</f>
        <v>3.7964070456937424</v>
      </c>
      <c r="O9" s="33"/>
      <c r="P9" s="33"/>
      <c r="R9" s="32"/>
    </row>
    <row r="10" spans="1:18">
      <c r="A10" s="32" t="s">
        <v>49</v>
      </c>
      <c r="B10" s="37">
        <f t="shared" si="0"/>
        <v>528.2242</v>
      </c>
      <c r="C10" s="33"/>
      <c r="D10" s="37">
        <f>IF(ISERROR(TER_ander_gas_kWh/1000),0,TER_ander_gas_kWh/1000)*0.902</f>
        <v>141.14226244059398</v>
      </c>
      <c r="E10" s="33">
        <f>$C$30*'E Balans VL '!I14/100/3.6*1000000</f>
        <v>1.810252082742392</v>
      </c>
      <c r="F10" s="33">
        <f>$C$30*('E Balans VL '!L14+'E Balans VL '!N14)/100/3.6*1000000</f>
        <v>117.98382177695539</v>
      </c>
      <c r="G10" s="34"/>
      <c r="H10" s="33"/>
      <c r="I10" s="33"/>
      <c r="J10" s="33">
        <f>$C$30*('E Balans VL '!D14+'E Balans VL '!E14)/100/3.6*1000000</f>
        <v>0</v>
      </c>
      <c r="K10" s="33"/>
      <c r="L10" s="33"/>
      <c r="M10" s="33"/>
      <c r="N10" s="33">
        <f>$C$30*'E Balans VL '!Y14/100/3.6*1000000</f>
        <v>372.0840121123984</v>
      </c>
      <c r="O10" s="33"/>
      <c r="P10" s="33"/>
      <c r="R10" s="32"/>
    </row>
    <row r="11" spans="1:18">
      <c r="A11" s="32" t="s">
        <v>54</v>
      </c>
      <c r="B11" s="37">
        <f t="shared" si="0"/>
        <v>165.72620000000001</v>
      </c>
      <c r="C11" s="33"/>
      <c r="D11" s="37">
        <f>IF(ISERROR(TER_onderwijs_gas_kWh/1000),0,TER_onderwijs_gas_kWh/1000)*0.902</f>
        <v>0</v>
      </c>
      <c r="E11" s="33">
        <f>$C$31*'E Balans VL '!I11/100/3.6*1000000</f>
        <v>0.11456141809472842</v>
      </c>
      <c r="F11" s="33">
        <f>$C$31*('E Balans VL '!L11+'E Balans VL '!N11)/100/3.6*1000000</f>
        <v>43.38230514052907</v>
      </c>
      <c r="G11" s="34"/>
      <c r="H11" s="33"/>
      <c r="I11" s="33"/>
      <c r="J11" s="33">
        <f>$C$31*('E Balans VL '!D11+'E Balans VL '!E11)/100/3.6*1000000</f>
        <v>0</v>
      </c>
      <c r="K11" s="33"/>
      <c r="L11" s="33"/>
      <c r="M11" s="33"/>
      <c r="N11" s="33">
        <f>$C$31*'E Balans VL '!Y11/100/3.6*1000000</f>
        <v>0.16496631664340622</v>
      </c>
      <c r="O11" s="33"/>
      <c r="P11" s="33"/>
      <c r="R11" s="32"/>
    </row>
    <row r="12" spans="1:18">
      <c r="A12" s="32" t="s">
        <v>249</v>
      </c>
      <c r="B12" s="37">
        <f t="shared" si="0"/>
        <v>1992.2550000000001</v>
      </c>
      <c r="C12" s="33"/>
      <c r="D12" s="37">
        <f>IF(ISERROR(TER_rest_gas_kWh/1000),0,TER_rest_gas_kWh/1000)*0.902</f>
        <v>2433.6811311076485</v>
      </c>
      <c r="E12" s="33">
        <f>$C$32*'E Balans VL '!I8/100/3.6*1000000</f>
        <v>18.012276969421887</v>
      </c>
      <c r="F12" s="33">
        <f>$C$32*('E Balans VL '!L8+'E Balans VL '!N8)/100/3.6*1000000</f>
        <v>293.67442231012967</v>
      </c>
      <c r="G12" s="34"/>
      <c r="H12" s="33"/>
      <c r="I12" s="33"/>
      <c r="J12" s="33">
        <f>$C$32*('E Balans VL '!D8+'E Balans VL '!E8)/100/3.6*1000000</f>
        <v>0</v>
      </c>
      <c r="K12" s="33"/>
      <c r="L12" s="33"/>
      <c r="M12" s="33"/>
      <c r="N12" s="33">
        <f>$C$32*'E Balans VL '!Y8/100/3.6*1000000</f>
        <v>169.91270188774936</v>
      </c>
      <c r="O12" s="33"/>
      <c r="P12" s="33"/>
      <c r="R12" s="32"/>
    </row>
    <row r="13" spans="1:18">
      <c r="A13" s="16" t="s">
        <v>481</v>
      </c>
      <c r="B13" s="243">
        <f ca="1">'lokale energieproductie'!N39+'lokale energieproductie'!N32</f>
        <v>43.649999999999991</v>
      </c>
      <c r="C13" s="243">
        <f ca="1">'lokale energieproductie'!O39+'lokale energieproductie'!O32</f>
        <v>62.357142857142847</v>
      </c>
      <c r="D13" s="302">
        <f ca="1">('lokale energieproductie'!P32+'lokale energieproductie'!P39)*(-1)</f>
        <v>0</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-124.71428571428569</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10358.359399999999</v>
      </c>
      <c r="C16" s="21">
        <f t="shared" ca="1" si="1"/>
        <v>62.357142857142847</v>
      </c>
      <c r="D16" s="21">
        <f t="shared" ca="1" si="1"/>
        <v>7466.4940767001572</v>
      </c>
      <c r="E16" s="21">
        <f t="shared" si="1"/>
        <v>108.87143413947527</v>
      </c>
      <c r="F16" s="21">
        <f t="shared" ca="1" si="1"/>
        <v>1482.4423737163488</v>
      </c>
      <c r="G16" s="21">
        <f t="shared" si="1"/>
        <v>0</v>
      </c>
      <c r="H16" s="21">
        <f t="shared" si="1"/>
        <v>0</v>
      </c>
      <c r="I16" s="21">
        <f t="shared" si="1"/>
        <v>0</v>
      </c>
      <c r="J16" s="21">
        <f t="shared" si="1"/>
        <v>0</v>
      </c>
      <c r="K16" s="21">
        <f t="shared" si="1"/>
        <v>0</v>
      </c>
      <c r="L16" s="21">
        <f t="shared" ca="1" si="1"/>
        <v>0</v>
      </c>
      <c r="M16" s="21">
        <f t="shared" si="1"/>
        <v>0</v>
      </c>
      <c r="N16" s="21">
        <f t="shared" ca="1" si="1"/>
        <v>476.21036183666627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0.20442054511569518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2117.4614750522851</v>
      </c>
      <c r="C20" s="23">
        <f t="shared" ref="C20:P20" ca="1" si="2">C16*C18</f>
        <v>0</v>
      </c>
      <c r="D20" s="23">
        <f t="shared" ca="1" si="2"/>
        <v>1508.2318034934319</v>
      </c>
      <c r="E20" s="23">
        <f t="shared" si="2"/>
        <v>24.713815549660886</v>
      </c>
      <c r="F20" s="23">
        <f t="shared" ca="1" si="2"/>
        <v>395.81211378226516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2249.4879999999998</v>
      </c>
      <c r="C26" s="39">
        <f>IF(ISERROR(B26*3.6/1000000/'E Balans VL '!Z12*100),0,B26*3.6/1000000/'E Balans VL '!Z12*100)</f>
        <v>4.9412604588551776E-2</v>
      </c>
      <c r="D26" s="233" t="s">
        <v>676</v>
      </c>
      <c r="F26" s="6"/>
    </row>
    <row r="27" spans="1:18">
      <c r="A27" s="228" t="s">
        <v>52</v>
      </c>
      <c r="B27" s="33">
        <f>IF(ISERROR(TER_horeca_ele_kWh/1000),0,TER_horeca_ele_kWh/1000)</f>
        <v>938.52190000000007</v>
      </c>
      <c r="C27" s="39">
        <f>IF(ISERROR(B27*3.6/1000000/'E Balans VL '!Z9*100),0,B27*3.6/1000000/'E Balans VL '!Z9*100)</f>
        <v>7.5419589961795361E-2</v>
      </c>
      <c r="D27" s="233" t="s">
        <v>676</v>
      </c>
      <c r="F27" s="6"/>
    </row>
    <row r="28" spans="1:18">
      <c r="A28" s="168" t="s">
        <v>51</v>
      </c>
      <c r="B28" s="33">
        <f>IF(ISERROR(TER_handel_ele_kWh/1000),0,TER_handel_ele_kWh/1000)</f>
        <v>3970.51</v>
      </c>
      <c r="C28" s="39">
        <f>IF(ISERROR(B28*3.6/1000000/'E Balans VL '!Z13*100),0,B28*3.6/1000000/'E Balans VL '!Z13*100)</f>
        <v>0.11740520684347253</v>
      </c>
      <c r="D28" s="233" t="s">
        <v>676</v>
      </c>
      <c r="F28" s="6"/>
    </row>
    <row r="29" spans="1:18">
      <c r="A29" s="228" t="s">
        <v>50</v>
      </c>
      <c r="B29" s="33">
        <f>IF(ISERROR(TER_gezond_ele_kWh/1000),0,TER_gezond_ele_kWh/1000)</f>
        <v>469.98409999999996</v>
      </c>
      <c r="C29" s="39">
        <f>IF(ISERROR(B29*3.6/1000000/'E Balans VL '!Z10*100),0,B29*3.6/1000000/'E Balans VL '!Z10*100)</f>
        <v>5.2955074150145727E-2</v>
      </c>
      <c r="D29" s="233" t="s">
        <v>676</v>
      </c>
      <c r="F29" s="6"/>
    </row>
    <row r="30" spans="1:18">
      <c r="A30" s="228" t="s">
        <v>49</v>
      </c>
      <c r="B30" s="33">
        <f>IF(ISERROR(TER_ander_ele_kWh/1000),0,TER_ander_ele_kWh/1000)</f>
        <v>528.2242</v>
      </c>
      <c r="C30" s="39">
        <f>IF(ISERROR(B30*3.6/1000000/'E Balans VL '!Z14*100),0,B30*3.6/1000000/'E Balans VL '!Z14*100)</f>
        <v>3.9948693287516795E-2</v>
      </c>
      <c r="D30" s="233" t="s">
        <v>676</v>
      </c>
      <c r="F30" s="6"/>
    </row>
    <row r="31" spans="1:18">
      <c r="A31" s="228" t="s">
        <v>54</v>
      </c>
      <c r="B31" s="33">
        <f>IF(ISERROR(TER_onderwijs_ele_kWh/1000),0,TER_onderwijs_ele_kWh/1000)</f>
        <v>165.72620000000001</v>
      </c>
      <c r="C31" s="39">
        <f>IF(ISERROR(B31*3.6/1000000/'E Balans VL '!Z11*100),0,B31*3.6/1000000/'E Balans VL '!Z11*100)</f>
        <v>3.4400911951427582E-2</v>
      </c>
      <c r="D31" s="233" t="s">
        <v>676</v>
      </c>
    </row>
    <row r="32" spans="1:18">
      <c r="A32" s="228" t="s">
        <v>249</v>
      </c>
      <c r="B32" s="33">
        <f>IF(ISERROR(TER_rest_ele_kWh/1000),0,TER_rest_ele_kWh/1000)</f>
        <v>1992.2550000000001</v>
      </c>
      <c r="C32" s="39">
        <f>IF(ISERROR(B32*3.6/1000000/'E Balans VL '!Z8*100),0,B32*3.6/1000000/'E Balans VL '!Z8*100)</f>
        <v>1.6783576371072997E-2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2635.9881100000002</v>
      </c>
      <c r="C5" s="17">
        <f>IF(ISERROR('Eigen informatie GS &amp; warmtenet'!B59),0,'Eigen informatie GS &amp; warmtenet'!B59)</f>
        <v>0</v>
      </c>
      <c r="D5" s="30">
        <f>SUM(D6:D15)</f>
        <v>1389.7571668974892</v>
      </c>
      <c r="E5" s="17">
        <f>SUM(E6:E15)</f>
        <v>286.0039514948603</v>
      </c>
      <c r="F5" s="17">
        <f>SUM(F6:F15)</f>
        <v>1545.94262838805</v>
      </c>
      <c r="G5" s="18"/>
      <c r="H5" s="17"/>
      <c r="I5" s="17"/>
      <c r="J5" s="17">
        <f>SUM(J6:J15)</f>
        <v>13.807129871844239</v>
      </c>
      <c r="K5" s="17"/>
      <c r="L5" s="17"/>
      <c r="M5" s="17"/>
      <c r="N5" s="17">
        <f>SUM(N6:N15)</f>
        <v>313.34815304211241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46.681779999999996</v>
      </c>
      <c r="C8" s="33"/>
      <c r="D8" s="37">
        <f>IF( ISERROR(IND_metaal_Gas_kWH/1000),0,IND_metaal_Gas_kWH/1000)*0.902</f>
        <v>32.197866730116232</v>
      </c>
      <c r="E8" s="33">
        <f>C30*'E Balans VL '!I18/100/3.6*1000000</f>
        <v>1.1682815706702467</v>
      </c>
      <c r="F8" s="33">
        <f>C30*'E Balans VL '!L18/100/3.6*1000000+C30*'E Balans VL '!N18/100/3.6*1000000</f>
        <v>14.63030205911566</v>
      </c>
      <c r="G8" s="34"/>
      <c r="H8" s="33"/>
      <c r="I8" s="33"/>
      <c r="J8" s="40">
        <f>C30*'E Balans VL '!D18/100/3.6*1000000+C30*'E Balans VL '!E18/100/3.6*1000000</f>
        <v>0</v>
      </c>
      <c r="K8" s="33"/>
      <c r="L8" s="33"/>
      <c r="M8" s="33"/>
      <c r="N8" s="33">
        <f>C30*'E Balans VL '!Y18/100/3.6*1000000</f>
        <v>1.1727674633834426</v>
      </c>
      <c r="O8" s="33"/>
      <c r="P8" s="33"/>
      <c r="R8" s="32"/>
    </row>
    <row r="9" spans="1:18">
      <c r="A9" s="6" t="s">
        <v>32</v>
      </c>
      <c r="B9" s="37">
        <f t="shared" si="0"/>
        <v>751.58749999999998</v>
      </c>
      <c r="C9" s="33"/>
      <c r="D9" s="37">
        <f>IF( ISERROR(IND_andere_gas_kWh/1000),0,IND_andere_gas_kWh/1000)*0.902</f>
        <v>381.67393106862579</v>
      </c>
      <c r="E9" s="33">
        <f>C31*'E Balans VL '!I19/100/3.6*1000000</f>
        <v>206.65573609690361</v>
      </c>
      <c r="F9" s="33">
        <f>C31*'E Balans VL '!L19/100/3.6*1000000+C31*'E Balans VL '!N19/100/3.6*1000000</f>
        <v>592.38173561514031</v>
      </c>
      <c r="G9" s="34"/>
      <c r="H9" s="33"/>
      <c r="I9" s="33"/>
      <c r="J9" s="40">
        <f>C31*'E Balans VL '!D19/100/3.6*1000000+C31*'E Balans VL '!E19/100/3.6*1000000</f>
        <v>0</v>
      </c>
      <c r="K9" s="33"/>
      <c r="L9" s="33"/>
      <c r="M9" s="33"/>
      <c r="N9" s="33">
        <f>C31*'E Balans VL '!Y19/100/3.6*1000000</f>
        <v>60.548362616976632</v>
      </c>
      <c r="O9" s="33"/>
      <c r="P9" s="33"/>
      <c r="R9" s="32"/>
    </row>
    <row r="10" spans="1:18">
      <c r="A10" s="6" t="s">
        <v>40</v>
      </c>
      <c r="B10" s="37">
        <f t="shared" si="0"/>
        <v>319.06620000000004</v>
      </c>
      <c r="C10" s="33"/>
      <c r="D10" s="37">
        <f>IF( ISERROR(IND_voed_gas_kWh/1000),0,IND_voed_gas_kWh/1000)*0.902</f>
        <v>350.53593950522497</v>
      </c>
      <c r="E10" s="33">
        <f>C32*'E Balans VL '!I20/100/3.6*1000000</f>
        <v>3.2527041344274461</v>
      </c>
      <c r="F10" s="33">
        <f>C32*'E Balans VL '!L20/100/3.6*1000000+C32*'E Balans VL '!N20/100/3.6*1000000</f>
        <v>602.71405623355315</v>
      </c>
      <c r="G10" s="34"/>
      <c r="H10" s="33"/>
      <c r="I10" s="33"/>
      <c r="J10" s="40">
        <f>C32*'E Balans VL '!D20/100/3.6*1000000+C32*'E Balans VL '!E20/100/3.6*1000000</f>
        <v>7.6362981553329572</v>
      </c>
      <c r="K10" s="33"/>
      <c r="L10" s="33"/>
      <c r="M10" s="33"/>
      <c r="N10" s="33">
        <f>C32*'E Balans VL '!Y20/100/3.6*1000000</f>
        <v>168.1846393195886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47.771629999999995</v>
      </c>
      <c r="C13" s="33"/>
      <c r="D13" s="37">
        <f>IF( ISERROR(IND_papier_gas_kWh/1000),0,IND_papier_gas_kWh/1000)*0.902</f>
        <v>0</v>
      </c>
      <c r="E13" s="33">
        <f>C35*'E Balans VL '!I23/100/3.6*1000000</f>
        <v>9.8938270237380194E-2</v>
      </c>
      <c r="F13" s="33">
        <f>C35*'E Balans VL '!L23/100/3.6*1000000+C35*'E Balans VL '!N23/100/3.6*1000000</f>
        <v>0.94741383713475646</v>
      </c>
      <c r="G13" s="34"/>
      <c r="H13" s="33"/>
      <c r="I13" s="33"/>
      <c r="J13" s="40">
        <f>C35*'E Balans VL '!D23/100/3.6*1000000+C35*'E Balans VL '!E23/100/3.6*1000000</f>
        <v>0</v>
      </c>
      <c r="K13" s="33"/>
      <c r="L13" s="33"/>
      <c r="M13" s="33"/>
      <c r="N13" s="33">
        <f>C35*'E Balans VL '!Y23/100/3.6*1000000</f>
        <v>3.3132040044429147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1470.8810000000001</v>
      </c>
      <c r="C15" s="33"/>
      <c r="D15" s="37">
        <f>IF( ISERROR(IND_rest_gas_kWh/1000),0,IND_rest_gas_kWh/1000)*0.902</f>
        <v>625.34942959352213</v>
      </c>
      <c r="E15" s="33">
        <f>C37*'E Balans VL '!I15/100/3.6*1000000</f>
        <v>74.828291422621632</v>
      </c>
      <c r="F15" s="33">
        <f>C37*'E Balans VL '!L15/100/3.6*1000000+C37*'E Balans VL '!N15/100/3.6*1000000</f>
        <v>335.26912064310619</v>
      </c>
      <c r="G15" s="34"/>
      <c r="H15" s="33"/>
      <c r="I15" s="33"/>
      <c r="J15" s="40">
        <f>C37*'E Balans VL '!D15/100/3.6*1000000+C37*'E Balans VL '!E15/100/3.6*1000000</f>
        <v>6.1708317165112829</v>
      </c>
      <c r="K15" s="33"/>
      <c r="L15" s="33"/>
      <c r="M15" s="33"/>
      <c r="N15" s="33">
        <f>C37*'E Balans VL '!Y15/100/3.6*1000000</f>
        <v>80.129179637720839</v>
      </c>
      <c r="O15" s="33"/>
      <c r="P15" s="33"/>
      <c r="R15" s="32"/>
    </row>
    <row r="16" spans="1:18">
      <c r="A16" s="16" t="s">
        <v>481</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2635.9881100000002</v>
      </c>
      <c r="C18" s="21">
        <f>C5+C16</f>
        <v>0</v>
      </c>
      <c r="D18" s="21">
        <f>MAX((D5+D16),0)</f>
        <v>1389.7571668974892</v>
      </c>
      <c r="E18" s="21">
        <f>MAX((E5+E16),0)</f>
        <v>286.0039514948603</v>
      </c>
      <c r="F18" s="21">
        <f>MAX((F5+F16),0)</f>
        <v>1545.94262838805</v>
      </c>
      <c r="G18" s="21"/>
      <c r="H18" s="21"/>
      <c r="I18" s="21"/>
      <c r="J18" s="21">
        <f>MAX((J5+J16),0)</f>
        <v>13.807129871844239</v>
      </c>
      <c r="K18" s="21"/>
      <c r="L18" s="21">
        <f>MAX((L5+L16),0)</f>
        <v>0</v>
      </c>
      <c r="M18" s="21"/>
      <c r="N18" s="21">
        <f>MAX((N5+N16),0)</f>
        <v>313.34815304211241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0.20442054511569518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538.85012636469116</v>
      </c>
      <c r="C22" s="23">
        <f ca="1">C18*C20</f>
        <v>0</v>
      </c>
      <c r="D22" s="23">
        <f>D18*D20</f>
        <v>280.73094771329284</v>
      </c>
      <c r="E22" s="23">
        <f>E18*E20</f>
        <v>64.922896989333296</v>
      </c>
      <c r="F22" s="23">
        <f>F18*F20</f>
        <v>412.76668177960937</v>
      </c>
      <c r="G22" s="23"/>
      <c r="H22" s="23"/>
      <c r="I22" s="23"/>
      <c r="J22" s="23">
        <f>J18*J20</f>
        <v>4.88772397463286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46.681779999999996</v>
      </c>
      <c r="C30" s="39">
        <f>IF(ISERROR(B30*3.6/1000000/'E Balans VL '!Z18*100),0,B30*3.6/1000000/'E Balans VL '!Z18*100)</f>
        <v>6.5338935124953455E-3</v>
      </c>
      <c r="D30" s="233" t="s">
        <v>676</v>
      </c>
    </row>
    <row r="31" spans="1:18">
      <c r="A31" s="6" t="s">
        <v>32</v>
      </c>
      <c r="B31" s="37">
        <f>IF( ISERROR(IND_ander_ele_kWh/1000),0,IND_ander_ele_kWh/1000)</f>
        <v>751.58749999999998</v>
      </c>
      <c r="C31" s="39">
        <f>IF(ISERROR(B31*3.6/1000000/'E Balans VL '!Z19*100),0,B31*3.6/1000000/'E Balans VL '!Z19*100)</f>
        <v>3.289686295018511E-2</v>
      </c>
      <c r="D31" s="233" t="s">
        <v>676</v>
      </c>
    </row>
    <row r="32" spans="1:18">
      <c r="A32" s="168" t="s">
        <v>40</v>
      </c>
      <c r="B32" s="37">
        <f>IF( ISERROR(IND_voed_ele_kWh/1000),0,IND_voed_ele_kWh/1000)</f>
        <v>319.06620000000004</v>
      </c>
      <c r="C32" s="39">
        <f>IF(ISERROR(B32*3.6/1000000/'E Balans VL '!Z20*100),0,B32*3.6/1000000/'E Balans VL '!Z20*100)</f>
        <v>7.8990195454134327E-2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47.771629999999995</v>
      </c>
      <c r="C35" s="39">
        <f>IF(ISERROR(B35*3.6/1000000/'E Balans VL '!Z22*100),0,B35*3.6/1000000/'E Balans VL '!Z22*100)</f>
        <v>1.3555639616242745E-3</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1470.8810000000001</v>
      </c>
      <c r="C37" s="39">
        <f>IF(ISERROR(B37*3.6/1000000/'E Balans VL '!Z15*100),0,B37*3.6/1000000/'E Balans VL '!Z15*100)</f>
        <v>1.0906330789516442E-2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1143.0952</v>
      </c>
      <c r="C5" s="17">
        <f>'Eigen informatie GS &amp; warmtenet'!B60</f>
        <v>0</v>
      </c>
      <c r="D5" s="30">
        <f>IF(ISERROR(SUM(LB_lb_gas_kWh,LB_rest_gas_kWh)/1000),0,SUM(LB_lb_gas_kWh,LB_rest_gas_kWh)/1000)*0.902</f>
        <v>128.95803724700616</v>
      </c>
      <c r="E5" s="17">
        <f>B17*'E Balans VL '!I25/3.6*1000000/100</f>
        <v>10.587826514679426</v>
      </c>
      <c r="F5" s="17">
        <f>B17*('E Balans VL '!L25/3.6*1000000+'E Balans VL '!N25/3.6*1000000)/100</f>
        <v>2900.2502818121307</v>
      </c>
      <c r="G5" s="18"/>
      <c r="H5" s="17"/>
      <c r="I5" s="17"/>
      <c r="J5" s="17">
        <f>('E Balans VL '!D25+'E Balans VL '!E25)/3.6*1000000*landbouw!B17/100</f>
        <v>175.24925113966444</v>
      </c>
      <c r="K5" s="17"/>
      <c r="L5" s="17">
        <f>L6*(-1)</f>
        <v>0</v>
      </c>
      <c r="M5" s="17"/>
      <c r="N5" s="17">
        <f>N6*(-1)</f>
        <v>124.71428571428569</v>
      </c>
      <c r="O5" s="17"/>
      <c r="P5" s="17"/>
      <c r="R5" s="32"/>
    </row>
    <row r="6" spans="1:18">
      <c r="A6" s="16" t="s">
        <v>481</v>
      </c>
      <c r="B6" s="17" t="s">
        <v>204</v>
      </c>
      <c r="C6" s="17">
        <f>'lokale energieproductie'!O40+'lokale energieproductie'!O33</f>
        <v>62.357142857142847</v>
      </c>
      <c r="D6" s="302">
        <f>('lokale energieproductie'!P33+'lokale energieproductie'!P40)*(-1)</f>
        <v>0</v>
      </c>
      <c r="E6" s="244"/>
      <c r="F6" s="302">
        <f>('lokale energieproductie'!S33+'lokale energieproductie'!S869)*(-1)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1143.0952</v>
      </c>
      <c r="C8" s="21">
        <f>C5+C6</f>
        <v>62.357142857142847</v>
      </c>
      <c r="D8" s="21">
        <f>MAX((D5+D6),0)</f>
        <v>128.95803724700616</v>
      </c>
      <c r="E8" s="21">
        <f>MAX((E5+E6),0)</f>
        <v>10.587826514679426</v>
      </c>
      <c r="F8" s="21">
        <f>MAX((F5+F6),0)</f>
        <v>2900.2502818121307</v>
      </c>
      <c r="G8" s="21"/>
      <c r="H8" s="21"/>
      <c r="I8" s="21"/>
      <c r="J8" s="21">
        <f>MAX((J5+J6),0)</f>
        <v>175.24925113966444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0.20442054511569518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233.67214390313461</v>
      </c>
      <c r="C12" s="23">
        <f ca="1">C8*C10</f>
        <v>0</v>
      </c>
      <c r="D12" s="23">
        <f>D8*D10</f>
        <v>26.049523523895246</v>
      </c>
      <c r="E12" s="23">
        <f>E8*E10</f>
        <v>2.4034366188322296</v>
      </c>
      <c r="F12" s="23">
        <f>F8*F10</f>
        <v>774.36682524383889</v>
      </c>
      <c r="G12" s="23"/>
      <c r="H12" s="23"/>
      <c r="I12" s="23"/>
      <c r="J12" s="23">
        <f>J8*J10</f>
        <v>62.038234903441207</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0.16252389963227745</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320.62674607393228</v>
      </c>
      <c r="C26" s="243">
        <f>B26*'GWP N2O_CH4'!B5</f>
        <v>6733.1616675525784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48.880491353377856</v>
      </c>
      <c r="C27" s="243">
        <f>B27*'GWP N2O_CH4'!B5</f>
        <v>1026.490318420935</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4.8191828764922864</v>
      </c>
      <c r="C28" s="243">
        <f>B28*'GWP N2O_CH4'!B4</f>
        <v>1493.9466917126088</v>
      </c>
      <c r="D28" s="50"/>
    </row>
    <row r="29" spans="1:4">
      <c r="A29" s="41" t="s">
        <v>266</v>
      </c>
      <c r="B29" s="243">
        <f>B34*'ha_N2O bodem landbouw'!B4</f>
        <v>18.879632944924907</v>
      </c>
      <c r="C29" s="243">
        <f>B29*'GWP N2O_CH4'!B4</f>
        <v>5852.6862129267211</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4.2343690611934626E-3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4.4204883956046807E-5</v>
      </c>
      <c r="C5" s="430" t="s">
        <v>204</v>
      </c>
      <c r="D5" s="415">
        <f>SUM(D6:D11)</f>
        <v>7.5917706957397854E-5</v>
      </c>
      <c r="E5" s="415">
        <f>SUM(E6:E11)</f>
        <v>7.3181119459080415E-4</v>
      </c>
      <c r="F5" s="428" t="s">
        <v>204</v>
      </c>
      <c r="G5" s="415">
        <f>SUM(G6:G11)</f>
        <v>0.23184384068338565</v>
      </c>
      <c r="H5" s="415">
        <f>SUM(H6:H11)</f>
        <v>4.3456991362242056E-2</v>
      </c>
      <c r="I5" s="430" t="s">
        <v>204</v>
      </c>
      <c r="J5" s="430" t="s">
        <v>204</v>
      </c>
      <c r="K5" s="430" t="s">
        <v>204</v>
      </c>
      <c r="L5" s="430" t="s">
        <v>204</v>
      </c>
      <c r="M5" s="415">
        <f>SUM(M6:M11)</f>
        <v>1.4767208220856748E-2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2.7113067958911711E-5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4.0949898992278993E-5</v>
      </c>
      <c r="E6" s="858">
        <f>vkm_GW_PW*SUMIFS(TableVerdeelsleutelVkm[LPG],TableVerdeelsleutelVkm[Voertuigtype],"Lichte voertuigen")*SUMIFS(TableECFTransport[EnergieConsumptieFactor (PJ per km)],TableECFTransport[Index],CONCATENATE($A6,"_LPG_LPG"))</f>
        <v>4.0333642102224117E-4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9.2274900229903214E-2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2.3812714548768772E-2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6.0761920221786021E-3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1.4788933566814147E-6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5.6760543088536966E-2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1.0732526752998727E-6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3.2908471271169801E-3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1.534804431847174E-5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3.4967807965118861E-5</v>
      </c>
      <c r="E8" s="418">
        <f>vkm_NGW_PW*SUMIFS(TableVerdeelsleutelVkm[LPG],TableVerdeelsleutelVkm[Voertuigtype],"Lichte voertuigen")*SUMIFS(TableECFTransport[EnergieConsumptieFactor (PJ per km)],TableECFTransport[Index],CONCATENATE($A8,"_LPG_LPG"))</f>
        <v>3.2847477356856303E-4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6.9746795323928842E-2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1.9642971539429288E-2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4.642887563592768E-3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2.6487832198194319E-7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1.306160204101664E-2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2.3202136869669876E-7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7.5728150796839874E-4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12.279134432235223</v>
      </c>
      <c r="C14" s="21"/>
      <c r="D14" s="21">
        <f t="shared" ref="D14:M14" si="0">((D5)*10^9/3600)+D12</f>
        <v>21.088251932610515</v>
      </c>
      <c r="E14" s="21">
        <f t="shared" si="0"/>
        <v>203.28088738633448</v>
      </c>
      <c r="F14" s="21"/>
      <c r="G14" s="21">
        <f t="shared" si="0"/>
        <v>64401.066856496014</v>
      </c>
      <c r="H14" s="21">
        <f t="shared" si="0"/>
        <v>12071.386489511682</v>
      </c>
      <c r="I14" s="21"/>
      <c r="J14" s="21"/>
      <c r="K14" s="21"/>
      <c r="L14" s="21"/>
      <c r="M14" s="21">
        <f t="shared" si="0"/>
        <v>4102.0022835713189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0.20442054511569518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2.5101073541864265</v>
      </c>
      <c r="C18" s="23"/>
      <c r="D18" s="23">
        <f t="shared" ref="D18:M18" si="1">D14*D16</f>
        <v>4.2598268903873242</v>
      </c>
      <c r="E18" s="23">
        <f t="shared" si="1"/>
        <v>46.144761436697927</v>
      </c>
      <c r="F18" s="23"/>
      <c r="G18" s="23">
        <f t="shared" si="1"/>
        <v>17195.084850684438</v>
      </c>
      <c r="H18" s="23">
        <f t="shared" si="1"/>
        <v>3005.775235888409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1.5989895647722216E-5</v>
      </c>
      <c r="C50" s="313">
        <f t="shared" ref="C50:P50" si="2">SUM(C51:C52)</f>
        <v>0</v>
      </c>
      <c r="D50" s="313">
        <f t="shared" si="2"/>
        <v>0</v>
      </c>
      <c r="E50" s="313">
        <f t="shared" si="2"/>
        <v>0</v>
      </c>
      <c r="F50" s="313">
        <f t="shared" si="2"/>
        <v>0</v>
      </c>
      <c r="G50" s="313">
        <f t="shared" si="2"/>
        <v>3.0298742393929088E-3</v>
      </c>
      <c r="H50" s="313">
        <f t="shared" si="2"/>
        <v>0</v>
      </c>
      <c r="I50" s="313">
        <f t="shared" si="2"/>
        <v>0</v>
      </c>
      <c r="J50" s="313">
        <f t="shared" si="2"/>
        <v>0</v>
      </c>
      <c r="K50" s="313">
        <f t="shared" si="2"/>
        <v>0</v>
      </c>
      <c r="L50" s="313">
        <f t="shared" si="2"/>
        <v>0</v>
      </c>
      <c r="M50" s="313">
        <f t="shared" si="2"/>
        <v>1.7442390934557995E-4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1.5989895647722216E-5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3.0298742393929088E-3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1.7442390934557995E-4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4.4416376799228381</v>
      </c>
      <c r="C54" s="21">
        <f t="shared" ref="C54:P54" si="3">(C50)*10^9/3600</f>
        <v>0</v>
      </c>
      <c r="D54" s="21">
        <f t="shared" si="3"/>
        <v>0</v>
      </c>
      <c r="E54" s="21">
        <f t="shared" si="3"/>
        <v>0</v>
      </c>
      <c r="F54" s="21">
        <f t="shared" si="3"/>
        <v>0</v>
      </c>
      <c r="G54" s="21">
        <f t="shared" si="3"/>
        <v>841.63173316469693</v>
      </c>
      <c r="H54" s="21">
        <f t="shared" si="3"/>
        <v>0</v>
      </c>
      <c r="I54" s="21">
        <f t="shared" si="3"/>
        <v>0</v>
      </c>
      <c r="J54" s="21">
        <f t="shared" si="3"/>
        <v>0</v>
      </c>
      <c r="K54" s="21">
        <f t="shared" si="3"/>
        <v>0</v>
      </c>
      <c r="L54" s="21">
        <f t="shared" si="3"/>
        <v>0</v>
      </c>
      <c r="M54" s="21">
        <f t="shared" si="3"/>
        <v>48.45108592932776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0.20442054511569518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0.90796199573623826</v>
      </c>
      <c r="C58" s="23">
        <f t="shared" ref="C58:P58" ca="1" si="4">C54*C56</f>
        <v>0</v>
      </c>
      <c r="D58" s="23">
        <f t="shared" si="4"/>
        <v>0</v>
      </c>
      <c r="E58" s="23">
        <f t="shared" si="4"/>
        <v>0</v>
      </c>
      <c r="F58" s="23">
        <f t="shared" si="4"/>
        <v>0</v>
      </c>
      <c r="G58" s="23">
        <f t="shared" si="4"/>
        <v>224.71567275497409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3704.9962734385731</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N30</f>
        <v>87.299999999999983</v>
      </c>
      <c r="C8" s="537">
        <f>B49</f>
        <v>0</v>
      </c>
      <c r="D8" s="1014"/>
      <c r="E8" s="1014">
        <f>E49</f>
        <v>0</v>
      </c>
      <c r="F8" s="1015"/>
      <c r="G8" s="538"/>
      <c r="H8" s="1014">
        <f>I49</f>
        <v>0</v>
      </c>
      <c r="I8" s="1014">
        <f>G49+F49</f>
        <v>0</v>
      </c>
      <c r="J8" s="1014">
        <f>H49+D49+C49</f>
        <v>102.70588235294116</v>
      </c>
      <c r="K8" s="1014"/>
      <c r="L8" s="1014"/>
      <c r="M8" s="1014"/>
      <c r="N8" s="539"/>
      <c r="O8" s="540">
        <f>C8*$C$12+D8*$D$12+E8*$E$12+F8*$F$12+G8*$G$12+H8*$H$12+I8*$I$12+J8*$J$12</f>
        <v>0</v>
      </c>
      <c r="P8" s="1250"/>
      <c r="Q8" s="1251"/>
      <c r="S8" s="978"/>
      <c r="T8" s="1271"/>
      <c r="U8" s="1271"/>
    </row>
    <row r="9" spans="1:21" s="526" customFormat="1" ht="17.45" customHeight="1" thickBot="1">
      <c r="A9" s="541" t="s">
        <v>237</v>
      </c>
      <c r="B9" s="542">
        <f>N37+'Eigen informatie GS &amp; warmtenet'!B12</f>
        <v>0</v>
      </c>
      <c r="C9" s="54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3792.2962734385733</v>
      </c>
      <c r="C10" s="550">
        <f t="shared" ref="C10:L10" si="0">SUM(C8:C9)</f>
        <v>0</v>
      </c>
      <c r="D10" s="550">
        <f t="shared" si="0"/>
        <v>0</v>
      </c>
      <c r="E10" s="550">
        <f t="shared" si="0"/>
        <v>0</v>
      </c>
      <c r="F10" s="550">
        <f t="shared" si="0"/>
        <v>0</v>
      </c>
      <c r="G10" s="550">
        <f t="shared" si="0"/>
        <v>0</v>
      </c>
      <c r="H10" s="550">
        <f t="shared" si="0"/>
        <v>0</v>
      </c>
      <c r="I10" s="550">
        <f t="shared" si="0"/>
        <v>0</v>
      </c>
      <c r="J10" s="550">
        <f t="shared" si="0"/>
        <v>102.70588235294116</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O30</f>
        <v>124.71428571428569</v>
      </c>
      <c r="C17" s="562">
        <f>B50</f>
        <v>0</v>
      </c>
      <c r="D17" s="563"/>
      <c r="E17" s="563">
        <f>E50</f>
        <v>0</v>
      </c>
      <c r="F17" s="1020"/>
      <c r="G17" s="564"/>
      <c r="H17" s="562">
        <f>I50</f>
        <v>0</v>
      </c>
      <c r="I17" s="563">
        <f>G50+F50</f>
        <v>0</v>
      </c>
      <c r="J17" s="563">
        <f>H50+D50+C50</f>
        <v>146.72268907563023</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124.71428571428569</v>
      </c>
      <c r="C20" s="549">
        <f>SUM(C17:C19)</f>
        <v>0</v>
      </c>
      <c r="D20" s="549">
        <f t="shared" ref="D20:L20" si="1">SUM(D17:D19)</f>
        <v>0</v>
      </c>
      <c r="E20" s="549">
        <f t="shared" si="1"/>
        <v>0</v>
      </c>
      <c r="F20" s="549">
        <f t="shared" si="1"/>
        <v>0</v>
      </c>
      <c r="G20" s="549">
        <f t="shared" si="1"/>
        <v>0</v>
      </c>
      <c r="H20" s="549">
        <f t="shared" si="1"/>
        <v>0</v>
      </c>
      <c r="I20" s="549">
        <f t="shared" si="1"/>
        <v>0</v>
      </c>
      <c r="J20" s="549">
        <f t="shared" si="1"/>
        <v>146.72268907563023</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41027</v>
      </c>
      <c r="C28" s="763">
        <v>9550</v>
      </c>
      <c r="D28" s="620"/>
      <c r="E28" s="619"/>
      <c r="F28" s="619"/>
      <c r="G28" s="619" t="s">
        <v>922</v>
      </c>
      <c r="H28" s="619" t="s">
        <v>923</v>
      </c>
      <c r="I28" s="619"/>
      <c r="J28" s="762"/>
      <c r="K28" s="762"/>
      <c r="L28" s="619" t="s">
        <v>924</v>
      </c>
      <c r="M28" s="619">
        <v>9.6999999999999993</v>
      </c>
      <c r="N28" s="619">
        <v>43.649999999999991</v>
      </c>
      <c r="O28" s="619">
        <v>62.357142857142847</v>
      </c>
      <c r="P28" s="619">
        <v>0</v>
      </c>
      <c r="Q28" s="619">
        <v>124.71428571428569</v>
      </c>
      <c r="R28" s="619">
        <v>0</v>
      </c>
      <c r="S28" s="619">
        <v>0</v>
      </c>
      <c r="T28" s="619">
        <v>0</v>
      </c>
      <c r="U28" s="619">
        <v>0</v>
      </c>
      <c r="V28" s="619">
        <v>0</v>
      </c>
      <c r="W28" s="619">
        <v>0</v>
      </c>
      <c r="X28" s="619">
        <v>10</v>
      </c>
      <c r="Y28" s="619" t="s">
        <v>105</v>
      </c>
      <c r="Z28" s="621" t="s">
        <v>105</v>
      </c>
    </row>
    <row r="29" spans="1:26" s="573" customFormat="1" ht="63.75" hidden="1">
      <c r="A29" s="572"/>
      <c r="B29" s="763">
        <v>41027</v>
      </c>
      <c r="C29" s="763">
        <v>9552</v>
      </c>
      <c r="D29" s="620"/>
      <c r="E29" s="619"/>
      <c r="F29" s="619"/>
      <c r="G29" s="619" t="s">
        <v>922</v>
      </c>
      <c r="H29" s="619" t="s">
        <v>923</v>
      </c>
      <c r="I29" s="619"/>
      <c r="J29" s="762"/>
      <c r="K29" s="762"/>
      <c r="L29" s="619" t="s">
        <v>924</v>
      </c>
      <c r="M29" s="619">
        <v>9.6999999999999993</v>
      </c>
      <c r="N29" s="619">
        <v>43.649999999999991</v>
      </c>
      <c r="O29" s="619">
        <v>62.357142857142847</v>
      </c>
      <c r="P29" s="619">
        <v>0</v>
      </c>
      <c r="Q29" s="619">
        <v>124.71428571428569</v>
      </c>
      <c r="R29" s="619">
        <v>0</v>
      </c>
      <c r="S29" s="619">
        <v>0</v>
      </c>
      <c r="T29" s="619">
        <v>0</v>
      </c>
      <c r="U29" s="619">
        <v>0</v>
      </c>
      <c r="V29" s="619">
        <v>0</v>
      </c>
      <c r="W29" s="619">
        <v>0</v>
      </c>
      <c r="X29" s="619">
        <v>1600</v>
      </c>
      <c r="Y29" s="619" t="s">
        <v>49</v>
      </c>
      <c r="Z29" s="621" t="s">
        <v>149</v>
      </c>
    </row>
    <row r="30" spans="1:26" s="557" customFormat="1" hidden="1">
      <c r="A30" s="575" t="s">
        <v>269</v>
      </c>
      <c r="B30" s="576"/>
      <c r="C30" s="576"/>
      <c r="D30" s="576"/>
      <c r="E30" s="576"/>
      <c r="F30" s="576"/>
      <c r="G30" s="576"/>
      <c r="H30" s="576"/>
      <c r="I30" s="576"/>
      <c r="J30" s="576"/>
      <c r="K30" s="576"/>
      <c r="L30" s="577"/>
      <c r="M30" s="577">
        <f>SUM(M28:M29)</f>
        <v>19.399999999999999</v>
      </c>
      <c r="N30" s="577">
        <f>SUM(N28:N29)</f>
        <v>87.299999999999983</v>
      </c>
      <c r="O30" s="577">
        <f>SUM(O28:O29)</f>
        <v>124.71428571428569</v>
      </c>
      <c r="P30" s="577">
        <f>SUM(P28:P29)</f>
        <v>0</v>
      </c>
      <c r="Q30" s="577">
        <f>SUM(Q28:Q29)</f>
        <v>249.42857142857139</v>
      </c>
      <c r="R30" s="577">
        <f>SUM(R28:R29)</f>
        <v>0</v>
      </c>
      <c r="S30" s="577">
        <f>SUM(S28:S29)</f>
        <v>0</v>
      </c>
      <c r="T30" s="577">
        <f>SUM(T28:T29)</f>
        <v>0</v>
      </c>
      <c r="U30" s="577">
        <f>SUM(U28:U29)</f>
        <v>0</v>
      </c>
      <c r="V30" s="577">
        <f>SUM(V28:V29)</f>
        <v>0</v>
      </c>
      <c r="W30" s="577">
        <f>SUM(W28:W29)</f>
        <v>0</v>
      </c>
      <c r="X30" s="578"/>
      <c r="Y30" s="578"/>
      <c r="Z30" s="579"/>
    </row>
    <row r="31" spans="1:26" s="557" customFormat="1">
      <c r="A31" s="575" t="s">
        <v>276</v>
      </c>
      <c r="B31" s="576"/>
      <c r="C31" s="576"/>
      <c r="D31" s="576"/>
      <c r="E31" s="576"/>
      <c r="F31" s="576"/>
      <c r="G31" s="576"/>
      <c r="H31" s="576"/>
      <c r="I31" s="576"/>
      <c r="J31" s="576"/>
      <c r="K31" s="576"/>
      <c r="L31" s="577"/>
      <c r="M31" s="577">
        <f>SUMIF($Z$28:$Z$29,"industrie",M28:M29)</f>
        <v>0</v>
      </c>
      <c r="N31" s="577">
        <f>SUMIF($Z$28:$Z$29,"industrie",N28:N29)</f>
        <v>0</v>
      </c>
      <c r="O31" s="577">
        <f>SUMIF($Z$28:$Z$29,"industrie",O28:O29)</f>
        <v>0</v>
      </c>
      <c r="P31" s="577">
        <f>SUMIF($Z$28:$Z$29,"industrie",P28:P29)</f>
        <v>0</v>
      </c>
      <c r="Q31" s="577">
        <f>SUMIF($Z$28:$Z$29,"industrie",Q28:Q29)</f>
        <v>0</v>
      </c>
      <c r="R31" s="577">
        <f>SUMIF($Z$28:$Z$29,"industrie",R28:R29)</f>
        <v>0</v>
      </c>
      <c r="S31" s="577">
        <f>SUMIF($Z$28:$Z$29,"industrie",S28:S29)</f>
        <v>0</v>
      </c>
      <c r="T31" s="577">
        <f>SUMIF($Z$28:$Z$29,"industrie",T28:T29)</f>
        <v>0</v>
      </c>
      <c r="U31" s="577">
        <f>SUMIF($Z$28:$Z$29,"industrie",U28:U29)</f>
        <v>0</v>
      </c>
      <c r="V31" s="577">
        <f>SUMIF($Z$28:$Z$29,"industrie",V28:V29)</f>
        <v>0</v>
      </c>
      <c r="W31" s="577">
        <f>SUMIF($Z$28:$Z$29,"industrie",W28:W29)</f>
        <v>0</v>
      </c>
      <c r="X31" s="578"/>
      <c r="Y31" s="578"/>
      <c r="Z31" s="579"/>
    </row>
    <row r="32" spans="1:26" s="557" customFormat="1">
      <c r="A32" s="575" t="s">
        <v>277</v>
      </c>
      <c r="B32" s="576"/>
      <c r="C32" s="576"/>
      <c r="D32" s="576"/>
      <c r="E32" s="576"/>
      <c r="F32" s="576"/>
      <c r="G32" s="576"/>
      <c r="H32" s="576"/>
      <c r="I32" s="576"/>
      <c r="J32" s="576"/>
      <c r="K32" s="576"/>
      <c r="L32" s="577"/>
      <c r="M32" s="577">
        <f ca="1">SUMIF($Z$28:AC29,"tertiair",M28:M29)</f>
        <v>9.6999999999999993</v>
      </c>
      <c r="N32" s="577">
        <f ca="1">SUMIF($Z$28:AD29,"tertiair",N28:N29)</f>
        <v>43.649999999999991</v>
      </c>
      <c r="O32" s="577">
        <f ca="1">SUMIF($Z$28:AE29,"tertiair",O28:O29)</f>
        <v>62.357142857142847</v>
      </c>
      <c r="P32" s="577">
        <f ca="1">SUMIF($Z$28:AF29,"tertiair",P28:P29)</f>
        <v>0</v>
      </c>
      <c r="Q32" s="577">
        <f ca="1">SUMIF($Z$28:AG29,"tertiair",Q28:Q29)</f>
        <v>124.71428571428569</v>
      </c>
      <c r="R32" s="577">
        <f ca="1">SUMIF($Z$28:AH29,"tertiair",R28:R29)</f>
        <v>0</v>
      </c>
      <c r="S32" s="577">
        <f ca="1">SUMIF($Z$28:AI29,"tertiair",S28:S29)</f>
        <v>0</v>
      </c>
      <c r="T32" s="577">
        <f ca="1">SUMIF($Z$28:AJ29,"tertiair",T28:T29)</f>
        <v>0</v>
      </c>
      <c r="U32" s="577">
        <f ca="1">SUMIF($Z$28:AK29,"tertiair",U28:U29)</f>
        <v>0</v>
      </c>
      <c r="V32" s="577">
        <f ca="1">SUMIF($Z$28:AL29,"tertiair",V28:V29)</f>
        <v>0</v>
      </c>
      <c r="W32" s="577">
        <f ca="1">SUMIF($Z$28:AM29,"tertiair",W28:W29)</f>
        <v>0</v>
      </c>
      <c r="X32" s="578"/>
      <c r="Y32" s="578"/>
      <c r="Z32" s="579"/>
    </row>
    <row r="33" spans="1:27" s="557" customFormat="1" ht="15.75" thickBot="1">
      <c r="A33" s="580" t="s">
        <v>278</v>
      </c>
      <c r="B33" s="581"/>
      <c r="C33" s="581"/>
      <c r="D33" s="581"/>
      <c r="E33" s="581"/>
      <c r="F33" s="581"/>
      <c r="G33" s="581"/>
      <c r="H33" s="581"/>
      <c r="I33" s="581"/>
      <c r="J33" s="581"/>
      <c r="K33" s="581"/>
      <c r="L33" s="582"/>
      <c r="M33" s="582">
        <f>SUMIF($Z$28:$Z$29,"landbouw",M28:M29)</f>
        <v>9.6999999999999993</v>
      </c>
      <c r="N33" s="582">
        <f>SUMIF($Z$28:$Z$29,"landbouw",N28:N29)</f>
        <v>43.649999999999991</v>
      </c>
      <c r="O33" s="582">
        <f>SUMIF($Z$28:$Z$29,"landbouw",O28:O29)</f>
        <v>62.357142857142847</v>
      </c>
      <c r="P33" s="582">
        <f>SUMIF($Z$28:$Z$29,"landbouw",P28:P29)</f>
        <v>0</v>
      </c>
      <c r="Q33" s="582">
        <f>SUMIF($Z$28:$Z$29,"landbouw",Q28:Q29)</f>
        <v>124.71428571428569</v>
      </c>
      <c r="R33" s="582">
        <f>SUMIF($Z$28:$Z$29,"landbouw",R28:R29)</f>
        <v>0</v>
      </c>
      <c r="S33" s="582">
        <f>SUMIF($Z$28:$Z$29,"landbouw",S28:S29)</f>
        <v>0</v>
      </c>
      <c r="T33" s="582">
        <f>SUMIF($Z$28:$Z$29,"landbouw",T28:T29)</f>
        <v>0</v>
      </c>
      <c r="U33" s="582">
        <f>SUMIF($Z$28:$Z$29,"landbouw",U28:U29)</f>
        <v>0</v>
      </c>
      <c r="V33" s="582">
        <f>SUMIF($Z$28:$Z$29,"landbouw",V28:V29)</f>
        <v>0</v>
      </c>
      <c r="W33" s="582">
        <f>SUMIF($Z$28:$Z$29,"landbouw",W28:W29)</f>
        <v>0</v>
      </c>
      <c r="X33" s="583"/>
      <c r="Y33" s="583"/>
      <c r="Z33" s="584"/>
    </row>
    <row r="34" spans="1:27" s="526" customFormat="1" ht="15.75" thickBot="1">
      <c r="A34" s="585"/>
      <c r="B34" s="586"/>
      <c r="C34" s="586"/>
      <c r="D34" s="586"/>
      <c r="E34" s="586"/>
      <c r="F34" s="586"/>
      <c r="G34" s="586"/>
      <c r="H34" s="586"/>
      <c r="I34" s="586"/>
      <c r="J34" s="586"/>
      <c r="K34" s="586"/>
      <c r="L34" s="569"/>
      <c r="M34" s="569"/>
      <c r="N34" s="569"/>
      <c r="O34" s="570"/>
      <c r="P34" s="570"/>
    </row>
    <row r="35" spans="1:27" s="526" customFormat="1" ht="45">
      <c r="A35" s="587" t="s">
        <v>270</v>
      </c>
      <c r="B35" s="616" t="s">
        <v>89</v>
      </c>
      <c r="C35" s="616" t="s">
        <v>90</v>
      </c>
      <c r="D35" s="616"/>
      <c r="E35" s="616"/>
      <c r="F35" s="616"/>
      <c r="G35" s="616" t="s">
        <v>91</v>
      </c>
      <c r="H35" s="616" t="s">
        <v>92</v>
      </c>
      <c r="I35" s="616"/>
      <c r="J35" s="616"/>
      <c r="K35" s="616"/>
      <c r="L35" s="616" t="s">
        <v>93</v>
      </c>
      <c r="M35" s="617" t="s">
        <v>287</v>
      </c>
      <c r="N35" s="617" t="s">
        <v>94</v>
      </c>
      <c r="O35" s="617" t="s">
        <v>95</v>
      </c>
      <c r="P35" s="617" t="s">
        <v>531</v>
      </c>
      <c r="Q35" s="617" t="s">
        <v>96</v>
      </c>
      <c r="R35" s="617" t="s">
        <v>97</v>
      </c>
      <c r="S35" s="617" t="s">
        <v>98</v>
      </c>
      <c r="T35" s="617" t="s">
        <v>99</v>
      </c>
      <c r="U35" s="617" t="s">
        <v>100</v>
      </c>
      <c r="V35" s="617" t="s">
        <v>101</v>
      </c>
      <c r="W35" s="616" t="s">
        <v>102</v>
      </c>
      <c r="X35" s="616" t="s">
        <v>288</v>
      </c>
      <c r="Y35" s="616" t="s">
        <v>103</v>
      </c>
      <c r="Z35" s="618" t="s">
        <v>289</v>
      </c>
    </row>
    <row r="36" spans="1:27" s="588" customFormat="1" ht="12.75" hidden="1">
      <c r="A36" s="574"/>
      <c r="B36" s="763"/>
      <c r="C36" s="763"/>
      <c r="D36" s="622"/>
      <c r="E36" s="622"/>
      <c r="F36" s="622"/>
      <c r="G36" s="622"/>
      <c r="H36" s="622"/>
      <c r="I36" s="622"/>
      <c r="J36" s="762"/>
      <c r="K36" s="762"/>
      <c r="L36" s="622"/>
      <c r="M36" s="622"/>
      <c r="N36" s="622"/>
      <c r="O36" s="622"/>
      <c r="P36" s="622"/>
      <c r="Q36" s="622"/>
      <c r="R36" s="622"/>
      <c r="S36" s="622"/>
      <c r="T36" s="622"/>
      <c r="U36" s="622"/>
      <c r="V36" s="622"/>
      <c r="W36" s="622"/>
      <c r="X36" s="622"/>
      <c r="Y36" s="622"/>
      <c r="Z36" s="623"/>
    </row>
    <row r="37" spans="1:27" s="557" customFormat="1" hidden="1">
      <c r="A37" s="575" t="s">
        <v>269</v>
      </c>
      <c r="B37" s="576"/>
      <c r="C37" s="576"/>
      <c r="D37" s="576"/>
      <c r="E37" s="576"/>
      <c r="F37" s="576"/>
      <c r="G37" s="576"/>
      <c r="H37" s="576"/>
      <c r="I37" s="576"/>
      <c r="J37" s="576"/>
      <c r="K37" s="576"/>
      <c r="L37" s="577"/>
      <c r="M37" s="577">
        <f>SUM(M36:M36)</f>
        <v>0</v>
      </c>
      <c r="N37" s="577">
        <f>SUM(N36:N36)</f>
        <v>0</v>
      </c>
      <c r="O37" s="577">
        <f>SUM(O36:O36)</f>
        <v>0</v>
      </c>
      <c r="P37" s="577">
        <f>SUM(P36:P36)</f>
        <v>0</v>
      </c>
      <c r="Q37" s="577">
        <f>SUM(Q36:Q36)</f>
        <v>0</v>
      </c>
      <c r="R37" s="577">
        <f>SUM(R36:R36)</f>
        <v>0</v>
      </c>
      <c r="S37" s="577">
        <f>SUM(S36:S36)</f>
        <v>0</v>
      </c>
      <c r="T37" s="577">
        <f>SUM(T36:T36)</f>
        <v>0</v>
      </c>
      <c r="U37" s="577">
        <f>SUM(U36:U36)</f>
        <v>0</v>
      </c>
      <c r="V37" s="577">
        <f>SUM(V36:V36)</f>
        <v>0</v>
      </c>
      <c r="W37" s="577">
        <f>SUM(W36:W36)</f>
        <v>0</v>
      </c>
      <c r="X37" s="578"/>
      <c r="Y37" s="578"/>
      <c r="Z37" s="579"/>
    </row>
    <row r="38" spans="1:27" s="557" customFormat="1">
      <c r="A38" s="575" t="s">
        <v>276</v>
      </c>
      <c r="B38" s="576"/>
      <c r="C38" s="576"/>
      <c r="D38" s="576"/>
      <c r="E38" s="576"/>
      <c r="F38" s="576"/>
      <c r="G38" s="576"/>
      <c r="H38" s="576"/>
      <c r="I38" s="576"/>
      <c r="J38" s="576"/>
      <c r="K38" s="576"/>
      <c r="L38" s="577"/>
      <c r="M38" s="577">
        <f>SUMIF($Z$36:$Z$36,"industrie",M36:M36)</f>
        <v>0</v>
      </c>
      <c r="N38" s="577">
        <f>SUMIF($Z$36:$Z$36,"industrie",N36:N36)</f>
        <v>0</v>
      </c>
      <c r="O38" s="577">
        <f>SUMIF($Z$36:$Z$36,"industrie",O36:O36)</f>
        <v>0</v>
      </c>
      <c r="P38" s="577">
        <f>SUMIF($Z$36:$Z$36,"industrie",P36:P36)</f>
        <v>0</v>
      </c>
      <c r="Q38" s="577">
        <f>SUMIF($Z$36:$Z$36,"industrie",Q36:Q36)</f>
        <v>0</v>
      </c>
      <c r="R38" s="577">
        <f>SUMIF($Z$36:$Z$36,"industrie",R36:R36)</f>
        <v>0</v>
      </c>
      <c r="S38" s="577">
        <f>SUMIF($Z$36:$Z$36,"industrie",S36:S36)</f>
        <v>0</v>
      </c>
      <c r="T38" s="577">
        <f>SUMIF($Z$36:$Z$36,"industrie",T36:T36)</f>
        <v>0</v>
      </c>
      <c r="U38" s="577">
        <f>SUMIF($Z$36:$Z$36,"industrie",U36:U36)</f>
        <v>0</v>
      </c>
      <c r="V38" s="577">
        <f>SUMIF($Z$36:$Z$36,"industrie",V36:V36)</f>
        <v>0</v>
      </c>
      <c r="W38" s="577">
        <f>SUMIF($Z$36:$Z$36,"industrie",W36:W36)</f>
        <v>0</v>
      </c>
      <c r="X38" s="578"/>
      <c r="Y38" s="578"/>
      <c r="Z38" s="579"/>
    </row>
    <row r="39" spans="1:27" s="557" customFormat="1">
      <c r="A39" s="575" t="s">
        <v>277</v>
      </c>
      <c r="B39" s="576"/>
      <c r="C39" s="576"/>
      <c r="D39" s="576"/>
      <c r="E39" s="576"/>
      <c r="F39" s="576"/>
      <c r="G39" s="576"/>
      <c r="H39" s="576"/>
      <c r="I39" s="576"/>
      <c r="J39" s="576"/>
      <c r="K39" s="576"/>
      <c r="L39" s="577"/>
      <c r="M39" s="577">
        <f>SUMIF($Z$36:$Z$37,"tertiair",M36:M37)</f>
        <v>0</v>
      </c>
      <c r="N39" s="577">
        <f>SUMIF($Z$36:$Z$37,"tertiair",N36:N37)</f>
        <v>0</v>
      </c>
      <c r="O39" s="577">
        <f>SUMIF($Z$36:$Z$37,"tertiair",O36:O37)</f>
        <v>0</v>
      </c>
      <c r="P39" s="577">
        <f>SUMIF($Z$36:$Z$37,"tertiair",P36:P37)</f>
        <v>0</v>
      </c>
      <c r="Q39" s="577">
        <f>SUMIF($Z$36:$Z$37,"tertiair",Q36:Q37)</f>
        <v>0</v>
      </c>
      <c r="R39" s="577">
        <f>SUMIF($Z$36:$Z$37,"tertiair",R36:R37)</f>
        <v>0</v>
      </c>
      <c r="S39" s="577">
        <f>SUMIF($Z$36:$Z$37,"tertiair",S36:S37)</f>
        <v>0</v>
      </c>
      <c r="T39" s="577">
        <f>SUMIF($Z$36:$Z$37,"tertiair",T36:T37)</f>
        <v>0</v>
      </c>
      <c r="U39" s="577">
        <f>SUMIF($Z$36:$Z$37,"tertiair",U36:U37)</f>
        <v>0</v>
      </c>
      <c r="V39" s="577">
        <f>SUMIF($Z$36:$Z$37,"tertiair",V36:V37)</f>
        <v>0</v>
      </c>
      <c r="W39" s="577">
        <f>SUMIF($Z$36:$Z$37,"tertiair",W36:W37)</f>
        <v>0</v>
      </c>
      <c r="X39" s="578"/>
      <c r="Y39" s="578"/>
      <c r="Z39" s="579"/>
    </row>
    <row r="40" spans="1:27" s="557" customFormat="1" ht="15.75" thickBot="1">
      <c r="A40" s="580" t="s">
        <v>278</v>
      </c>
      <c r="B40" s="581"/>
      <c r="C40" s="581"/>
      <c r="D40" s="581"/>
      <c r="E40" s="581"/>
      <c r="F40" s="581"/>
      <c r="G40" s="581"/>
      <c r="H40" s="581"/>
      <c r="I40" s="581"/>
      <c r="J40" s="581"/>
      <c r="K40" s="581"/>
      <c r="L40" s="582"/>
      <c r="M40" s="582">
        <f>SUMIF($Z$36:$Z$38,"landbouw",M36:M38)</f>
        <v>0</v>
      </c>
      <c r="N40" s="582">
        <f>SUMIF($Z$36:$Z$38,"landbouw",N36:N38)</f>
        <v>0</v>
      </c>
      <c r="O40" s="582">
        <f>SUMIF($Z$36:$Z$38,"landbouw",O36:O38)</f>
        <v>0</v>
      </c>
      <c r="P40" s="582">
        <f>SUMIF($Z$36:$Z$38,"landbouw",P36:P38)</f>
        <v>0</v>
      </c>
      <c r="Q40" s="582">
        <f>SUMIF($Z$36:$Z$38,"landbouw",Q36:Q38)</f>
        <v>0</v>
      </c>
      <c r="R40" s="582">
        <f>SUMIF($Z$36:$Z$38,"landbouw",R36:R38)</f>
        <v>0</v>
      </c>
      <c r="S40" s="582">
        <f>SUMIF($Z$36:$Z$38,"landbouw",S36:S38)</f>
        <v>0</v>
      </c>
      <c r="T40" s="582">
        <f>SUMIF($Z$36:$Z$38,"landbouw",T36:T38)</f>
        <v>0</v>
      </c>
      <c r="U40" s="582">
        <f>SUMIF($Z$36:$Z$38,"landbouw",U36:U38)</f>
        <v>0</v>
      </c>
      <c r="V40" s="582">
        <f>SUMIF($Z$36:$Z$38,"landbouw",V36:V38)</f>
        <v>0</v>
      </c>
      <c r="W40" s="582">
        <f>SUMIF($Z$36:$Z$38,"landbouw",W36:W38)</f>
        <v>0</v>
      </c>
      <c r="X40" s="583"/>
      <c r="Y40" s="583"/>
      <c r="Z40" s="584"/>
    </row>
    <row r="41" spans="1:27" s="589" customForma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row>
    <row r="42" spans="1:27" s="589" customFormat="1" ht="15.75" thickBot="1">
      <c r="A42" s="585"/>
      <c r="B42" s="569"/>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row>
    <row r="43" spans="1:27">
      <c r="A43" s="590" t="s">
        <v>271</v>
      </c>
      <c r="B43" s="591"/>
      <c r="C43" s="591"/>
      <c r="D43" s="591"/>
      <c r="E43" s="591"/>
      <c r="F43" s="591"/>
      <c r="G43" s="591"/>
      <c r="H43" s="591"/>
      <c r="I43" s="592"/>
      <c r="J43" s="593"/>
      <c r="K43" s="593"/>
      <c r="L43" s="594"/>
      <c r="M43" s="594"/>
      <c r="N43" s="594"/>
      <c r="O43" s="594"/>
      <c r="P43" s="594"/>
    </row>
    <row r="44" spans="1:27">
      <c r="A44" s="596"/>
      <c r="B44" s="586"/>
      <c r="C44" s="586"/>
      <c r="D44" s="586"/>
      <c r="E44" s="586"/>
      <c r="F44" s="586"/>
      <c r="G44" s="586"/>
      <c r="H44" s="586"/>
      <c r="I44" s="597"/>
      <c r="J44" s="586"/>
      <c r="K44" s="586"/>
      <c r="L44" s="594"/>
      <c r="M44" s="594"/>
      <c r="N44" s="594"/>
      <c r="O44" s="594"/>
      <c r="P44" s="594"/>
    </row>
    <row r="45" spans="1:27">
      <c r="A45" s="598"/>
      <c r="B45" s="599" t="s">
        <v>272</v>
      </c>
      <c r="C45" s="599" t="s">
        <v>273</v>
      </c>
      <c r="D45" s="599"/>
      <c r="E45" s="599"/>
      <c r="F45" s="599"/>
      <c r="G45" s="599"/>
      <c r="H45" s="599"/>
      <c r="I45" s="600"/>
      <c r="J45" s="599"/>
      <c r="K45" s="599"/>
      <c r="L45" s="599"/>
      <c r="M45" s="599"/>
      <c r="N45" s="599"/>
      <c r="O45" s="599"/>
      <c r="P45" s="594"/>
    </row>
    <row r="46" spans="1:27">
      <c r="A46" s="596" t="s">
        <v>269</v>
      </c>
      <c r="B46" s="601">
        <f>IF(ISERROR(O30/(O30+N30)),0,O30/(O30+N30))</f>
        <v>0.58823529411764708</v>
      </c>
      <c r="C46" s="602">
        <f>IF(ISERROR(N30/(O30+N30)),0,N30/(N30+O30))</f>
        <v>0.41176470588235292</v>
      </c>
      <c r="D46" s="569"/>
      <c r="E46" s="569"/>
      <c r="F46" s="569"/>
      <c r="G46" s="569"/>
      <c r="H46" s="569"/>
      <c r="I46" s="603"/>
      <c r="J46" s="569"/>
      <c r="K46" s="569"/>
      <c r="L46" s="604"/>
      <c r="M46" s="604"/>
      <c r="N46" s="604"/>
      <c r="O46" s="604"/>
      <c r="P46" s="594"/>
    </row>
    <row r="47" spans="1:27">
      <c r="A47" s="596"/>
      <c r="B47" s="605"/>
      <c r="C47" s="605"/>
      <c r="D47" s="605"/>
      <c r="E47" s="605"/>
      <c r="F47" s="605"/>
      <c r="G47" s="605"/>
      <c r="H47" s="605"/>
      <c r="I47" s="606"/>
      <c r="J47" s="605"/>
      <c r="K47" s="605"/>
      <c r="L47" s="607"/>
      <c r="M47" s="607"/>
      <c r="N47" s="607"/>
      <c r="O47" s="607"/>
      <c r="P47" s="594"/>
    </row>
    <row r="48" spans="1:27" ht="30">
      <c r="A48" s="608"/>
      <c r="B48" s="609" t="s">
        <v>531</v>
      </c>
      <c r="C48" s="609" t="s">
        <v>96</v>
      </c>
      <c r="D48" s="609" t="s">
        <v>97</v>
      </c>
      <c r="E48" s="609" t="s">
        <v>98</v>
      </c>
      <c r="F48" s="609" t="s">
        <v>99</v>
      </c>
      <c r="G48" s="609" t="s">
        <v>100</v>
      </c>
      <c r="H48" s="609" t="s">
        <v>101</v>
      </c>
      <c r="I48" s="610" t="s">
        <v>102</v>
      </c>
      <c r="J48" s="599"/>
      <c r="K48" s="599"/>
      <c r="L48" s="607"/>
      <c r="M48" s="607"/>
      <c r="N48" s="607"/>
      <c r="O48" s="594"/>
      <c r="P48" s="594"/>
    </row>
    <row r="49" spans="1:16">
      <c r="A49" s="598" t="s">
        <v>274</v>
      </c>
      <c r="B49" s="611">
        <f t="shared" ref="B49:I49" si="2">$C$46*P30</f>
        <v>0</v>
      </c>
      <c r="C49" s="611">
        <f t="shared" si="2"/>
        <v>102.70588235294116</v>
      </c>
      <c r="D49" s="611">
        <f t="shared" si="2"/>
        <v>0</v>
      </c>
      <c r="E49" s="611">
        <f t="shared" si="2"/>
        <v>0</v>
      </c>
      <c r="F49" s="611">
        <f t="shared" si="2"/>
        <v>0</v>
      </c>
      <c r="G49" s="611">
        <f t="shared" si="2"/>
        <v>0</v>
      </c>
      <c r="H49" s="611">
        <f t="shared" si="2"/>
        <v>0</v>
      </c>
      <c r="I49" s="612">
        <f t="shared" si="2"/>
        <v>0</v>
      </c>
      <c r="J49" s="569"/>
      <c r="K49" s="569"/>
      <c r="L49" s="607"/>
      <c r="M49" s="607"/>
      <c r="N49" s="607"/>
      <c r="O49" s="594"/>
      <c r="P49" s="594"/>
    </row>
    <row r="50" spans="1:16" ht="15.75" thickBot="1">
      <c r="A50" s="613" t="s">
        <v>275</v>
      </c>
      <c r="B50" s="614">
        <f t="shared" ref="B50:I50" si="3">$B$46*P30</f>
        <v>0</v>
      </c>
      <c r="C50" s="614">
        <f t="shared" si="3"/>
        <v>146.72268907563023</v>
      </c>
      <c r="D50" s="614">
        <f t="shared" si="3"/>
        <v>0</v>
      </c>
      <c r="E50" s="614">
        <f t="shared" si="3"/>
        <v>0</v>
      </c>
      <c r="F50" s="614">
        <f t="shared" si="3"/>
        <v>0</v>
      </c>
      <c r="G50" s="614">
        <f t="shared" si="3"/>
        <v>0</v>
      </c>
      <c r="H50" s="614">
        <f t="shared" si="3"/>
        <v>0</v>
      </c>
      <c r="I50" s="615">
        <f t="shared" si="3"/>
        <v>0</v>
      </c>
      <c r="J50" s="569"/>
      <c r="K50" s="569"/>
      <c r="L50" s="607"/>
      <c r="M50" s="607"/>
      <c r="N50" s="607"/>
      <c r="O50" s="594"/>
      <c r="P50" s="594"/>
    </row>
    <row r="51" spans="1:16">
      <c r="J51" s="555"/>
      <c r="K51" s="555"/>
      <c r="L51" s="555"/>
      <c r="M51" s="555"/>
      <c r="N51" s="555"/>
    </row>
    <row r="52" spans="1:16">
      <c r="J52" s="555"/>
      <c r="K52" s="555"/>
      <c r="L52" s="555"/>
      <c r="M52" s="555"/>
      <c r="N52"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2021-11-11T13:13:43Z</dcterms:modified>
</cp:coreProperties>
</file>