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3E484722-D453-46BE-99C6-2DC38B3E9C9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D89" i="14" s="1"/>
  <c r="D19" i="59" s="1"/>
  <c r="B19" i="18"/>
  <c r="N18" i="18"/>
  <c r="L88" i="14" s="1"/>
  <c r="M18" i="18"/>
  <c r="L18" i="18"/>
  <c r="L20" i="18" s="1"/>
  <c r="K18" i="18"/>
  <c r="J18" i="18"/>
  <c r="J88" i="14" s="1"/>
  <c r="J18" i="59" s="1"/>
  <c r="I18" i="18"/>
  <c r="H18" i="18"/>
  <c r="M88" i="14" s="1"/>
  <c r="M18" i="59" s="1"/>
  <c r="G18" i="18"/>
  <c r="H88" i="14" s="1"/>
  <c r="F18" i="18"/>
  <c r="F20" i="18" s="1"/>
  <c r="E18" i="18"/>
  <c r="D18" i="18"/>
  <c r="D20" i="18" s="1"/>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G12" i="18"/>
  <c r="F12" i="18"/>
  <c r="E12" i="18"/>
  <c r="D12" i="18"/>
  <c r="C12" i="18"/>
  <c r="L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K88" i="14"/>
  <c r="K18" i="59" s="1"/>
  <c r="I88" i="14"/>
  <c r="I18" i="59" s="1"/>
  <c r="F88" i="14"/>
  <c r="F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E88" i="14" l="1"/>
  <c r="E18" i="59" s="1"/>
  <c r="K10" i="18"/>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H10" i="14" l="1"/>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3"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P15" i="48" l="1"/>
  <c r="L63" i="14"/>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13" i="14"/>
  <c r="J8"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<sst xmlns="http://schemas.openxmlformats.org/spreadsheetml/2006/main" count="2501" uniqueCount="922">
  <si>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</si>
  <si>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</si>
  <si>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</si>
  <si>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</si>
  <si>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</si>
  <si>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</si>
  <si>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</si>
  <si>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</si>
  <si>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</si>
  <si>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</si>
  <si>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</si>
  <si>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</si>
  <si>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</si>
  <si>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</si>
  <si>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</si>
  <si>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</si>
  <si>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</si>
  <si>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</si>
  <si>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</si>
  <si>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</si>
  <si>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</si>
  <si>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</si>
  <si>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</si>
  <si>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</si>
  <si>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</si>
  <si>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</si>
  <si>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</si>
  <si>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</si>
  <si>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</si>
  <si>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</si>
  <si>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</si>
  <si>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</si>
  <si>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</si>
  <si>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</si>
  <si>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</si>
  <si>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</si>
  <si>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</si>
  <si>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</si>
  <si>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</si>
  <si>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</si>
  <si>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</si>
  <si>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</si>
  <si>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</si>
  <si>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</si>
  <si>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</si>
  <si>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</si>
  <si>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</si>
  <si>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</si>
  <si>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</si>
  <si>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</si>
  <si>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</si>
  <si>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</si>
  <si>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</si>
  <si>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</si>
  <si>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</si>
  <si>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</si>
  <si>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</si>
  <si>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</si>
  <si>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</si>
  <si>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</si>
  <si>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</si>
  <si>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</si>
  <si>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</si>
  <si>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</si>
  <si>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</si>
  <si>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</si>
  <si>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</si>
  <si>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</si>
  <si>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</si>
  <si>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</si>
  <si>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</si>
  <si>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</si>
  <si>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</si>
  <si>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</si>
  <si>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</si>
  <si>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</si>
  <si>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</si>
  <si>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</si>
  <si>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</si>
  <si>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</si>
  <si>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</si>
  <si>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</si>
  <si>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</si>
  <si>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</si>
  <si>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</si>
  <si>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</si>
  <si>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</si>
  <si>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</si>
  <si>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</si>
  <si>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</si>
  <si>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</si>
  <si>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</si>
  <si>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</si>
  <si>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</si>
  <si>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</si>
  <si>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</si>
  <si>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</si>
  <si>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</si>
  <si>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</si>
  <si>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</si>
  <si>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</si>
  <si>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</si>
  <si>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</si>
  <si>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</si>
  <si>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</si>
  <si>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</si>
  <si>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</si>
  <si>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</si>
  <si>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</si>
  <si>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</si>
  <si>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</si>
  <si>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</si>
  <si>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</si>
  <si>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</si>
  <si>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</si>
  <si>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</si>
  <si>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</si>
  <si>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</si>
  <si>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</si>
  <si>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</si>
  <si>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</si>
  <si>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</si>
  <si>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</si>
  <si>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</si>
  <si>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</si>
  <si>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</si>
  <si>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</si>
  <si>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</si>
  <si>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</si>
  <si>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</si>
  <si>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</si>
  <si>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</si>
  <si>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</si>
  <si>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</si>
  <si>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</si>
  <si>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</si>
  <si>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</si>
  <si>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</si>
  <si>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</si>
  <si>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</si>
  <si>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</si>
  <si>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</si>
  <si>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</si>
  <si>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</si>
  <si>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</si>
  <si>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</si>
  <si>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</si>
  <si>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</si>
  <si>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</si>
  <si>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</si>
  <si>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</si>
  <si>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</si>
  <si>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</si>
  <si>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</si>
  <si>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</si>
  <si>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</si>
  <si>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</si>
  <si>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</si>
  <si>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</si>
  <si>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</si>
  <si>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</si>
  <si>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</si>
  <si>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</si>
  <si>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</si>
  <si>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</si>
  <si>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</si>
  <si>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</si>
  <si>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</si>
  <si>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</si>
  <si>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</si>
  <si>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</si>
  <si>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</si>
  <si>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</si>
  <si>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</si>
  <si>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</si>
  <si>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</si>
  <si>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</si>
  <si>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</si>
  <si>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</si>
  <si>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</si>
  <si>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</si>
  <si>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</si>
  <si>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</si>
  <si>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</si>
  <si>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</si>
  <si>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</si>
  <si>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</si>
  <si>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</si>
  <si>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</si>
  <si>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</si>
  <si>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</si>
  <si>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</si>
  <si>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</si>
  <si>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</si>
  <si>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</si>
  <si>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</si>
  <si>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</si>
  <si>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</si>
  <si>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</si>
  <si>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</si>
  <si>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</si>
  <si>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</si>
  <si>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</si>
  <si>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</si>
  <si>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</si>
  <si>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</si>
  <si>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</si>
  <si>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</si>
  <si>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</si>
  <si>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</si>
  <si>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</si>
  <si>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</si>
  <si>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</si>
  <si>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</si>
  <si>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</si>
  <si>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</si>
  <si>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</si>
  <si>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</si>
  <si>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</si>
  <si>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</si>
  <si>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</si>
  <si>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</si>
  <si>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</si>
  <si>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</si>
  <si>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</si>
  <si>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</si>
  <si>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</si>
  <si>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</si>
  <si>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</si>
  <si>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</si>
  <si>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</si>
  <si>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</si>
  <si>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</si>
  <si>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</si>
  <si>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</si>
  <si>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</si>
  <si>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</si>
  <si>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</si>
  <si>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</si>
  <si>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</si>
  <si>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</si>
  <si>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</si>
  <si>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</si>
  <si>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</si>
  <si>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</si>
  <si>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</si>
  <si>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</si>
  <si>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</si>
  <si>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</si>
  <si>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</si>
  <si>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</si>
  <si>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</si>
  <si>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</si>
  <si>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</si>
  <si>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</si>
  <si>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</si>
  <si>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</si>
  <si>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</si>
  <si>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</si>
  <si>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</si>
  <si>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</si>
  <si>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</si>
  <si>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</si>
  <si>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</si>
  <si>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</si>
  <si>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</si>
  <si>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</si>
  <si>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</si>
  <si>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</si>
  <si>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</si>
  <si>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</si>
  <si>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</si>
  <si>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</si>
  <si>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</si>
  <si>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</si>
  <si>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</si>
  <si>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</si>
  <si>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</si>
  <si>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</si>
  <si>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</si>
  <si>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</si>
  <si>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</si>
  <si>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</si>
  <si>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</si>
  <si>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</si>
  <si>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</si>
  <si>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</si>
  <si>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</si>
  <si>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</si>
  <si>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</si>
  <si>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</si>
  <si>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</si>
  <si>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</si>
  <si>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</si>
  <si>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</si>
  <si>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</si>
  <si>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</si>
  <si>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</si>
  <si>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</si>
  <si>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</si>
  <si>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</si>
  <si>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</si>
  <si>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</si>
  <si>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</si>
  <si>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</si>
  <si>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</si>
  <si>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</si>
  <si>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</si>
  <si>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</si>
  <si>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</si>
  <si>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</si>
  <si>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</si>
  <si>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</si>
  <si>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</si>
  <si>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</si>
  <si>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</si>
  <si>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</si>
  <si>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</si>
  <si>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</si>
  <si>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</si>
  <si>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</si>
  <si>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</si>
  <si>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</si>
  <si>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</si>
  <si>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</si>
  <si>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</si>
  <si>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</si>
  <si>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</si>
  <si>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</si>
  <si>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</si>
  <si>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</si>
  <si>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</si>
  <si>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</si>
  <si>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</si>
  <si>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</si>
  <si>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</si>
  <si>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</si>
  <si>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</si>
  <si>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</si>
  <si>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</si>
  <si>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</si>
  <si>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</si>
  <si>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</si>
  <si>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</si>
  <si>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</si>
  <si>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</si>
  <si>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</si>
  <si>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</si>
  <si>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</si>
  <si>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</si>
  <si>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</si>
  <si>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</si>
  <si>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</si>
  <si>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</si>
  <si>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</si>
  <si>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</si>
  <si>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</si>
  <si>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</si>
  <si>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</si>
  <si>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</si>
  <si>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</si>
  <si>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</si>
  <si>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</si>
  <si>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</si>
  <si>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</si>
  <si>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</si>
  <si>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</si>
  <si>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</si>
  <si>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</si>
  <si>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</si>
  <si>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</si>
  <si>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</si>
  <si>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</si>
  <si>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</si>
  <si>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</si>
  <si>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</si>
  <si>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</si>
  <si>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</si>
  <si>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</si>
  <si>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</si>
  <si>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</si>
  <si>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</si>
  <si>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</si>
  <si>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</si>
  <si>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</si>
  <si>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</si>
  <si>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</si>
  <si>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</si>
  <si>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</si>
  <si>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</si>
  <si>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</si>
  <si>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</si>
  <si>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</si>
  <si>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</si>
  <si>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</si>
  <si>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</si>
  <si>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</si>
  <si>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</si>
  <si>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</si>
  <si>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</si>
  <si>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</si>
  <si>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</si>
  <si>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</si>
  <si>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</si>
  <si>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</si>
  <si>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</si>
  <si>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</si>
  <si>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</si>
  <si>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</si>
  <si>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</si>
  <si>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</si>
  <si>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</si>
  <si>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</si>
  <si>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</si>
  <si>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</si>
  <si>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</si>
  <si>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</si>
  <si>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</si>
  <si>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</si>
  <si>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</si>
  <si>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</si>
  <si>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</si>
  <si>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</si>
  <si>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</si>
  <si>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</si>
  <si>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</si>
  <si>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</si>
  <si>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</si>
  <si>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</si>
  <si>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</si>
  <si>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</si>
  <si>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</si>
  <si>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</si>
  <si>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</si>
  <si>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</si>
  <si>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</si>
  <si>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</si>
  <si>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</si>
  <si>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</si>
  <si>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</si>
  <si>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</si>
  <si>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</si>
  <si>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</si>
  <si>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</si>
  <si>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</si>
  <si>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</si>
  <si>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</si>
  <si>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</si>
  <si>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</si>
  <si>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</si>
  <si>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</si>
  <si>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</si>
  <si>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</si>
  <si>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</si>
  <si>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</si>
  <si>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</si>
  <si>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</si>
  <si>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</si>
  <si>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</si>
  <si>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</si>
  <si>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</si>
  <si>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</si>
  <si>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</si>
  <si>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</si>
  <si>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</si>
  <si>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</si>
  <si>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</si>
  <si>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</si>
  <si>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</si>
  <si>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</si>
  <si>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</si>
  <si>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</si>
  <si>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</si>
  <si>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</si>
  <si>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</si>
  <si>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</si>
  <si>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</si>
  <si>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</si>
  <si>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</si>
  <si>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</si>
  <si>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</si>
  <si>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</si>
  <si>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</si>
  <si>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</si>
  <si>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</si>
  <si>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</si>
  <si>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</si>
  <si>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</si>
  <si>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</si>
  <si>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</si>
  <si>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</si>
  <si>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</si>
  <si>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</si>
  <si>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</si>
  <si>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</si>
  <si>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</si>
  <si>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</si>
  <si>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</si>
  <si>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</si>
  <si>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</si>
  <si>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</si>
  <si>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</si>
  <si>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</si>
  <si>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</si>
  <si>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</si>
  <si>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</si>
  <si>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</si>
  <si>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</si>
  <si>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</si>
  <si>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</si>
  <si>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</si>
  <si>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</si>
  <si>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</si>
  <si>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</si>
  <si>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</si>
  <si>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</si>
  <si>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</si>
  <si>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</si>
  <si>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</si>
  <si>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</si>
  <si>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</si>
  <si>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</si>
  <si>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</si>
  <si>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</si>
  <si>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</si>
  <si>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</si>
  <si>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</si>
  <si>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</si>
  <si>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</si>
  <si>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</si>
  <si>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</si>
  <si>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</si>
  <si>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</si>
  <si>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</si>
  <si>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</si>
  <si>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</si>
  <si>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</si>
  <si>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</si>
  <si>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</si>
  <si>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</si>
  <si>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</si>
  <si>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</si>
  <si>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</si>
  <si>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</si>
  <si>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</si>
  <si>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</si>
  <si>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</si>
  <si>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</si>
  <si>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</si>
  <si>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</si>
  <si>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</si>
  <si>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</si>
  <si>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</si>
  <si>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</si>
  <si>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</si>
  <si>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</si>
  <si>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</si>
  <si>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</si>
  <si>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</si>
  <si>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</si>
  <si>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</si>
  <si>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</si>
  <si>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</si>
  <si>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</si>
  <si>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</si>
  <si>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</si>
  <si>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</si>
  <si>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</si>
  <si>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</si>
  <si>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</si>
  <si>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</si>
  <si>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</si>
  <si>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</si>
  <si>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</si>
  <si>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</si>
  <si>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</si>
  <si>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</si>
  <si>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</si>
  <si>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</si>
  <si>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</si>
  <si>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</si>
  <si>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</si>
  <si>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</si>
  <si>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</si>
  <si>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</si>
  <si>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</si>
  <si>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</si>
  <si>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</si>
  <si>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</si>
  <si>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</si>
  <si>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</si>
  <si>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</si>
  <si>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</si>
  <si>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</si>
  <si>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</si>
  <si>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</si>
  <si>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</si>
  <si>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</si>
  <si>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</si>
  <si>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</si>
  <si>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</si>
  <si>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</si>
  <si>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</si>
  <si>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</si>
  <si>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</si>
  <si>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</si>
  <si>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</si>
  <si>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</si>
  <si>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</si>
  <si>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</si>
  <si>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</si>
  <si>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</si>
  <si>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</si>
  <si>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</si>
  <si>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</si>
  <si>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</si>
  <si>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</si>
  <si>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</si>
  <si>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</si>
  <si>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</si>
  <si>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</si>
  <si>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</si>
  <si>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</si>
  <si>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</si>
  <si>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</si>
  <si>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</si>
  <si>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</si>
  <si>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</si>
  <si>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</si>
  <si>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</si>
  <si>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</si>
  <si>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</si>
  <si>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</si>
  <si>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</si>
  <si>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</si>
  <si>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</si>
  <si>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</si>
  <si>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</si>
  <si>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</si>
  <si>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</si>
  <si>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</si>
  <si>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</si>
  <si>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</si>
  <si>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</si>
  <si>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</si>
  <si>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</si>
  <si>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</si>
  <si>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</si>
  <si>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</si>
  <si>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</si>
  <si>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</si>
  <si>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</si>
  <si>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</si>
  <si>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</si>
  <si>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</si>
  <si>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</si>
  <si>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</si>
  <si>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</si>
  <si>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</si>
  <si>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</si>
  <si>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</si>
  <si>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</si>
  <si>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</si>
  <si>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</si>
  <si>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</si>
  <si>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</si>
  <si>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</si>
  <si>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</si>
  <si>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</si>
  <si>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</si>
  <si>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</si>
  <si>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</si>
  <si>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</si>
  <si>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</si>
  <si>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</si>
  <si>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</si>
  <si>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</si>
  <si>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</si>
  <si>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</si>
  <si>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</si>
  <si>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</si>
  <si>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</si>
  <si>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</si>
  <si>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</si>
  <si>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</si>
  <si>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</si>
  <si>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</si>
  <si>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</si>
  <si>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</si>
  <si>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</si>
  <si>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</si>
  <si>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</si>
  <si>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</si>
  <si>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</si>
  <si>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</si>
  <si>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</si>
  <si>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</si>
  <si>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</si>
  <si>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</si>
  <si>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</si>
  <si>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</si>
  <si>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</si>
  <si>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</si>
  <si>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</si>
  <si>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</si>
  <si>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</si>
  <si>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</si>
  <si>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</si>
  <si>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</si>
  <si>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</si>
  <si>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</si>
  <si>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</si>
  <si>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</si>
  <si>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</si>
  <si>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</si>
  <si>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</si>
  <si>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</si>
  <si>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</si>
  <si>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</si>
  <si>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</si>
  <si>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</si>
  <si>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</si>
  <si>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</si>
  <si>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</si>
  <si>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</si>
  <si>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</si>
  <si>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</si>
  <si>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</si>
  <si>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</si>
  <si>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</si>
  <si>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</si>
  <si>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</si>
  <si>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</si>
  <si>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</si>
  <si>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</si>
  <si>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</si>
  <si>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</si>
  <si>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</si>
  <si>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</si>
  <si>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</si>
  <si>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</si>
  <si>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</si>
  <si>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</si>
  <si>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</si>
  <si>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</si>
  <si>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</si>
  <si>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</si>
  <si>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</si>
  <si>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</si>
  <si>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</si>
  <si>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</si>
  <si>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</si>
  <si>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</si>
  <si>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</si>
  <si>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</si>
  <si>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</si>
  <si>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</si>
  <si>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</si>
  <si>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</si>
  <si>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</si>
  <si>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</si>
  <si>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</si>
  <si>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</si>
  <si>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</si>
  <si>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</si>
  <si>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</si>
  <si>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</si>
  <si>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</si>
  <si>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</si>
  <si>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</si>
  <si>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</si>
  <si>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</si>
  <si>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</si>
  <si>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</si>
  <si>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</si>
  <si>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</si>
  <si>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</si>
  <si>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</si>
  <si>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</si>
  <si>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</si>
  <si>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</si>
  <si>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</si>
  <si>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</si>
  <si>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</si>
  <si>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</si>
  <si>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</si>
  <si>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</si>
  <si>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</si>
  <si>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</si>
  <si>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</si>
  <si>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</si>
  <si>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</si>
  <si>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</si>
  <si>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</si>
  <si>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</si>
  <si>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</si>
  <si>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</si>
  <si>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</si>
  <si>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</si>
  <si>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</si>
  <si>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</si>
  <si>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</si>
  <si>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</si>
  <si>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</si>
  <si>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</si>
  <si>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</si>
  <si>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</si>
  <si>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</si>
  <si>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</si>
  <si>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</si>
  <si>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</si>
  <si>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</si>
  <si>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</si>
  <si>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</si>
  <si>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</si>
  <si>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</si>
  <si>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</si>
  <si>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</si>
  <si>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</si>
  <si>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</si>
  <si>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</si>
  <si>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</si>
  <si>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</si>
  <si>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</si>
  <si>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</si>
  <si>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</si>
  <si>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</si>
  <si>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</si>
  <si>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</si>
  <si>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</si>
  <si>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</si>
  <si>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</si>
  <si>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</si>
  <si>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</si>
  <si>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</si>
  <si>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</si>
  <si>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</si>
  <si>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</si>
  <si>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</si>
  <si>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</si>
  <si>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</si>
  <si>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</si>
  <si>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</si>
  <si>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</si>
  <si>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</si>
  <si>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</si>
  <si>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</si>
  <si>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</si>
  <si>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</si>
  <si>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</si>
  <si>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</si>
  <si>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</si>
  <si>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</si>
  <si>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</si>
  <si>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</si>
  <si>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</si>
  <si>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</si>
  <si>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</si>
  <si>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</si>
  <si>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</si>
  <si>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</si>
  <si>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</si>
  <si>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</si>
  <si>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</si>
  <si>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</si>
  <si>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</si>
  <si>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</si>
  <si>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</si>
  <si>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</si>
  <si>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</si>
  <si>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</si>
  <si>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</si>
  <si>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</si>
  <si>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</si>
  <si>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</si>
  <si>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</si>
  <si>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</si>
  <si>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</si>
  <si>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</si>
  <si>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</si>
  <si>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</si>
  <si>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</si>
  <si>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</si>
  <si>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</si>
  <si>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</si>
  <si>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</si>
  <si>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</si>
  <si>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</si>
  <si>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</si>
  <si>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</si>
  <si>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</si>
  <si>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</si>
  <si>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</si>
  <si>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</si>
  <si>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</si>
  <si>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</si>
  <si>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</si>
  <si>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</si>
  <si>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</si>
  <si>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</si>
  <si>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</si>
  <si>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</si>
  <si>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</si>
  <si>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</si>
  <si>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</si>
  <si>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</si>
  <si>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</si>
  <si>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</si>
  <si>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</si>
  <si>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</si>
  <si>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</si>
  <si>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</si>
  <si>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</si>
  <si>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</si>
  <si>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</si>
  <si>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</si>
  <si>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34040</t>
  </si>
  <si>
    <t>WAREGEM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</si>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</sst>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2DA778F7-768B-41CF-B863-6D3A8A8EFC6D}"/>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316479.09799187968</c:v>
                </c:pt>
                <c:pt idx="1">
                  <c:v>206660.99623462133</c:v>
                </c:pt>
                <c:pt idx="2">
                  <c:v>2878.154</c:v>
                </c:pt>
                <c:pt idx="3">
                  <c:v>6692.1685695757269</c:v>
                </c:pt>
                <c:pt idx="4">
                  <c:v>529809.90784748504</c:v>
                </c:pt>
                <c:pt idx="5">
                  <c:v>360165.23277662322</c:v>
                </c:pt>
                <c:pt idx="6">
                  <c:v>2012.5608474547541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316479.09799187968</c:v>
                </c:pt>
                <c:pt idx="1">
                  <c:v>206660.99623462133</c:v>
                </c:pt>
                <c:pt idx="2">
                  <c:v>2878.154</c:v>
                </c:pt>
                <c:pt idx="3">
                  <c:v>6692.1685695757269</c:v>
                </c:pt>
                <c:pt idx="4">
                  <c:v>529809.90784748504</c:v>
                </c:pt>
                <c:pt idx="5">
                  <c:v>360165.23277662322</c:v>
                </c:pt>
                <c:pt idx="6">
                  <c:v>2012.5608474547541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67457.616461086043</c:v>
                </c:pt>
                <c:pt idx="2">
                  <c:v>41585.045475099098</c:v>
                </c:pt>
                <c:pt idx="3">
                  <c:v>580.53523758108031</c:v>
                </c:pt>
                <c:pt idx="4">
                  <c:v>1622.1995956694063</c:v>
                </c:pt>
                <c:pt idx="5">
                  <c:v>108688.2301067236</c:v>
                </c:pt>
                <c:pt idx="6">
                  <c:v>90442.432741805576</c:v>
                </c:pt>
                <c:pt idx="7">
                  <c:v>507.59597117902013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67457.616461086043</c:v>
                </c:pt>
                <c:pt idx="2">
                  <c:v>41585.045475099098</c:v>
                </c:pt>
                <c:pt idx="3">
                  <c:v>580.53523758108031</c:v>
                </c:pt>
                <c:pt idx="4">
                  <c:v>1622.1995956694063</c:v>
                </c:pt>
                <c:pt idx="5">
                  <c:v>108688.2301067236</c:v>
                </c:pt>
                <c:pt idx="6">
                  <c:v>90442.432741805576</c:v>
                </c:pt>
                <c:pt idx="7">
                  <c:v>507.59597117902013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34040</v>
      </c>
      <c r="B6" s="383"/>
      <c r="C6" s="384"/>
    </row>
    <row r="7" spans="1:7" s="381" customFormat="1" ht="15.75" customHeight="1">
      <c r="A7" s="385" t="str">
        <f>txtMunicipality</f>
        <v>WAREGEM</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88807.268599999996</v>
      </c>
      <c r="D10" s="983">
        <f ca="1">tertiair!C16</f>
        <v>0</v>
      </c>
      <c r="E10" s="983">
        <f ca="1">tertiair!D16</f>
        <v>103585.82887692389</v>
      </c>
      <c r="F10" s="983">
        <f>tertiair!E16</f>
        <v>784.9293665923002</v>
      </c>
      <c r="G10" s="983">
        <f ca="1">tertiair!F16</f>
        <v>11798.805463041375</v>
      </c>
      <c r="H10" s="983">
        <f>tertiair!G16</f>
        <v>0</v>
      </c>
      <c r="I10" s="983">
        <f>tertiair!H16</f>
        <v>0</v>
      </c>
      <c r="J10" s="983">
        <f>tertiair!I16</f>
        <v>0</v>
      </c>
      <c r="K10" s="983">
        <f>tertiair!J16</f>
        <v>0</v>
      </c>
      <c r="L10" s="983">
        <f>tertiair!K16</f>
        <v>0</v>
      </c>
      <c r="M10" s="983">
        <f ca="1">tertiair!L16</f>
        <v>0</v>
      </c>
      <c r="N10" s="983">
        <f>tertiair!M16</f>
        <v>0</v>
      </c>
      <c r="O10" s="983">
        <f ca="1">tertiair!N16</f>
        <v>4287.5679280637833</v>
      </c>
      <c r="P10" s="983">
        <f>tertiair!O16</f>
        <v>7.8166666666666664</v>
      </c>
      <c r="Q10" s="984">
        <f>tertiair!P16</f>
        <v>266.93333333333334</v>
      </c>
      <c r="R10" s="667">
        <f ca="1">SUM(C10:Q10)</f>
        <v>209539.15023462134</v>
      </c>
      <c r="S10" s="67"/>
    </row>
    <row r="11" spans="1:19" s="440" customFormat="1">
      <c r="A11" s="776" t="s">
        <v>214</v>
      </c>
      <c r="B11" s="781"/>
      <c r="C11" s="983">
        <f>huishoudens!B8</f>
        <v>68627.362331281474</v>
      </c>
      <c r="D11" s="983">
        <f>huishoudens!C8</f>
        <v>0</v>
      </c>
      <c r="E11" s="983">
        <f>huishoudens!D8</f>
        <v>114655.14573817945</v>
      </c>
      <c r="F11" s="983">
        <f>huishoudens!E8</f>
        <v>3417.8834278392737</v>
      </c>
      <c r="G11" s="983">
        <f>huishoudens!F8</f>
        <v>107823.55901754595</v>
      </c>
      <c r="H11" s="983">
        <f>huishoudens!G8</f>
        <v>0</v>
      </c>
      <c r="I11" s="983">
        <f>huishoudens!H8</f>
        <v>0</v>
      </c>
      <c r="J11" s="983">
        <f>huishoudens!I8</f>
        <v>0</v>
      </c>
      <c r="K11" s="983">
        <f>huishoudens!J8</f>
        <v>2514.4413231019212</v>
      </c>
      <c r="L11" s="983">
        <f>huishoudens!K8</f>
        <v>0</v>
      </c>
      <c r="M11" s="983">
        <f>huishoudens!L8</f>
        <v>0</v>
      </c>
      <c r="N11" s="983">
        <f>huishoudens!M8</f>
        <v>0</v>
      </c>
      <c r="O11" s="983">
        <f>huishoudens!N8</f>
        <v>18033.669487264997</v>
      </c>
      <c r="P11" s="983">
        <f>huishoudens!O8</f>
        <v>529.97</v>
      </c>
      <c r="Q11" s="984">
        <f>huishoudens!P8</f>
        <v>877.06666666666661</v>
      </c>
      <c r="R11" s="667">
        <f>SUM(C11:Q11)</f>
        <v>316479.09799187968</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238320.04810000001</v>
      </c>
      <c r="D13" s="983">
        <f>industrie!C18</f>
        <v>0</v>
      </c>
      <c r="E13" s="983">
        <f>industrie!D18</f>
        <v>212157.02906366254</v>
      </c>
      <c r="F13" s="983">
        <f>industrie!E18</f>
        <v>12764.206463300878</v>
      </c>
      <c r="G13" s="983">
        <f>industrie!F18</f>
        <v>54764.136005083688</v>
      </c>
      <c r="H13" s="983">
        <f>industrie!G18</f>
        <v>0</v>
      </c>
      <c r="I13" s="983">
        <f>industrie!H18</f>
        <v>0</v>
      </c>
      <c r="J13" s="983">
        <f>industrie!I18</f>
        <v>0</v>
      </c>
      <c r="K13" s="983">
        <f>industrie!J18</f>
        <v>686.15492404186455</v>
      </c>
      <c r="L13" s="983">
        <f>industrie!K18</f>
        <v>0</v>
      </c>
      <c r="M13" s="983">
        <f>industrie!L18</f>
        <v>0</v>
      </c>
      <c r="N13" s="983">
        <f>industrie!M18</f>
        <v>0</v>
      </c>
      <c r="O13" s="983">
        <f>industrie!N18</f>
        <v>11118.333291396077</v>
      </c>
      <c r="P13" s="983">
        <f>industrie!O18</f>
        <v>0</v>
      </c>
      <c r="Q13" s="984">
        <f>industrie!P18</f>
        <v>0</v>
      </c>
      <c r="R13" s="667">
        <f>SUM(C13:Q13)</f>
        <v>529809.90784748504</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395754.6790312815</v>
      </c>
      <c r="D16" s="699">
        <f t="shared" ref="D16:R16" ca="1" si="0">SUM(D9:D15)</f>
        <v>0</v>
      </c>
      <c r="E16" s="699">
        <f t="shared" ca="1" si="0"/>
        <v>430398.00367876585</v>
      </c>
      <c r="F16" s="699">
        <f t="shared" si="0"/>
        <v>16967.019257732452</v>
      </c>
      <c r="G16" s="699">
        <f t="shared" ca="1" si="0"/>
        <v>174386.50048567101</v>
      </c>
      <c r="H16" s="699">
        <f t="shared" si="0"/>
        <v>0</v>
      </c>
      <c r="I16" s="699">
        <f t="shared" si="0"/>
        <v>0</v>
      </c>
      <c r="J16" s="699">
        <f t="shared" si="0"/>
        <v>0</v>
      </c>
      <c r="K16" s="699">
        <f t="shared" si="0"/>
        <v>3200.5962471437856</v>
      </c>
      <c r="L16" s="699">
        <f t="shared" si="0"/>
        <v>0</v>
      </c>
      <c r="M16" s="699">
        <f t="shared" ca="1" si="0"/>
        <v>0</v>
      </c>
      <c r="N16" s="699">
        <f t="shared" si="0"/>
        <v>0</v>
      </c>
      <c r="O16" s="699">
        <f t="shared" ca="1" si="0"/>
        <v>33439.570706724859</v>
      </c>
      <c r="P16" s="699">
        <f t="shared" si="0"/>
        <v>537.78666666666675</v>
      </c>
      <c r="Q16" s="699">
        <f t="shared" si="0"/>
        <v>1144</v>
      </c>
      <c r="R16" s="699">
        <f t="shared" ca="1" si="0"/>
        <v>1055828.1560739861</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9.9930930065687829</v>
      </c>
      <c r="D19" s="983">
        <f>transport!C54</f>
        <v>0</v>
      </c>
      <c r="E19" s="983">
        <f>transport!D54</f>
        <v>0</v>
      </c>
      <c r="F19" s="983">
        <f>transport!E54</f>
        <v>0</v>
      </c>
      <c r="G19" s="983">
        <f>transport!F54</f>
        <v>0</v>
      </c>
      <c r="H19" s="983">
        <f>transport!G54</f>
        <v>1893.55926639667</v>
      </c>
      <c r="I19" s="983">
        <f>transport!H54</f>
        <v>0</v>
      </c>
      <c r="J19" s="983">
        <f>transport!I54</f>
        <v>0</v>
      </c>
      <c r="K19" s="983">
        <f>transport!J54</f>
        <v>0</v>
      </c>
      <c r="L19" s="983">
        <f>transport!K54</f>
        <v>0</v>
      </c>
      <c r="M19" s="983">
        <f>transport!L54</f>
        <v>0</v>
      </c>
      <c r="N19" s="983">
        <f>transport!M54</f>
        <v>109.00848805151522</v>
      </c>
      <c r="O19" s="983">
        <f>transport!N54</f>
        <v>0</v>
      </c>
      <c r="P19" s="983">
        <f>transport!O54</f>
        <v>0</v>
      </c>
      <c r="Q19" s="984">
        <f>transport!P54</f>
        <v>0</v>
      </c>
      <c r="R19" s="667">
        <f>SUM(C19:Q19)</f>
        <v>2012.5608474547541</v>
      </c>
      <c r="S19" s="67"/>
    </row>
    <row r="20" spans="1:19" s="440" customFormat="1">
      <c r="A20" s="776" t="s">
        <v>296</v>
      </c>
      <c r="B20" s="781"/>
      <c r="C20" s="983">
        <f>transport!B14</f>
        <v>46.910832746102543</v>
      </c>
      <c r="D20" s="983">
        <f>transport!C14</f>
        <v>0</v>
      </c>
      <c r="E20" s="983">
        <f>transport!D14</f>
        <v>65.240293696370259</v>
      </c>
      <c r="F20" s="983">
        <f>transport!E14</f>
        <v>716.0239193437319</v>
      </c>
      <c r="G20" s="983">
        <f>transport!F14</f>
        <v>0</v>
      </c>
      <c r="H20" s="983">
        <f>transport!G14</f>
        <v>301968.38739468553</v>
      </c>
      <c r="I20" s="983">
        <f>transport!H14</f>
        <v>38681.506966944144</v>
      </c>
      <c r="J20" s="983">
        <f>transport!I14</f>
        <v>0</v>
      </c>
      <c r="K20" s="983">
        <f>transport!J14</f>
        <v>0</v>
      </c>
      <c r="L20" s="983">
        <f>transport!K14</f>
        <v>0</v>
      </c>
      <c r="M20" s="983">
        <f>transport!L14</f>
        <v>0</v>
      </c>
      <c r="N20" s="983">
        <f>transport!M14</f>
        <v>18687.163369207381</v>
      </c>
      <c r="O20" s="983">
        <f>transport!N14</f>
        <v>0</v>
      </c>
      <c r="P20" s="983">
        <f>transport!O14</f>
        <v>0</v>
      </c>
      <c r="Q20" s="984">
        <f>transport!P14</f>
        <v>0</v>
      </c>
      <c r="R20" s="667">
        <f>SUM(C20:Q20)</f>
        <v>360165.23277662322</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56.903925752671327</v>
      </c>
      <c r="D22" s="779">
        <f t="shared" ref="D22:R22" si="1">SUM(D18:D21)</f>
        <v>0</v>
      </c>
      <c r="E22" s="779">
        <f t="shared" si="1"/>
        <v>65.240293696370259</v>
      </c>
      <c r="F22" s="779">
        <f t="shared" si="1"/>
        <v>716.0239193437319</v>
      </c>
      <c r="G22" s="779">
        <f t="shared" si="1"/>
        <v>0</v>
      </c>
      <c r="H22" s="779">
        <f t="shared" si="1"/>
        <v>303861.94666108221</v>
      </c>
      <c r="I22" s="779">
        <f t="shared" si="1"/>
        <v>38681.506966944144</v>
      </c>
      <c r="J22" s="779">
        <f t="shared" si="1"/>
        <v>0</v>
      </c>
      <c r="K22" s="779">
        <f t="shared" si="1"/>
        <v>0</v>
      </c>
      <c r="L22" s="779">
        <f t="shared" si="1"/>
        <v>0</v>
      </c>
      <c r="M22" s="779">
        <f t="shared" si="1"/>
        <v>0</v>
      </c>
      <c r="N22" s="779">
        <f t="shared" si="1"/>
        <v>18796.171857258898</v>
      </c>
      <c r="O22" s="779">
        <f t="shared" si="1"/>
        <v>0</v>
      </c>
      <c r="P22" s="779">
        <f t="shared" si="1"/>
        <v>0</v>
      </c>
      <c r="Q22" s="779">
        <f t="shared" si="1"/>
        <v>0</v>
      </c>
      <c r="R22" s="779">
        <f t="shared" si="1"/>
        <v>362177.79362407798</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1437.0053</v>
      </c>
      <c r="D24" s="983">
        <f>+landbouw!C8</f>
        <v>0</v>
      </c>
      <c r="E24" s="983">
        <f>+landbouw!D8</f>
        <v>1375.5879797693051</v>
      </c>
      <c r="F24" s="983">
        <f>+landbouw!E8</f>
        <v>13.310144961744976</v>
      </c>
      <c r="G24" s="983">
        <f>+landbouw!F8</f>
        <v>3645.9561953287234</v>
      </c>
      <c r="H24" s="983">
        <f>+landbouw!G8</f>
        <v>0</v>
      </c>
      <c r="I24" s="983">
        <f>+landbouw!H8</f>
        <v>0</v>
      </c>
      <c r="J24" s="983">
        <f>+landbouw!I8</f>
        <v>0</v>
      </c>
      <c r="K24" s="983">
        <f>+landbouw!J8</f>
        <v>220.3089495159536</v>
      </c>
      <c r="L24" s="983">
        <f>+landbouw!K8</f>
        <v>0</v>
      </c>
      <c r="M24" s="983">
        <f>+landbouw!L8</f>
        <v>0</v>
      </c>
      <c r="N24" s="983">
        <f>+landbouw!M8</f>
        <v>0</v>
      </c>
      <c r="O24" s="983">
        <f>+landbouw!N8</f>
        <v>0</v>
      </c>
      <c r="P24" s="983">
        <f>+landbouw!O8</f>
        <v>0</v>
      </c>
      <c r="Q24" s="984">
        <f>+landbouw!P8</f>
        <v>0</v>
      </c>
      <c r="R24" s="667">
        <f>SUM(C24:Q24)</f>
        <v>6692.1685695757269</v>
      </c>
      <c r="S24" s="67"/>
    </row>
    <row r="25" spans="1:19" s="440" customFormat="1" ht="15" thickBot="1">
      <c r="A25" s="798" t="s">
        <v>829</v>
      </c>
      <c r="B25" s="986"/>
      <c r="C25" s="987">
        <f>IF(Onbekend_ele_kWh="---",0,Onbekend_ele_kWh)/1000+IF(REST_rest_ele_kWh="---",0,REST_rest_ele_kWh)/1000</f>
        <v>2591.116</v>
      </c>
      <c r="D25" s="987"/>
      <c r="E25" s="987">
        <f>IF(onbekend_gas_kWh="---",0,onbekend_gas_kWh)/1000+IF(REST_rest_gas_kWh="---",0,REST_rest_gas_kWh)/1000</f>
        <v>5912.8815285192804</v>
      </c>
      <c r="F25" s="987"/>
      <c r="G25" s="987"/>
      <c r="H25" s="987"/>
      <c r="I25" s="987"/>
      <c r="J25" s="987"/>
      <c r="K25" s="987"/>
      <c r="L25" s="987"/>
      <c r="M25" s="987"/>
      <c r="N25" s="987"/>
      <c r="O25" s="987"/>
      <c r="P25" s="987"/>
      <c r="Q25" s="988"/>
      <c r="R25" s="667">
        <f>SUM(C25:Q25)</f>
        <v>8503.9975285192813</v>
      </c>
      <c r="S25" s="67"/>
    </row>
    <row r="26" spans="1:19" s="440" customFormat="1" ht="15.75" thickBot="1">
      <c r="A26" s="672" t="s">
        <v>830</v>
      </c>
      <c r="B26" s="784"/>
      <c r="C26" s="779">
        <f>SUM(C24:C25)</f>
        <v>4028.1212999999998</v>
      </c>
      <c r="D26" s="779">
        <f t="shared" ref="D26:R26" si="2">SUM(D24:D25)</f>
        <v>0</v>
      </c>
      <c r="E26" s="779">
        <f t="shared" si="2"/>
        <v>7288.4695082885855</v>
      </c>
      <c r="F26" s="779">
        <f t="shared" si="2"/>
        <v>13.310144961744976</v>
      </c>
      <c r="G26" s="779">
        <f t="shared" si="2"/>
        <v>3645.9561953287234</v>
      </c>
      <c r="H26" s="779">
        <f t="shared" si="2"/>
        <v>0</v>
      </c>
      <c r="I26" s="779">
        <f t="shared" si="2"/>
        <v>0</v>
      </c>
      <c r="J26" s="779">
        <f t="shared" si="2"/>
        <v>0</v>
      </c>
      <c r="K26" s="779">
        <f t="shared" si="2"/>
        <v>220.3089495159536</v>
      </c>
      <c r="L26" s="779">
        <f t="shared" si="2"/>
        <v>0</v>
      </c>
      <c r="M26" s="779">
        <f t="shared" si="2"/>
        <v>0</v>
      </c>
      <c r="N26" s="779">
        <f t="shared" si="2"/>
        <v>0</v>
      </c>
      <c r="O26" s="779">
        <f t="shared" si="2"/>
        <v>0</v>
      </c>
      <c r="P26" s="779">
        <f t="shared" si="2"/>
        <v>0</v>
      </c>
      <c r="Q26" s="779">
        <f t="shared" si="2"/>
        <v>0</v>
      </c>
      <c r="R26" s="779">
        <f t="shared" si="2"/>
        <v>15196.166098095007</v>
      </c>
      <c r="S26" s="67"/>
    </row>
    <row r="27" spans="1:19" s="440" customFormat="1" ht="17.25" thickTop="1" thickBot="1">
      <c r="A27" s="673" t="s">
        <v>109</v>
      </c>
      <c r="B27" s="772"/>
      <c r="C27" s="674">
        <f ca="1">C22+C16+C26</f>
        <v>399839.70425703417</v>
      </c>
      <c r="D27" s="674">
        <f t="shared" ref="D27:R27" ca="1" si="3">D22+D16+D26</f>
        <v>0</v>
      </c>
      <c r="E27" s="674">
        <f t="shared" ca="1" si="3"/>
        <v>437751.7134807508</v>
      </c>
      <c r="F27" s="674">
        <f t="shared" si="3"/>
        <v>17696.353322037932</v>
      </c>
      <c r="G27" s="674">
        <f t="shared" ca="1" si="3"/>
        <v>178032.45668099975</v>
      </c>
      <c r="H27" s="674">
        <f t="shared" si="3"/>
        <v>303861.94666108221</v>
      </c>
      <c r="I27" s="674">
        <f t="shared" si="3"/>
        <v>38681.506966944144</v>
      </c>
      <c r="J27" s="674">
        <f t="shared" si="3"/>
        <v>0</v>
      </c>
      <c r="K27" s="674">
        <f t="shared" si="3"/>
        <v>3420.905196659739</v>
      </c>
      <c r="L27" s="674">
        <f t="shared" si="3"/>
        <v>0</v>
      </c>
      <c r="M27" s="674">
        <f t="shared" ca="1" si="3"/>
        <v>0</v>
      </c>
      <c r="N27" s="674">
        <f t="shared" si="3"/>
        <v>18796.171857258898</v>
      </c>
      <c r="O27" s="674">
        <f t="shared" ca="1" si="3"/>
        <v>33439.570706724859</v>
      </c>
      <c r="P27" s="674">
        <f t="shared" si="3"/>
        <v>537.78666666666675</v>
      </c>
      <c r="Q27" s="674">
        <f t="shared" si="3"/>
        <v>1144</v>
      </c>
      <c r="R27" s="674">
        <f t="shared" ca="1" si="3"/>
        <v>1433202.115796159</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17912.783254693048</v>
      </c>
      <c r="D40" s="983">
        <f ca="1">tertiair!C20</f>
        <v>0</v>
      </c>
      <c r="E40" s="983">
        <f ca="1">tertiair!D20</f>
        <v>20924.337433138626</v>
      </c>
      <c r="F40" s="983">
        <f>tertiair!E20</f>
        <v>178.17896621645215</v>
      </c>
      <c r="G40" s="983">
        <f ca="1">tertiair!F20</f>
        <v>3150.2810586320475</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42165.580712680174</v>
      </c>
    </row>
    <row r="41" spans="1:18">
      <c r="A41" s="789" t="s">
        <v>214</v>
      </c>
      <c r="B41" s="796"/>
      <c r="C41" s="983">
        <f ca="1">huishoudens!B12</f>
        <v>13842.414997791422</v>
      </c>
      <c r="D41" s="983">
        <f ca="1">huishoudens!C12</f>
        <v>0</v>
      </c>
      <c r="E41" s="983">
        <f>huishoudens!D12</f>
        <v>23160.339439112249</v>
      </c>
      <c r="F41" s="983">
        <f>huishoudens!E12</f>
        <v>775.85953811951515</v>
      </c>
      <c r="G41" s="983">
        <f>huishoudens!F12</f>
        <v>28788.890257684772</v>
      </c>
      <c r="H41" s="983">
        <f>huishoudens!G12</f>
        <v>0</v>
      </c>
      <c r="I41" s="983">
        <f>huishoudens!H12</f>
        <v>0</v>
      </c>
      <c r="J41" s="983">
        <f>huishoudens!I12</f>
        <v>0</v>
      </c>
      <c r="K41" s="983">
        <f>huishoudens!J12</f>
        <v>890.11222837808009</v>
      </c>
      <c r="L41" s="983">
        <f>huishoudens!K12</f>
        <v>0</v>
      </c>
      <c r="M41" s="983">
        <f>huishoudens!L12</f>
        <v>0</v>
      </c>
      <c r="N41" s="983">
        <f>huishoudens!M12</f>
        <v>0</v>
      </c>
      <c r="O41" s="983">
        <f>huishoudens!N12</f>
        <v>0</v>
      </c>
      <c r="P41" s="983">
        <f>huishoudens!O12</f>
        <v>0</v>
      </c>
      <c r="Q41" s="741">
        <f>huishoudens!P12</f>
        <v>0</v>
      </c>
      <c r="R41" s="817">
        <f t="shared" ca="1" si="4"/>
        <v>67457.616461086043</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48070.112212226311</v>
      </c>
      <c r="D43" s="983">
        <f ca="1">industrie!C22</f>
        <v>0</v>
      </c>
      <c r="E43" s="983">
        <f>industrie!D22</f>
        <v>42855.719870859837</v>
      </c>
      <c r="F43" s="983">
        <f>industrie!E22</f>
        <v>2897.4748671692992</v>
      </c>
      <c r="G43" s="983">
        <f>industrie!F22</f>
        <v>14622.024313357346</v>
      </c>
      <c r="H43" s="983">
        <f>industrie!G22</f>
        <v>0</v>
      </c>
      <c r="I43" s="983">
        <f>industrie!H22</f>
        <v>0</v>
      </c>
      <c r="J43" s="983">
        <f>industrie!I22</f>
        <v>0</v>
      </c>
      <c r="K43" s="983">
        <f>industrie!J22</f>
        <v>242.89884311082002</v>
      </c>
      <c r="L43" s="983">
        <f>industrie!K22</f>
        <v>0</v>
      </c>
      <c r="M43" s="983">
        <f>industrie!L22</f>
        <v>0</v>
      </c>
      <c r="N43" s="983">
        <f>industrie!M22</f>
        <v>0</v>
      </c>
      <c r="O43" s="983">
        <f>industrie!N22</f>
        <v>0</v>
      </c>
      <c r="P43" s="983">
        <f>industrie!O22</f>
        <v>0</v>
      </c>
      <c r="Q43" s="741">
        <f>industrie!P22</f>
        <v>0</v>
      </c>
      <c r="R43" s="816">
        <f t="shared" ca="1" si="4"/>
        <v>108688.2301067236</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79825.310464710783</v>
      </c>
      <c r="D46" s="699">
        <f t="shared" ref="D46:Q46" ca="1" si="5">SUM(D39:D45)</f>
        <v>0</v>
      </c>
      <c r="E46" s="699">
        <f t="shared" ca="1" si="5"/>
        <v>86940.396743110701</v>
      </c>
      <c r="F46" s="699">
        <f t="shared" si="5"/>
        <v>3851.5133715052666</v>
      </c>
      <c r="G46" s="699">
        <f t="shared" ca="1" si="5"/>
        <v>46561.19562967417</v>
      </c>
      <c r="H46" s="699">
        <f t="shared" si="5"/>
        <v>0</v>
      </c>
      <c r="I46" s="699">
        <f t="shared" si="5"/>
        <v>0</v>
      </c>
      <c r="J46" s="699">
        <f t="shared" si="5"/>
        <v>0</v>
      </c>
      <c r="K46" s="699">
        <f t="shared" si="5"/>
        <v>1133.0110714889001</v>
      </c>
      <c r="L46" s="699">
        <f t="shared" si="5"/>
        <v>0</v>
      </c>
      <c r="M46" s="699">
        <f t="shared" ca="1" si="5"/>
        <v>0</v>
      </c>
      <c r="N46" s="699">
        <f t="shared" si="5"/>
        <v>0</v>
      </c>
      <c r="O46" s="699">
        <f t="shared" ca="1" si="5"/>
        <v>0</v>
      </c>
      <c r="P46" s="699">
        <f t="shared" si="5"/>
        <v>0</v>
      </c>
      <c r="Q46" s="699">
        <f t="shared" si="5"/>
        <v>0</v>
      </c>
      <c r="R46" s="699">
        <f ca="1">SUM(R39:R45)</f>
        <v>218311.42728048982</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2.0156470511092319</v>
      </c>
      <c r="D49" s="983">
        <f ca="1">transport!C58</f>
        <v>0</v>
      </c>
      <c r="E49" s="983">
        <f>transport!D58</f>
        <v>0</v>
      </c>
      <c r="F49" s="983">
        <f>transport!E58</f>
        <v>0</v>
      </c>
      <c r="G49" s="983">
        <f>transport!F58</f>
        <v>0</v>
      </c>
      <c r="H49" s="983">
        <f>transport!G58</f>
        <v>505.5803241279109</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507.59597117902013</v>
      </c>
    </row>
    <row r="50" spans="1:18">
      <c r="A50" s="792" t="s">
        <v>296</v>
      </c>
      <c r="B50" s="802"/>
      <c r="C50" s="670">
        <f ca="1">transport!B18</f>
        <v>9.4621036377431373</v>
      </c>
      <c r="D50" s="670">
        <f>transport!C18</f>
        <v>0</v>
      </c>
      <c r="E50" s="670">
        <f>transport!D18</f>
        <v>13.178539326666794</v>
      </c>
      <c r="F50" s="670">
        <f>transport!E18</f>
        <v>162.53742969102714</v>
      </c>
      <c r="G50" s="670">
        <f>transport!F18</f>
        <v>0</v>
      </c>
      <c r="H50" s="670">
        <f>transport!G18</f>
        <v>80625.559434381037</v>
      </c>
      <c r="I50" s="670">
        <f>transport!H18</f>
        <v>9631.6952347690913</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90442.432741805576</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11.477750688852369</v>
      </c>
      <c r="D52" s="699">
        <f t="shared" ref="D52:Q52" ca="1" si="6">SUM(D48:D51)</f>
        <v>0</v>
      </c>
      <c r="E52" s="699">
        <f t="shared" si="6"/>
        <v>13.178539326666794</v>
      </c>
      <c r="F52" s="699">
        <f t="shared" si="6"/>
        <v>162.53742969102714</v>
      </c>
      <c r="G52" s="699">
        <f t="shared" si="6"/>
        <v>0</v>
      </c>
      <c r="H52" s="699">
        <f t="shared" si="6"/>
        <v>81131.139758508943</v>
      </c>
      <c r="I52" s="699">
        <f t="shared" si="6"/>
        <v>9631.6952347690913</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90950.028712984596</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289.84974856827387</v>
      </c>
      <c r="D54" s="670">
        <f ca="1">+landbouw!C12</f>
        <v>0</v>
      </c>
      <c r="E54" s="670">
        <f>+landbouw!D12</f>
        <v>277.86877191339966</v>
      </c>
      <c r="F54" s="670">
        <f>+landbouw!E12</f>
        <v>3.0214029063161099</v>
      </c>
      <c r="G54" s="670">
        <f>+landbouw!F12</f>
        <v>973.47030415276924</v>
      </c>
      <c r="H54" s="670">
        <f>+landbouw!G12</f>
        <v>0</v>
      </c>
      <c r="I54" s="670">
        <f>+landbouw!H12</f>
        <v>0</v>
      </c>
      <c r="J54" s="670">
        <f>+landbouw!I12</f>
        <v>0</v>
      </c>
      <c r="K54" s="670">
        <f>+landbouw!J12</f>
        <v>77.98936812864757</v>
      </c>
      <c r="L54" s="670">
        <f>+landbouw!K12</f>
        <v>0</v>
      </c>
      <c r="M54" s="670">
        <f>+landbouw!L12</f>
        <v>0</v>
      </c>
      <c r="N54" s="670">
        <f>+landbouw!M12</f>
        <v>0</v>
      </c>
      <c r="O54" s="670">
        <f>+landbouw!N12</f>
        <v>0</v>
      </c>
      <c r="P54" s="670">
        <f>+landbouw!O12</f>
        <v>0</v>
      </c>
      <c r="Q54" s="671">
        <f>+landbouw!P12</f>
        <v>0</v>
      </c>
      <c r="R54" s="698">
        <f ca="1">SUM(C54:Q54)</f>
        <v>1622.1995956694063</v>
      </c>
    </row>
    <row r="55" spans="1:18" ht="15" thickBot="1">
      <c r="A55" s="792" t="s">
        <v>829</v>
      </c>
      <c r="B55" s="802"/>
      <c r="C55" s="670">
        <f ca="1">C25*'EF ele_warmte'!B12</f>
        <v>522.63851852963342</v>
      </c>
      <c r="D55" s="670"/>
      <c r="E55" s="670">
        <f>E25*EF_CO2_aardgas</f>
        <v>1194.4020687608947</v>
      </c>
      <c r="F55" s="670"/>
      <c r="G55" s="670"/>
      <c r="H55" s="670"/>
      <c r="I55" s="670"/>
      <c r="J55" s="670"/>
      <c r="K55" s="670"/>
      <c r="L55" s="670"/>
      <c r="M55" s="670"/>
      <c r="N55" s="670"/>
      <c r="O55" s="670"/>
      <c r="P55" s="670"/>
      <c r="Q55" s="671"/>
      <c r="R55" s="698">
        <f ca="1">SUM(C55:Q55)</f>
        <v>1717.040587290528</v>
      </c>
    </row>
    <row r="56" spans="1:18" ht="15.75" thickBot="1">
      <c r="A56" s="790" t="s">
        <v>830</v>
      </c>
      <c r="B56" s="803"/>
      <c r="C56" s="699">
        <f ca="1">SUM(C54:C55)</f>
        <v>812.48826709790728</v>
      </c>
      <c r="D56" s="699">
        <f t="shared" ref="D56:Q56" ca="1" si="7">SUM(D54:D55)</f>
        <v>0</v>
      </c>
      <c r="E56" s="699">
        <f t="shared" si="7"/>
        <v>1472.2708406742945</v>
      </c>
      <c r="F56" s="699">
        <f t="shared" si="7"/>
        <v>3.0214029063161099</v>
      </c>
      <c r="G56" s="699">
        <f t="shared" si="7"/>
        <v>973.47030415276924</v>
      </c>
      <c r="H56" s="699">
        <f t="shared" si="7"/>
        <v>0</v>
      </c>
      <c r="I56" s="699">
        <f t="shared" si="7"/>
        <v>0</v>
      </c>
      <c r="J56" s="699">
        <f t="shared" si="7"/>
        <v>0</v>
      </c>
      <c r="K56" s="699">
        <f t="shared" si="7"/>
        <v>77.98936812864757</v>
      </c>
      <c r="L56" s="699">
        <f t="shared" si="7"/>
        <v>0</v>
      </c>
      <c r="M56" s="699">
        <f t="shared" si="7"/>
        <v>0</v>
      </c>
      <c r="N56" s="699">
        <f t="shared" si="7"/>
        <v>0</v>
      </c>
      <c r="O56" s="699">
        <f t="shared" si="7"/>
        <v>0</v>
      </c>
      <c r="P56" s="699">
        <f t="shared" si="7"/>
        <v>0</v>
      </c>
      <c r="Q56" s="700">
        <f t="shared" si="7"/>
        <v>0</v>
      </c>
      <c r="R56" s="701">
        <f ca="1">SUM(R54:R55)</f>
        <v>3339.2401829599344</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80649.276482497546</v>
      </c>
      <c r="D61" s="707">
        <f t="shared" ref="D61:Q61" ca="1" si="8">D46+D52+D56</f>
        <v>0</v>
      </c>
      <c r="E61" s="707">
        <f t="shared" ca="1" si="8"/>
        <v>88425.846123111653</v>
      </c>
      <c r="F61" s="707">
        <f t="shared" si="8"/>
        <v>4017.0722041026102</v>
      </c>
      <c r="G61" s="707">
        <f t="shared" ca="1" si="8"/>
        <v>47534.665933826938</v>
      </c>
      <c r="H61" s="707">
        <f t="shared" si="8"/>
        <v>81131.139758508943</v>
      </c>
      <c r="I61" s="707">
        <f t="shared" si="8"/>
        <v>9631.6952347690913</v>
      </c>
      <c r="J61" s="707">
        <f t="shared" si="8"/>
        <v>0</v>
      </c>
      <c r="K61" s="707">
        <f t="shared" si="8"/>
        <v>1211.0004396175477</v>
      </c>
      <c r="L61" s="707">
        <f t="shared" si="8"/>
        <v>0</v>
      </c>
      <c r="M61" s="707">
        <f t="shared" ca="1" si="8"/>
        <v>0</v>
      </c>
      <c r="N61" s="707">
        <f t="shared" si="8"/>
        <v>0</v>
      </c>
      <c r="O61" s="707">
        <f t="shared" ca="1" si="8"/>
        <v>0</v>
      </c>
      <c r="P61" s="707">
        <f t="shared" si="8"/>
        <v>0</v>
      </c>
      <c r="Q61" s="707">
        <f t="shared" si="8"/>
        <v>0</v>
      </c>
      <c r="R61" s="707">
        <f ca="1">R46+R52+R56</f>
        <v>312600.69617643434</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0.20170402194638659</v>
      </c>
      <c r="D63" s="748">
        <f t="shared" ca="1" si="9"/>
        <v>0</v>
      </c>
      <c r="E63" s="994">
        <f t="shared" ca="1" si="9"/>
        <v>0.20199999999999999</v>
      </c>
      <c r="F63" s="748">
        <f t="shared" si="9"/>
        <v>0.22699999999999998</v>
      </c>
      <c r="G63" s="748">
        <f t="shared" ca="1" si="9"/>
        <v>0.26700000000000002</v>
      </c>
      <c r="H63" s="748">
        <f t="shared" si="9"/>
        <v>0.26699999999999996</v>
      </c>
      <c r="I63" s="748">
        <f t="shared" si="9"/>
        <v>0.249</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34910.851395054313</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34910.851395054313</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68627.362331281474</v>
      </c>
      <c r="C4" s="444">
        <f>huishoudens!C8</f>
        <v>0</v>
      </c>
      <c r="D4" s="444">
        <f>huishoudens!D8</f>
        <v>114655.14573817945</v>
      </c>
      <c r="E4" s="444">
        <f>huishoudens!E8</f>
        <v>3417.8834278392737</v>
      </c>
      <c r="F4" s="444">
        <f>huishoudens!F8</f>
        <v>107823.55901754595</v>
      </c>
      <c r="G4" s="444">
        <f>huishoudens!G8</f>
        <v>0</v>
      </c>
      <c r="H4" s="444">
        <f>huishoudens!H8</f>
        <v>0</v>
      </c>
      <c r="I4" s="444">
        <f>huishoudens!I8</f>
        <v>0</v>
      </c>
      <c r="J4" s="444">
        <f>huishoudens!J8</f>
        <v>2514.4413231019212</v>
      </c>
      <c r="K4" s="444">
        <f>huishoudens!K8</f>
        <v>0</v>
      </c>
      <c r="L4" s="444">
        <f>huishoudens!L8</f>
        <v>0</v>
      </c>
      <c r="M4" s="444">
        <f>huishoudens!M8</f>
        <v>0</v>
      </c>
      <c r="N4" s="444">
        <f>huishoudens!N8</f>
        <v>18033.669487264997</v>
      </c>
      <c r="O4" s="444">
        <f>huishoudens!O8</f>
        <v>529.97</v>
      </c>
      <c r="P4" s="445">
        <f>huishoudens!P8</f>
        <v>877.06666666666661</v>
      </c>
      <c r="Q4" s="446">
        <f>SUM(B4:P4)</f>
        <v>316479.09799187968</v>
      </c>
    </row>
    <row r="5" spans="1:17">
      <c r="A5" s="443" t="s">
        <v>149</v>
      </c>
      <c r="B5" s="444">
        <f ca="1">tertiair!B16</f>
        <v>85929.114600000001</v>
      </c>
      <c r="C5" s="444">
        <f ca="1">tertiair!C16</f>
        <v>0</v>
      </c>
      <c r="D5" s="444">
        <f ca="1">tertiair!D16</f>
        <v>103585.82887692389</v>
      </c>
      <c r="E5" s="444">
        <f>tertiair!E16</f>
        <v>784.9293665923002</v>
      </c>
      <c r="F5" s="444">
        <f ca="1">tertiair!F16</f>
        <v>11798.805463041375</v>
      </c>
      <c r="G5" s="444">
        <f>tertiair!G16</f>
        <v>0</v>
      </c>
      <c r="H5" s="444">
        <f>tertiair!H16</f>
        <v>0</v>
      </c>
      <c r="I5" s="444">
        <f>tertiair!I16</f>
        <v>0</v>
      </c>
      <c r="J5" s="444">
        <f>tertiair!J16</f>
        <v>0</v>
      </c>
      <c r="K5" s="444">
        <f>tertiair!K16</f>
        <v>0</v>
      </c>
      <c r="L5" s="444">
        <f ca="1">tertiair!L16</f>
        <v>0</v>
      </c>
      <c r="M5" s="444">
        <f>tertiair!M16</f>
        <v>0</v>
      </c>
      <c r="N5" s="444">
        <f ca="1">tertiair!N16</f>
        <v>4287.5679280637833</v>
      </c>
      <c r="O5" s="444">
        <f>tertiair!O16</f>
        <v>7.8166666666666664</v>
      </c>
      <c r="P5" s="445">
        <f>tertiair!P16</f>
        <v>266.93333333333334</v>
      </c>
      <c r="Q5" s="443">
        <f t="shared" ref="Q5:Q14" ca="1" si="0">SUM(B5:P5)</f>
        <v>206660.99623462133</v>
      </c>
    </row>
    <row r="6" spans="1:17">
      <c r="A6" s="443" t="s">
        <v>187</v>
      </c>
      <c r="B6" s="444">
        <f>'openbare verlichting'!B8</f>
        <v>2878.154</v>
      </c>
      <c r="C6" s="444"/>
      <c r="D6" s="444"/>
      <c r="E6" s="444"/>
      <c r="F6" s="444"/>
      <c r="G6" s="444"/>
      <c r="H6" s="444"/>
      <c r="I6" s="444"/>
      <c r="J6" s="444"/>
      <c r="K6" s="444"/>
      <c r="L6" s="444"/>
      <c r="M6" s="444"/>
      <c r="N6" s="444"/>
      <c r="O6" s="444"/>
      <c r="P6" s="445"/>
      <c r="Q6" s="443">
        <f t="shared" si="0"/>
        <v>2878.154</v>
      </c>
    </row>
    <row r="7" spans="1:17">
      <c r="A7" s="443" t="s">
        <v>105</v>
      </c>
      <c r="B7" s="444">
        <f>landbouw!B8</f>
        <v>1437.0053</v>
      </c>
      <c r="C7" s="444">
        <f>landbouw!C8</f>
        <v>0</v>
      </c>
      <c r="D7" s="444">
        <f>landbouw!D8</f>
        <v>1375.5879797693051</v>
      </c>
      <c r="E7" s="444">
        <f>landbouw!E8</f>
        <v>13.310144961744976</v>
      </c>
      <c r="F7" s="444">
        <f>landbouw!F8</f>
        <v>3645.9561953287234</v>
      </c>
      <c r="G7" s="444">
        <f>landbouw!G8</f>
        <v>0</v>
      </c>
      <c r="H7" s="444">
        <f>landbouw!H8</f>
        <v>0</v>
      </c>
      <c r="I7" s="444">
        <f>landbouw!I8</f>
        <v>0</v>
      </c>
      <c r="J7" s="444">
        <f>landbouw!J8</f>
        <v>220.3089495159536</v>
      </c>
      <c r="K7" s="444">
        <f>landbouw!K8</f>
        <v>0</v>
      </c>
      <c r="L7" s="444">
        <f>landbouw!L8</f>
        <v>0</v>
      </c>
      <c r="M7" s="444">
        <f>landbouw!M8</f>
        <v>0</v>
      </c>
      <c r="N7" s="444">
        <f>landbouw!N8</f>
        <v>0</v>
      </c>
      <c r="O7" s="444">
        <f>landbouw!O8</f>
        <v>0</v>
      </c>
      <c r="P7" s="445">
        <f>landbouw!P8</f>
        <v>0</v>
      </c>
      <c r="Q7" s="443">
        <f t="shared" si="0"/>
        <v>6692.1685695757269</v>
      </c>
    </row>
    <row r="8" spans="1:17">
      <c r="A8" s="443" t="s">
        <v>637</v>
      </c>
      <c r="B8" s="444">
        <f>industrie!B18</f>
        <v>238320.04810000001</v>
      </c>
      <c r="C8" s="444">
        <f>industrie!C18</f>
        <v>0</v>
      </c>
      <c r="D8" s="444">
        <f>industrie!D18</f>
        <v>212157.02906366254</v>
      </c>
      <c r="E8" s="444">
        <f>industrie!E18</f>
        <v>12764.206463300878</v>
      </c>
      <c r="F8" s="444">
        <f>industrie!F18</f>
        <v>54764.136005083688</v>
      </c>
      <c r="G8" s="444">
        <f>industrie!G18</f>
        <v>0</v>
      </c>
      <c r="H8" s="444">
        <f>industrie!H18</f>
        <v>0</v>
      </c>
      <c r="I8" s="444">
        <f>industrie!I18</f>
        <v>0</v>
      </c>
      <c r="J8" s="444">
        <f>industrie!J18</f>
        <v>686.15492404186455</v>
      </c>
      <c r="K8" s="444">
        <f>industrie!K18</f>
        <v>0</v>
      </c>
      <c r="L8" s="444">
        <f>industrie!L18</f>
        <v>0</v>
      </c>
      <c r="M8" s="444">
        <f>industrie!M18</f>
        <v>0</v>
      </c>
      <c r="N8" s="444">
        <f>industrie!N18</f>
        <v>11118.333291396077</v>
      </c>
      <c r="O8" s="444">
        <f>industrie!O18</f>
        <v>0</v>
      </c>
      <c r="P8" s="445">
        <f>industrie!P18</f>
        <v>0</v>
      </c>
      <c r="Q8" s="443">
        <f t="shared" si="0"/>
        <v>529809.90784748504</v>
      </c>
    </row>
    <row r="9" spans="1:17" s="449" customFormat="1">
      <c r="A9" s="447" t="s">
        <v>558</v>
      </c>
      <c r="B9" s="448">
        <f>transport!B14</f>
        <v>46.910832746102543</v>
      </c>
      <c r="C9" s="448">
        <f>transport!C14</f>
        <v>0</v>
      </c>
      <c r="D9" s="448">
        <f>transport!D14</f>
        <v>65.240293696370259</v>
      </c>
      <c r="E9" s="448">
        <f>transport!E14</f>
        <v>716.0239193437319</v>
      </c>
      <c r="F9" s="448">
        <f>transport!F14</f>
        <v>0</v>
      </c>
      <c r="G9" s="448">
        <f>transport!G14</f>
        <v>301968.38739468553</v>
      </c>
      <c r="H9" s="448">
        <f>transport!H14</f>
        <v>38681.506966944144</v>
      </c>
      <c r="I9" s="448">
        <f>transport!I14</f>
        <v>0</v>
      </c>
      <c r="J9" s="448">
        <f>transport!J14</f>
        <v>0</v>
      </c>
      <c r="K9" s="448">
        <f>transport!K14</f>
        <v>0</v>
      </c>
      <c r="L9" s="448">
        <f>transport!L14</f>
        <v>0</v>
      </c>
      <c r="M9" s="448">
        <f>transport!M14</f>
        <v>18687.163369207381</v>
      </c>
      <c r="N9" s="448">
        <f>transport!N14</f>
        <v>0</v>
      </c>
      <c r="O9" s="448">
        <f>transport!O14</f>
        <v>0</v>
      </c>
      <c r="P9" s="448">
        <f>transport!P14</f>
        <v>0</v>
      </c>
      <c r="Q9" s="447">
        <f>SUM(B9:P9)</f>
        <v>360165.23277662322</v>
      </c>
    </row>
    <row r="10" spans="1:17">
      <c r="A10" s="443" t="s">
        <v>548</v>
      </c>
      <c r="B10" s="444">
        <f>transport!B54</f>
        <v>9.9930930065687829</v>
      </c>
      <c r="C10" s="444">
        <f>transport!C54</f>
        <v>0</v>
      </c>
      <c r="D10" s="444">
        <f>transport!D54</f>
        <v>0</v>
      </c>
      <c r="E10" s="444">
        <f>transport!E54</f>
        <v>0</v>
      </c>
      <c r="F10" s="444">
        <f>transport!F54</f>
        <v>0</v>
      </c>
      <c r="G10" s="444">
        <f>transport!G54</f>
        <v>1893.55926639667</v>
      </c>
      <c r="H10" s="444">
        <f>transport!H54</f>
        <v>0</v>
      </c>
      <c r="I10" s="444">
        <f>transport!I54</f>
        <v>0</v>
      </c>
      <c r="J10" s="444">
        <f>transport!J54</f>
        <v>0</v>
      </c>
      <c r="K10" s="444">
        <f>transport!K54</f>
        <v>0</v>
      </c>
      <c r="L10" s="444">
        <f>transport!L54</f>
        <v>0</v>
      </c>
      <c r="M10" s="444">
        <f>transport!M54</f>
        <v>109.00848805151522</v>
      </c>
      <c r="N10" s="444">
        <f>transport!N54</f>
        <v>0</v>
      </c>
      <c r="O10" s="444">
        <f>transport!O54</f>
        <v>0</v>
      </c>
      <c r="P10" s="445">
        <f>transport!P54</f>
        <v>0</v>
      </c>
      <c r="Q10" s="443">
        <f t="shared" si="0"/>
        <v>2012.5608474547541</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2591.116</v>
      </c>
      <c r="C14" s="451"/>
      <c r="D14" s="451">
        <f>'SEAP template'!E25</f>
        <v>5912.8815285192804</v>
      </c>
      <c r="E14" s="451"/>
      <c r="F14" s="451"/>
      <c r="G14" s="451"/>
      <c r="H14" s="451"/>
      <c r="I14" s="451"/>
      <c r="J14" s="451"/>
      <c r="K14" s="451"/>
      <c r="L14" s="451"/>
      <c r="M14" s="451"/>
      <c r="N14" s="451"/>
      <c r="O14" s="451"/>
      <c r="P14" s="452"/>
      <c r="Q14" s="443">
        <f t="shared" si="0"/>
        <v>8503.9975285192813</v>
      </c>
    </row>
    <row r="15" spans="1:17" s="453" customFormat="1">
      <c r="A15" s="1009" t="s">
        <v>552</v>
      </c>
      <c r="B15" s="949">
        <f ca="1">SUM(B4:B14)</f>
        <v>399839.70425703411</v>
      </c>
      <c r="C15" s="949">
        <f t="shared" ref="C15:Q15" ca="1" si="1">SUM(C4:C14)</f>
        <v>0</v>
      </c>
      <c r="D15" s="949">
        <f t="shared" ca="1" si="1"/>
        <v>437751.7134807508</v>
      </c>
      <c r="E15" s="949">
        <f t="shared" si="1"/>
        <v>17696.353322037925</v>
      </c>
      <c r="F15" s="949">
        <f t="shared" ca="1" si="1"/>
        <v>178032.45668099975</v>
      </c>
      <c r="G15" s="949">
        <f t="shared" si="1"/>
        <v>303861.94666108221</v>
      </c>
      <c r="H15" s="949">
        <f t="shared" si="1"/>
        <v>38681.506966944144</v>
      </c>
      <c r="I15" s="949">
        <f t="shared" si="1"/>
        <v>0</v>
      </c>
      <c r="J15" s="949">
        <f t="shared" si="1"/>
        <v>3420.905196659739</v>
      </c>
      <c r="K15" s="949">
        <f t="shared" si="1"/>
        <v>0</v>
      </c>
      <c r="L15" s="949">
        <f t="shared" ca="1" si="1"/>
        <v>0</v>
      </c>
      <c r="M15" s="949">
        <f t="shared" si="1"/>
        <v>18796.171857258898</v>
      </c>
      <c r="N15" s="949">
        <f t="shared" ca="1" si="1"/>
        <v>33439.570706724859</v>
      </c>
      <c r="O15" s="949">
        <f t="shared" si="1"/>
        <v>537.78666666666675</v>
      </c>
      <c r="P15" s="949">
        <f t="shared" si="1"/>
        <v>1144</v>
      </c>
      <c r="Q15" s="949">
        <f t="shared" ca="1" si="1"/>
        <v>1433202.115796159</v>
      </c>
    </row>
    <row r="17" spans="1:17">
      <c r="A17" s="454" t="s">
        <v>553</v>
      </c>
      <c r="B17" s="753">
        <f ca="1">huishoudens!B10</f>
        <v>0.20170402194638659</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13842.414997791422</v>
      </c>
      <c r="C22" s="444">
        <f t="shared" ref="C22:C32" ca="1" si="3">C4*$C$17</f>
        <v>0</v>
      </c>
      <c r="D22" s="444">
        <f t="shared" ref="D22:D32" si="4">D4*$D$17</f>
        <v>23160.339439112249</v>
      </c>
      <c r="E22" s="444">
        <f t="shared" ref="E22:E32" si="5">E4*$E$17</f>
        <v>775.85953811951515</v>
      </c>
      <c r="F22" s="444">
        <f t="shared" ref="F22:F32" si="6">F4*$F$17</f>
        <v>28788.890257684772</v>
      </c>
      <c r="G22" s="444">
        <f t="shared" ref="G22:G32" si="7">G4*$G$17</f>
        <v>0</v>
      </c>
      <c r="H22" s="444">
        <f t="shared" ref="H22:H32" si="8">H4*$H$17</f>
        <v>0</v>
      </c>
      <c r="I22" s="444">
        <f t="shared" ref="I22:I32" si="9">I4*$I$17</f>
        <v>0</v>
      </c>
      <c r="J22" s="444">
        <f t="shared" ref="J22:J32" si="10">J4*$J$17</f>
        <v>890.11222837808009</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67457.616461086043</v>
      </c>
    </row>
    <row r="23" spans="1:17">
      <c r="A23" s="443" t="s">
        <v>149</v>
      </c>
      <c r="B23" s="444">
        <f t="shared" ca="1" si="2"/>
        <v>17332.248017111968</v>
      </c>
      <c r="C23" s="444">
        <f t="shared" ca="1" si="3"/>
        <v>0</v>
      </c>
      <c r="D23" s="444">
        <f t="shared" ca="1" si="4"/>
        <v>20924.337433138626</v>
      </c>
      <c r="E23" s="444">
        <f t="shared" si="5"/>
        <v>178.17896621645215</v>
      </c>
      <c r="F23" s="444">
        <f t="shared" ca="1" si="6"/>
        <v>3150.2810586320475</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41585.045475099098</v>
      </c>
    </row>
    <row r="24" spans="1:17">
      <c r="A24" s="443" t="s">
        <v>187</v>
      </c>
      <c r="B24" s="444">
        <f t="shared" ca="1" si="2"/>
        <v>580.53523758108031</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580.53523758108031</v>
      </c>
    </row>
    <row r="25" spans="1:17">
      <c r="A25" s="443" t="s">
        <v>105</v>
      </c>
      <c r="B25" s="444">
        <f t="shared" ca="1" si="2"/>
        <v>289.84974856827387</v>
      </c>
      <c r="C25" s="444">
        <f t="shared" ca="1" si="3"/>
        <v>0</v>
      </c>
      <c r="D25" s="444">
        <f t="shared" si="4"/>
        <v>277.86877191339966</v>
      </c>
      <c r="E25" s="444">
        <f t="shared" si="5"/>
        <v>3.0214029063161099</v>
      </c>
      <c r="F25" s="444">
        <f t="shared" si="6"/>
        <v>973.47030415276924</v>
      </c>
      <c r="G25" s="444">
        <f t="shared" si="7"/>
        <v>0</v>
      </c>
      <c r="H25" s="444">
        <f t="shared" si="8"/>
        <v>0</v>
      </c>
      <c r="I25" s="444">
        <f t="shared" si="9"/>
        <v>0</v>
      </c>
      <c r="J25" s="444">
        <f t="shared" si="10"/>
        <v>77.98936812864757</v>
      </c>
      <c r="K25" s="444">
        <f t="shared" si="11"/>
        <v>0</v>
      </c>
      <c r="L25" s="444">
        <f t="shared" si="12"/>
        <v>0</v>
      </c>
      <c r="M25" s="444">
        <f t="shared" si="13"/>
        <v>0</v>
      </c>
      <c r="N25" s="444">
        <f t="shared" si="14"/>
        <v>0</v>
      </c>
      <c r="O25" s="444">
        <f t="shared" si="15"/>
        <v>0</v>
      </c>
      <c r="P25" s="445">
        <f t="shared" si="16"/>
        <v>0</v>
      </c>
      <c r="Q25" s="443">
        <f t="shared" ca="1" si="17"/>
        <v>1622.1995956694063</v>
      </c>
    </row>
    <row r="26" spans="1:17">
      <c r="A26" s="443" t="s">
        <v>637</v>
      </c>
      <c r="B26" s="444">
        <f t="shared" ca="1" si="2"/>
        <v>48070.112212226311</v>
      </c>
      <c r="C26" s="444">
        <f t="shared" ca="1" si="3"/>
        <v>0</v>
      </c>
      <c r="D26" s="444">
        <f t="shared" si="4"/>
        <v>42855.719870859837</v>
      </c>
      <c r="E26" s="444">
        <f t="shared" si="5"/>
        <v>2897.4748671692992</v>
      </c>
      <c r="F26" s="444">
        <f t="shared" si="6"/>
        <v>14622.024313357346</v>
      </c>
      <c r="G26" s="444">
        <f t="shared" si="7"/>
        <v>0</v>
      </c>
      <c r="H26" s="444">
        <f t="shared" si="8"/>
        <v>0</v>
      </c>
      <c r="I26" s="444">
        <f t="shared" si="9"/>
        <v>0</v>
      </c>
      <c r="J26" s="444">
        <f t="shared" si="10"/>
        <v>242.89884311082002</v>
      </c>
      <c r="K26" s="444">
        <f t="shared" si="11"/>
        <v>0</v>
      </c>
      <c r="L26" s="444">
        <f t="shared" si="12"/>
        <v>0</v>
      </c>
      <c r="M26" s="444">
        <f t="shared" si="13"/>
        <v>0</v>
      </c>
      <c r="N26" s="444">
        <f t="shared" si="14"/>
        <v>0</v>
      </c>
      <c r="O26" s="444">
        <f t="shared" si="15"/>
        <v>0</v>
      </c>
      <c r="P26" s="445">
        <f t="shared" si="16"/>
        <v>0</v>
      </c>
      <c r="Q26" s="443">
        <f t="shared" ca="1" si="17"/>
        <v>108688.2301067236</v>
      </c>
    </row>
    <row r="27" spans="1:17" s="449" customFormat="1">
      <c r="A27" s="447" t="s">
        <v>558</v>
      </c>
      <c r="B27" s="747">
        <f t="shared" ca="1" si="2"/>
        <v>9.4621036377431373</v>
      </c>
      <c r="C27" s="448">
        <f t="shared" ca="1" si="3"/>
        <v>0</v>
      </c>
      <c r="D27" s="448">
        <f t="shared" si="4"/>
        <v>13.178539326666794</v>
      </c>
      <c r="E27" s="448">
        <f t="shared" si="5"/>
        <v>162.53742969102714</v>
      </c>
      <c r="F27" s="448">
        <f t="shared" si="6"/>
        <v>0</v>
      </c>
      <c r="G27" s="448">
        <f t="shared" si="7"/>
        <v>80625.559434381037</v>
      </c>
      <c r="H27" s="448">
        <f t="shared" si="8"/>
        <v>9631.6952347690913</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90442.432741805576</v>
      </c>
    </row>
    <row r="28" spans="1:17">
      <c r="A28" s="443" t="s">
        <v>548</v>
      </c>
      <c r="B28" s="444">
        <f t="shared" ca="1" si="2"/>
        <v>2.0156470511092319</v>
      </c>
      <c r="C28" s="444">
        <f t="shared" ca="1" si="3"/>
        <v>0</v>
      </c>
      <c r="D28" s="444">
        <f t="shared" si="4"/>
        <v>0</v>
      </c>
      <c r="E28" s="444">
        <f t="shared" si="5"/>
        <v>0</v>
      </c>
      <c r="F28" s="444">
        <f t="shared" si="6"/>
        <v>0</v>
      </c>
      <c r="G28" s="444">
        <f t="shared" si="7"/>
        <v>505.5803241279109</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507.59597117902013</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522.63851852963342</v>
      </c>
      <c r="C32" s="444">
        <f t="shared" ca="1" si="3"/>
        <v>0</v>
      </c>
      <c r="D32" s="444">
        <f t="shared" si="4"/>
        <v>1194.4020687608947</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1717.040587290528</v>
      </c>
    </row>
    <row r="33" spans="1:17" s="453" customFormat="1">
      <c r="A33" s="1009" t="s">
        <v>552</v>
      </c>
      <c r="B33" s="949">
        <f ca="1">SUM(B22:B32)</f>
        <v>80649.27648249756</v>
      </c>
      <c r="C33" s="949">
        <f t="shared" ref="C33:Q33" ca="1" si="18">SUM(C22:C32)</f>
        <v>0</v>
      </c>
      <c r="D33" s="949">
        <f t="shared" ca="1" si="18"/>
        <v>88425.846123111667</v>
      </c>
      <c r="E33" s="949">
        <f t="shared" si="18"/>
        <v>4017.0722041026097</v>
      </c>
      <c r="F33" s="949">
        <f t="shared" ca="1" si="18"/>
        <v>47534.665933826938</v>
      </c>
      <c r="G33" s="949">
        <f t="shared" si="18"/>
        <v>81131.139758508943</v>
      </c>
      <c r="H33" s="949">
        <f t="shared" si="18"/>
        <v>9631.6952347690913</v>
      </c>
      <c r="I33" s="949">
        <f t="shared" si="18"/>
        <v>0</v>
      </c>
      <c r="J33" s="949">
        <f t="shared" si="18"/>
        <v>1211.0004396175477</v>
      </c>
      <c r="K33" s="949">
        <f t="shared" si="18"/>
        <v>0</v>
      </c>
      <c r="L33" s="949">
        <f t="shared" ca="1" si="18"/>
        <v>0</v>
      </c>
      <c r="M33" s="949">
        <f t="shared" si="18"/>
        <v>0</v>
      </c>
      <c r="N33" s="949">
        <f t="shared" ca="1" si="18"/>
        <v>0</v>
      </c>
      <c r="O33" s="949">
        <f t="shared" si="18"/>
        <v>0</v>
      </c>
      <c r="P33" s="949">
        <f t="shared" si="18"/>
        <v>0</v>
      </c>
      <c r="Q33" s="949">
        <f t="shared" ca="1" si="18"/>
        <v>312600.69617643434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34910.851395054313</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34910.851395054313</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0.20170402194638659</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0.20170402194638659</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0.20170402194638659</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0.20170402194638659</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15454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1645</v>
      </c>
      <c r="C14" s="324"/>
      <c r="D14" s="324"/>
      <c r="E14" s="324"/>
      <c r="F14" s="324"/>
    </row>
    <row r="15" spans="1:6">
      <c r="A15" s="1302" t="s">
        <v>177</v>
      </c>
      <c r="B15" s="1303">
        <v>20</v>
      </c>
      <c r="C15" s="324"/>
      <c r="D15" s="324"/>
      <c r="E15" s="324"/>
      <c r="F15" s="324"/>
    </row>
    <row r="16" spans="1:6">
      <c r="A16" s="1302" t="s">
        <v>6</v>
      </c>
      <c r="B16" s="1303">
        <v>625</v>
      </c>
      <c r="C16" s="324"/>
      <c r="D16" s="324"/>
      <c r="E16" s="324"/>
      <c r="F16" s="324"/>
    </row>
    <row r="17" spans="1:6">
      <c r="A17" s="1302" t="s">
        <v>7</v>
      </c>
      <c r="B17" s="1303">
        <v>572</v>
      </c>
      <c r="C17" s="324"/>
      <c r="D17" s="324"/>
      <c r="E17" s="324"/>
      <c r="F17" s="324"/>
    </row>
    <row r="18" spans="1:6">
      <c r="A18" s="1302" t="s">
        <v>8</v>
      </c>
      <c r="B18" s="1303">
        <v>744</v>
      </c>
      <c r="C18" s="324"/>
      <c r="D18" s="324"/>
      <c r="E18" s="324"/>
      <c r="F18" s="324"/>
    </row>
    <row r="19" spans="1:6">
      <c r="A19" s="1302" t="s">
        <v>9</v>
      </c>
      <c r="B19" s="1303">
        <v>669</v>
      </c>
      <c r="C19" s="324"/>
      <c r="D19" s="324"/>
      <c r="E19" s="324"/>
      <c r="F19" s="324"/>
    </row>
    <row r="20" spans="1:6">
      <c r="A20" s="1302" t="s">
        <v>10</v>
      </c>
      <c r="B20" s="1303">
        <v>544</v>
      </c>
      <c r="C20" s="324"/>
      <c r="D20" s="324"/>
      <c r="E20" s="324"/>
      <c r="F20" s="324"/>
    </row>
    <row r="21" spans="1:6">
      <c r="A21" s="1302" t="s">
        <v>11</v>
      </c>
      <c r="B21" s="1303">
        <v>1209</v>
      </c>
      <c r="C21" s="324"/>
      <c r="D21" s="324"/>
      <c r="E21" s="324"/>
      <c r="F21" s="324"/>
    </row>
    <row r="22" spans="1:6">
      <c r="A22" s="1302" t="s">
        <v>12</v>
      </c>
      <c r="B22" s="1303">
        <v>5500</v>
      </c>
      <c r="C22" s="324"/>
      <c r="D22" s="324"/>
      <c r="E22" s="324"/>
      <c r="F22" s="324"/>
    </row>
    <row r="23" spans="1:6">
      <c r="A23" s="1302" t="s">
        <v>13</v>
      </c>
      <c r="B23" s="1303">
        <v>40</v>
      </c>
      <c r="C23" s="324"/>
      <c r="D23" s="324"/>
      <c r="E23" s="324"/>
      <c r="F23" s="324"/>
    </row>
    <row r="24" spans="1:6">
      <c r="A24" s="1302" t="s">
        <v>14</v>
      </c>
      <c r="B24" s="1303">
        <v>2</v>
      </c>
      <c r="C24" s="324"/>
      <c r="D24" s="324"/>
      <c r="E24" s="324"/>
      <c r="F24" s="324"/>
    </row>
    <row r="25" spans="1:6">
      <c r="A25" s="1302" t="s">
        <v>15</v>
      </c>
      <c r="B25" s="1303">
        <v>297</v>
      </c>
      <c r="C25" s="324"/>
      <c r="D25" s="324"/>
      <c r="E25" s="324"/>
      <c r="F25" s="324"/>
    </row>
    <row r="26" spans="1:6">
      <c r="A26" s="1302" t="s">
        <v>16</v>
      </c>
      <c r="B26" s="1303">
        <v>238</v>
      </c>
      <c r="C26" s="324"/>
      <c r="D26" s="324"/>
      <c r="E26" s="324"/>
      <c r="F26" s="324"/>
    </row>
    <row r="27" spans="1:6">
      <c r="A27" s="1302" t="s">
        <v>17</v>
      </c>
      <c r="B27" s="1303">
        <v>14</v>
      </c>
      <c r="C27" s="324"/>
      <c r="D27" s="324"/>
      <c r="E27" s="324"/>
      <c r="F27" s="324"/>
    </row>
    <row r="28" spans="1:6">
      <c r="A28" s="1302" t="s">
        <v>18</v>
      </c>
      <c r="B28" s="1304">
        <v>38190</v>
      </c>
      <c r="C28" s="324"/>
      <c r="D28" s="324"/>
      <c r="E28" s="324"/>
      <c r="F28" s="324"/>
    </row>
    <row r="29" spans="1:6">
      <c r="A29" s="1302" t="s">
        <v>918</v>
      </c>
      <c r="B29" s="1304">
        <v>106</v>
      </c>
      <c r="C29" s="324"/>
      <c r="D29" s="324"/>
      <c r="E29" s="324"/>
      <c r="F29" s="324"/>
    </row>
    <row r="30" spans="1:6">
      <c r="A30" s="1297" t="s">
        <v>919</v>
      </c>
      <c r="B30" s="1305">
        <v>53</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5</v>
      </c>
      <c r="D36" s="1303">
        <v>923207.37993075396</v>
      </c>
      <c r="E36" s="1303">
        <v>5</v>
      </c>
      <c r="F36" s="1303">
        <v>33952.5</v>
      </c>
    </row>
    <row r="37" spans="1:6">
      <c r="A37" s="1302" t="s">
        <v>24</v>
      </c>
      <c r="B37" s="1302" t="s">
        <v>27</v>
      </c>
      <c r="C37" s="1303">
        <v>0</v>
      </c>
      <c r="D37" s="1303">
        <v>0</v>
      </c>
      <c r="E37" s="1303">
        <v>0</v>
      </c>
      <c r="F37" s="1303">
        <v>0</v>
      </c>
    </row>
    <row r="38" spans="1:6">
      <c r="A38" s="1302" t="s">
        <v>24</v>
      </c>
      <c r="B38" s="1302" t="s">
        <v>28</v>
      </c>
      <c r="C38" s="1303">
        <v>0</v>
      </c>
      <c r="D38" s="1303">
        <v>0</v>
      </c>
      <c r="E38" s="1303">
        <v>6</v>
      </c>
      <c r="F38" s="1303">
        <v>25941.48</v>
      </c>
    </row>
    <row r="39" spans="1:6">
      <c r="A39" s="1302" t="s">
        <v>29</v>
      </c>
      <c r="B39" s="1302" t="s">
        <v>30</v>
      </c>
      <c r="C39" s="1303">
        <v>9069</v>
      </c>
      <c r="D39" s="1303">
        <v>127077689.44684599</v>
      </c>
      <c r="E39" s="1303">
        <v>15017</v>
      </c>
      <c r="F39" s="1303">
        <v>62194591.266000003</v>
      </c>
    </row>
    <row r="40" spans="1:6">
      <c r="A40" s="1302" t="s">
        <v>29</v>
      </c>
      <c r="B40" s="1302" t="s">
        <v>28</v>
      </c>
      <c r="C40" s="1303">
        <v>2</v>
      </c>
      <c r="D40" s="1303">
        <v>34445.5178762293</v>
      </c>
      <c r="E40" s="1303">
        <v>0</v>
      </c>
      <c r="F40" s="1303">
        <v>0</v>
      </c>
    </row>
    <row r="41" spans="1:6">
      <c r="A41" s="1302" t="s">
        <v>31</v>
      </c>
      <c r="B41" s="1302" t="s">
        <v>32</v>
      </c>
      <c r="C41" s="1303">
        <v>188</v>
      </c>
      <c r="D41" s="1303">
        <v>7624516.7589462101</v>
      </c>
      <c r="E41" s="1303">
        <v>491</v>
      </c>
      <c r="F41" s="1303">
        <v>16032617</v>
      </c>
    </row>
    <row r="42" spans="1:6">
      <c r="A42" s="1302" t="s">
        <v>31</v>
      </c>
      <c r="B42" s="1302" t="s">
        <v>33</v>
      </c>
      <c r="C42" s="1303">
        <v>0</v>
      </c>
      <c r="D42" s="1303">
        <v>0</v>
      </c>
      <c r="E42" s="1303">
        <v>3</v>
      </c>
      <c r="F42" s="1303">
        <v>1261998</v>
      </c>
    </row>
    <row r="43" spans="1:6">
      <c r="A43" s="1302" t="s">
        <v>31</v>
      </c>
      <c r="B43" s="1302" t="s">
        <v>34</v>
      </c>
      <c r="C43" s="1303">
        <v>0</v>
      </c>
      <c r="D43" s="1303">
        <v>0</v>
      </c>
      <c r="E43" s="1303">
        <v>0</v>
      </c>
      <c r="F43" s="1303">
        <v>0</v>
      </c>
    </row>
    <row r="44" spans="1:6">
      <c r="A44" s="1302" t="s">
        <v>31</v>
      </c>
      <c r="B44" s="1302" t="s">
        <v>35</v>
      </c>
      <c r="C44" s="1303">
        <v>18</v>
      </c>
      <c r="D44" s="1303">
        <v>10183494.300031301</v>
      </c>
      <c r="E44" s="1303">
        <v>58</v>
      </c>
      <c r="F44" s="1303">
        <v>6232964</v>
      </c>
    </row>
    <row r="45" spans="1:6">
      <c r="A45" s="1302" t="s">
        <v>31</v>
      </c>
      <c r="B45" s="1302" t="s">
        <v>36</v>
      </c>
      <c r="C45" s="1303">
        <v>0</v>
      </c>
      <c r="D45" s="1303">
        <v>0</v>
      </c>
      <c r="E45" s="1303">
        <v>11</v>
      </c>
      <c r="F45" s="1303">
        <v>1277807</v>
      </c>
    </row>
    <row r="46" spans="1:6">
      <c r="A46" s="1302" t="s">
        <v>31</v>
      </c>
      <c r="B46" s="1302" t="s">
        <v>37</v>
      </c>
      <c r="C46" s="1303">
        <v>0</v>
      </c>
      <c r="D46" s="1303">
        <v>0</v>
      </c>
      <c r="E46" s="1303">
        <v>0</v>
      </c>
      <c r="F46" s="1303">
        <v>0</v>
      </c>
    </row>
    <row r="47" spans="1:6">
      <c r="A47" s="1302" t="s">
        <v>31</v>
      </c>
      <c r="B47" s="1302" t="s">
        <v>38</v>
      </c>
      <c r="C47" s="1303">
        <v>0</v>
      </c>
      <c r="D47" s="1303">
        <v>0</v>
      </c>
      <c r="E47" s="1303">
        <v>9</v>
      </c>
      <c r="F47" s="1303">
        <v>920783</v>
      </c>
    </row>
    <row r="48" spans="1:6">
      <c r="A48" s="1302" t="s">
        <v>31</v>
      </c>
      <c r="B48" s="1302" t="s">
        <v>28</v>
      </c>
      <c r="C48" s="1303">
        <v>107</v>
      </c>
      <c r="D48" s="1303">
        <v>198781085.858096</v>
      </c>
      <c r="E48" s="1303">
        <v>154</v>
      </c>
      <c r="F48" s="1303">
        <v>158000000</v>
      </c>
    </row>
    <row r="49" spans="1:6">
      <c r="A49" s="1302" t="s">
        <v>31</v>
      </c>
      <c r="B49" s="1302" t="s">
        <v>39</v>
      </c>
      <c r="C49" s="1303">
        <v>17</v>
      </c>
      <c r="D49" s="1303">
        <v>17788752.761960998</v>
      </c>
      <c r="E49" s="1303">
        <v>75</v>
      </c>
      <c r="F49" s="1303">
        <v>53699809</v>
      </c>
    </row>
    <row r="50" spans="1:6">
      <c r="A50" s="1302" t="s">
        <v>31</v>
      </c>
      <c r="B50" s="1302" t="s">
        <v>40</v>
      </c>
      <c r="C50" s="1303">
        <v>10</v>
      </c>
      <c r="D50" s="1303">
        <v>829499.61549159104</v>
      </c>
      <c r="E50" s="1303">
        <v>20</v>
      </c>
      <c r="F50" s="1303">
        <v>894070.1</v>
      </c>
    </row>
    <row r="51" spans="1:6">
      <c r="A51" s="1302" t="s">
        <v>41</v>
      </c>
      <c r="B51" s="1302" t="s">
        <v>42</v>
      </c>
      <c r="C51" s="1303">
        <v>12</v>
      </c>
      <c r="D51" s="1303">
        <v>846334.32424659305</v>
      </c>
      <c r="E51" s="1303">
        <v>65</v>
      </c>
      <c r="F51" s="1303">
        <v>1196174</v>
      </c>
    </row>
    <row r="52" spans="1:6">
      <c r="A52" s="1302" t="s">
        <v>41</v>
      </c>
      <c r="B52" s="1302" t="s">
        <v>28</v>
      </c>
      <c r="C52" s="1303">
        <v>13</v>
      </c>
      <c r="D52" s="1303">
        <v>678707.78192780295</v>
      </c>
      <c r="E52" s="1303">
        <v>17</v>
      </c>
      <c r="F52" s="1303">
        <v>240831.3</v>
      </c>
    </row>
    <row r="53" spans="1:6">
      <c r="A53" s="1302" t="s">
        <v>43</v>
      </c>
      <c r="B53" s="1302" t="s">
        <v>44</v>
      </c>
      <c r="C53" s="1303">
        <v>240</v>
      </c>
      <c r="D53" s="1303">
        <v>5912881.5285192803</v>
      </c>
      <c r="E53" s="1303">
        <v>543</v>
      </c>
      <c r="F53" s="1303">
        <v>2591116</v>
      </c>
    </row>
    <row r="54" spans="1:6">
      <c r="A54" s="1302" t="s">
        <v>45</v>
      </c>
      <c r="B54" s="1302" t="s">
        <v>46</v>
      </c>
      <c r="C54" s="1303">
        <v>0</v>
      </c>
      <c r="D54" s="1303">
        <v>0</v>
      </c>
      <c r="E54" s="1303">
        <v>3</v>
      </c>
      <c r="F54" s="1303">
        <v>2878154</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102</v>
      </c>
      <c r="D57" s="1303">
        <v>6529619.3861994604</v>
      </c>
      <c r="E57" s="1303">
        <v>171</v>
      </c>
      <c r="F57" s="1303">
        <v>3782746</v>
      </c>
    </row>
    <row r="58" spans="1:6">
      <c r="A58" s="1302" t="s">
        <v>48</v>
      </c>
      <c r="B58" s="1302" t="s">
        <v>50</v>
      </c>
      <c r="C58" s="1303">
        <v>52</v>
      </c>
      <c r="D58" s="1303">
        <v>1482616.1061996899</v>
      </c>
      <c r="E58" s="1303">
        <v>84</v>
      </c>
      <c r="F58" s="1303">
        <v>5230344</v>
      </c>
    </row>
    <row r="59" spans="1:6">
      <c r="A59" s="1302" t="s">
        <v>48</v>
      </c>
      <c r="B59" s="1302" t="s">
        <v>51</v>
      </c>
      <c r="C59" s="1303">
        <v>270</v>
      </c>
      <c r="D59" s="1303">
        <v>13545167.928596601</v>
      </c>
      <c r="E59" s="1303">
        <v>649</v>
      </c>
      <c r="F59" s="1303">
        <v>28007205</v>
      </c>
    </row>
    <row r="60" spans="1:6">
      <c r="A60" s="1302" t="s">
        <v>48</v>
      </c>
      <c r="B60" s="1302" t="s">
        <v>52</v>
      </c>
      <c r="C60" s="1303">
        <v>125</v>
      </c>
      <c r="D60" s="1303">
        <v>7991792.2059631096</v>
      </c>
      <c r="E60" s="1303">
        <v>179</v>
      </c>
      <c r="F60" s="1303">
        <v>6409245</v>
      </c>
    </row>
    <row r="61" spans="1:6">
      <c r="A61" s="1302" t="s">
        <v>48</v>
      </c>
      <c r="B61" s="1302" t="s">
        <v>53</v>
      </c>
      <c r="C61" s="1303">
        <v>392</v>
      </c>
      <c r="D61" s="1303">
        <v>68687759.583747506</v>
      </c>
      <c r="E61" s="1303">
        <v>969</v>
      </c>
      <c r="F61" s="1303">
        <v>29577019</v>
      </c>
    </row>
    <row r="62" spans="1:6">
      <c r="A62" s="1302" t="s">
        <v>48</v>
      </c>
      <c r="B62" s="1302" t="s">
        <v>54</v>
      </c>
      <c r="C62" s="1303">
        <v>8</v>
      </c>
      <c r="D62" s="1303">
        <v>837257.92580216599</v>
      </c>
      <c r="E62" s="1303">
        <v>20</v>
      </c>
      <c r="F62" s="1303">
        <v>549063.6</v>
      </c>
    </row>
    <row r="63" spans="1:6">
      <c r="A63" s="1302" t="s">
        <v>48</v>
      </c>
      <c r="B63" s="1302" t="s">
        <v>28</v>
      </c>
      <c r="C63" s="1303">
        <v>296</v>
      </c>
      <c r="D63" s="1303">
        <v>15765951.915513501</v>
      </c>
      <c r="E63" s="1303">
        <v>324</v>
      </c>
      <c r="F63" s="1303">
        <v>12373492</v>
      </c>
    </row>
    <row r="64" spans="1:6">
      <c r="A64" s="1302" t="s">
        <v>55</v>
      </c>
      <c r="B64" s="1302" t="s">
        <v>56</v>
      </c>
      <c r="C64" s="1303">
        <v>0</v>
      </c>
      <c r="D64" s="1303">
        <v>0</v>
      </c>
      <c r="E64" s="1303">
        <v>0</v>
      </c>
      <c r="F64" s="1303">
        <v>0</v>
      </c>
    </row>
    <row r="65" spans="1:6">
      <c r="A65" s="1302" t="s">
        <v>55</v>
      </c>
      <c r="B65" s="1302" t="s">
        <v>28</v>
      </c>
      <c r="C65" s="1303">
        <v>4</v>
      </c>
      <c r="D65" s="1303">
        <v>175189.652662787</v>
      </c>
      <c r="E65" s="1303">
        <v>4</v>
      </c>
      <c r="F65" s="1303">
        <v>120406.9</v>
      </c>
    </row>
    <row r="66" spans="1:6">
      <c r="A66" s="1302" t="s">
        <v>55</v>
      </c>
      <c r="B66" s="1302" t="s">
        <v>57</v>
      </c>
      <c r="C66" s="1303">
        <v>0</v>
      </c>
      <c r="D66" s="1303">
        <v>0</v>
      </c>
      <c r="E66" s="1303">
        <v>18</v>
      </c>
      <c r="F66" s="1303">
        <v>993605.9</v>
      </c>
    </row>
    <row r="67" spans="1:6">
      <c r="A67" s="1302" t="s">
        <v>55</v>
      </c>
      <c r="B67" s="1302" t="s">
        <v>58</v>
      </c>
      <c r="C67" s="1303">
        <v>0</v>
      </c>
      <c r="D67" s="1303">
        <v>0</v>
      </c>
      <c r="E67" s="1303">
        <v>0</v>
      </c>
      <c r="F67" s="1303">
        <v>0</v>
      </c>
    </row>
    <row r="68" spans="1:6">
      <c r="A68" s="1297" t="s">
        <v>55</v>
      </c>
      <c r="B68" s="1297" t="s">
        <v>59</v>
      </c>
      <c r="C68" s="1305">
        <v>7</v>
      </c>
      <c r="D68" s="1305">
        <v>126293.957961227</v>
      </c>
      <c r="E68" s="1305">
        <v>32</v>
      </c>
      <c r="F68" s="1305">
        <v>244991</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90026143</v>
      </c>
      <c r="E73" s="442"/>
      <c r="F73" s="324"/>
    </row>
    <row r="74" spans="1:6">
      <c r="A74" s="1302" t="s">
        <v>63</v>
      </c>
      <c r="B74" s="1302" t="s">
        <v>695</v>
      </c>
      <c r="C74" s="1315" t="s">
        <v>697</v>
      </c>
      <c r="D74" s="1303">
        <v>10006641.222150564</v>
      </c>
      <c r="E74" s="442"/>
      <c r="F74" s="324"/>
    </row>
    <row r="75" spans="1:6">
      <c r="A75" s="1302" t="s">
        <v>64</v>
      </c>
      <c r="B75" s="1302" t="s">
        <v>694</v>
      </c>
      <c r="C75" s="1315" t="s">
        <v>698</v>
      </c>
      <c r="D75" s="1303">
        <v>33729806</v>
      </c>
      <c r="E75" s="442"/>
      <c r="F75" s="324"/>
    </row>
    <row r="76" spans="1:6">
      <c r="A76" s="1302" t="s">
        <v>64</v>
      </c>
      <c r="B76" s="1302" t="s">
        <v>695</v>
      </c>
      <c r="C76" s="1315" t="s">
        <v>699</v>
      </c>
      <c r="D76" s="1303">
        <v>2030675.2221505642</v>
      </c>
      <c r="E76" s="442"/>
      <c r="F76" s="324"/>
    </row>
    <row r="77" spans="1:6">
      <c r="A77" s="1302" t="s">
        <v>65</v>
      </c>
      <c r="B77" s="1302" t="s">
        <v>694</v>
      </c>
      <c r="C77" s="1315" t="s">
        <v>700</v>
      </c>
      <c r="D77" s="1303">
        <v>181462222</v>
      </c>
      <c r="E77" s="442"/>
      <c r="F77" s="324"/>
    </row>
    <row r="78" spans="1:6">
      <c r="A78" s="1297" t="s">
        <v>65</v>
      </c>
      <c r="B78" s="1297" t="s">
        <v>695</v>
      </c>
      <c r="C78" s="1297" t="s">
        <v>701</v>
      </c>
      <c r="D78" s="1305">
        <v>46482565</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540539.5556988715</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6432.7710652814703</v>
      </c>
      <c r="C91" s="324"/>
      <c r="D91" s="324"/>
      <c r="E91" s="324"/>
      <c r="F91" s="324"/>
    </row>
    <row r="92" spans="1:6">
      <c r="A92" s="1297" t="s">
        <v>68</v>
      </c>
      <c r="B92" s="1298">
        <v>28478.080329772842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5216</v>
      </c>
      <c r="C97" s="324"/>
      <c r="D97" s="324"/>
      <c r="E97" s="324"/>
      <c r="F97" s="324"/>
    </row>
    <row r="98" spans="1:6">
      <c r="A98" s="1302" t="s">
        <v>71</v>
      </c>
      <c r="B98" s="1303">
        <v>2</v>
      </c>
      <c r="C98" s="324"/>
      <c r="D98" s="324"/>
      <c r="E98" s="324"/>
      <c r="F98" s="324"/>
    </row>
    <row r="99" spans="1:6">
      <c r="A99" s="1302" t="s">
        <v>72</v>
      </c>
      <c r="B99" s="1303">
        <v>157</v>
      </c>
      <c r="C99" s="324"/>
      <c r="D99" s="324"/>
      <c r="E99" s="324"/>
      <c r="F99" s="324"/>
    </row>
    <row r="100" spans="1:6">
      <c r="A100" s="1302" t="s">
        <v>73</v>
      </c>
      <c r="B100" s="1303">
        <v>1363</v>
      </c>
      <c r="C100" s="324"/>
      <c r="D100" s="324"/>
      <c r="E100" s="324"/>
      <c r="F100" s="324"/>
    </row>
    <row r="101" spans="1:6">
      <c r="A101" s="1302" t="s">
        <v>74</v>
      </c>
      <c r="B101" s="1303">
        <v>179</v>
      </c>
      <c r="C101" s="324"/>
      <c r="D101" s="324"/>
      <c r="E101" s="324"/>
      <c r="F101" s="324"/>
    </row>
    <row r="102" spans="1:6">
      <c r="A102" s="1302" t="s">
        <v>75</v>
      </c>
      <c r="B102" s="1303">
        <v>330</v>
      </c>
      <c r="C102" s="324"/>
      <c r="D102" s="324"/>
      <c r="E102" s="324"/>
      <c r="F102" s="324"/>
    </row>
    <row r="103" spans="1:6">
      <c r="A103" s="1302" t="s">
        <v>76</v>
      </c>
      <c r="B103" s="1303">
        <v>222</v>
      </c>
      <c r="C103" s="324"/>
      <c r="D103" s="324"/>
      <c r="E103" s="324"/>
      <c r="F103" s="324"/>
    </row>
    <row r="104" spans="1:6">
      <c r="A104" s="1302" t="s">
        <v>77</v>
      </c>
      <c r="B104" s="1303">
        <v>6001</v>
      </c>
      <c r="C104" s="324"/>
      <c r="D104" s="324"/>
      <c r="E104" s="324"/>
      <c r="F104" s="324"/>
    </row>
    <row r="105" spans="1:6">
      <c r="A105" s="1297" t="s">
        <v>78</v>
      </c>
      <c r="B105" s="1305">
        <v>20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1</v>
      </c>
      <c r="C122" s="1303">
        <v>0</v>
      </c>
      <c r="D122" s="324"/>
      <c r="E122" s="324"/>
      <c r="F122" s="324"/>
    </row>
    <row r="123" spans="1:6">
      <c r="A123" s="1302" t="s">
        <v>87</v>
      </c>
      <c r="B123" s="1303">
        <v>24</v>
      </c>
      <c r="C123" s="1303">
        <v>19</v>
      </c>
      <c r="D123" s="324"/>
      <c r="E123" s="324"/>
      <c r="F123" s="324"/>
    </row>
    <row r="124" spans="1:6">
      <c r="A124" s="1302" t="s">
        <v>88</v>
      </c>
      <c r="B124" s="1303">
        <v>4</v>
      </c>
      <c r="C124" s="1303">
        <v>2</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318</v>
      </c>
      <c r="C129" s="324"/>
      <c r="D129" s="324"/>
      <c r="E129" s="324"/>
      <c r="F129" s="324"/>
    </row>
    <row r="130" spans="1:6">
      <c r="A130" s="1302" t="s">
        <v>284</v>
      </c>
      <c r="B130" s="1303">
        <v>5</v>
      </c>
      <c r="C130" s="324"/>
      <c r="D130" s="324"/>
      <c r="E130" s="324"/>
      <c r="F130" s="324"/>
    </row>
    <row r="131" spans="1:6">
      <c r="A131" s="1302" t="s">
        <v>285</v>
      </c>
      <c r="B131" s="1303">
        <v>13</v>
      </c>
      <c r="C131" s="324"/>
      <c r="D131" s="324"/>
      <c r="E131" s="324"/>
      <c r="F131" s="324"/>
    </row>
    <row r="132" spans="1:6">
      <c r="A132" s="1297" t="s">
        <v>286</v>
      </c>
      <c r="B132" s="1298">
        <v>18</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399839.70425703417</v>
      </c>
      <c r="C3" s="43" t="s">
        <v>163</v>
      </c>
      <c r="D3" s="43"/>
      <c r="E3" s="154"/>
      <c r="F3" s="43"/>
      <c r="G3" s="43"/>
      <c r="H3" s="43"/>
      <c r="I3" s="43"/>
      <c r="J3" s="43"/>
      <c r="K3" s="96"/>
    </row>
    <row r="4" spans="1:11">
      <c r="A4" s="351" t="s">
        <v>164</v>
      </c>
      <c r="B4" s="49">
        <f>IF(ISERROR('SEAP template'!B78+'SEAP template'!C78),0,'SEAP template'!B78+'SEAP template'!C78)</f>
        <v>34910.851395054313</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0.20170402194638659</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2878.154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2878.154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0.20170402194638659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580.53523758108031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62194.591266000003</v>
      </c>
      <c r="C5" s="17">
        <f>IF(ISERROR('Eigen informatie GS &amp; warmtenet'!B57),0,'Eigen informatie GS &amp; warmtenet'!B57)</f>
        <v>0</v>
      </c>
      <c r="D5" s="30">
        <f>(SUM(HH_hh_gas_kWh,HH_rest_gas_kWh)/1000)*0.902</f>
        <v>114655.14573817945</v>
      </c>
      <c r="E5" s="17">
        <f>B32*B41</f>
        <v>3417.8834278392737</v>
      </c>
      <c r="F5" s="17">
        <f>B36*B45</f>
        <v>107823.55901754595</v>
      </c>
      <c r="G5" s="18"/>
      <c r="H5" s="17"/>
      <c r="I5" s="17"/>
      <c r="J5" s="17">
        <f>B35*B44+C35*C44</f>
        <v>2514.4413231019212</v>
      </c>
      <c r="K5" s="17"/>
      <c r="L5" s="17"/>
      <c r="M5" s="17"/>
      <c r="N5" s="17">
        <f>B34*B43+C34*C43</f>
        <v>18033.669487264997</v>
      </c>
      <c r="O5" s="17">
        <f>B52*B53*B54</f>
        <v>529.97</v>
      </c>
      <c r="P5" s="17">
        <f>B60*B61*B62/1000-B60*B61*B62/1000/B63</f>
        <v>877.06666666666661</v>
      </c>
    </row>
    <row r="6" spans="1:16">
      <c r="A6" s="16" t="s">
        <v>618</v>
      </c>
      <c r="B6" s="755">
        <f>kWh_PV_kleiner_dan_10kW</f>
        <v>6432.7710652814703</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68627.362331281474</v>
      </c>
      <c r="C8" s="21">
        <f>C5</f>
        <v>0</v>
      </c>
      <c r="D8" s="21">
        <f>D5</f>
        <v>114655.14573817945</v>
      </c>
      <c r="E8" s="21">
        <f>E5</f>
        <v>3417.8834278392737</v>
      </c>
      <c r="F8" s="21">
        <f>F5</f>
        <v>107823.55901754595</v>
      </c>
      <c r="G8" s="21"/>
      <c r="H8" s="21"/>
      <c r="I8" s="21"/>
      <c r="J8" s="21">
        <f>J5</f>
        <v>2514.4413231019212</v>
      </c>
      <c r="K8" s="21"/>
      <c r="L8" s="21">
        <f>L5</f>
        <v>0</v>
      </c>
      <c r="M8" s="21">
        <f>M5</f>
        <v>0</v>
      </c>
      <c r="N8" s="21">
        <f>N5</f>
        <v>18033.669487264997</v>
      </c>
      <c r="O8" s="21">
        <f>O5</f>
        <v>529.97</v>
      </c>
      <c r="P8" s="21">
        <f>P5</f>
        <v>877.06666666666661</v>
      </c>
    </row>
    <row r="9" spans="1:16">
      <c r="B9" s="19"/>
      <c r="C9" s="19"/>
      <c r="D9" s="254"/>
      <c r="E9" s="19"/>
      <c r="F9" s="19"/>
      <c r="G9" s="19"/>
      <c r="H9" s="19"/>
      <c r="I9" s="19"/>
      <c r="J9" s="19"/>
      <c r="K9" s="19"/>
      <c r="L9" s="19"/>
      <c r="M9" s="19"/>
      <c r="N9" s="19"/>
      <c r="O9" s="19"/>
      <c r="P9" s="19"/>
    </row>
    <row r="10" spans="1:16">
      <c r="A10" s="24" t="s">
        <v>207</v>
      </c>
      <c r="B10" s="25">
        <f ca="1">'EF ele_warmte'!B12</f>
        <v>0.20170402194638659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13842.414997791422</v>
      </c>
      <c r="C12" s="23">
        <f ca="1">C10*C8</f>
        <v>0</v>
      </c>
      <c r="D12" s="23">
        <f>D8*D10</f>
        <v>23160.339439112249</v>
      </c>
      <c r="E12" s="23">
        <f>E10*E8</f>
        <v>775.85953811951515</v>
      </c>
      <c r="F12" s="23">
        <f>F10*F8</f>
        <v>28788.890257684772</v>
      </c>
      <c r="G12" s="23"/>
      <c r="H12" s="23"/>
      <c r="I12" s="23"/>
      <c r="J12" s="23">
        <f>J10*J8</f>
        <v>890.11222837808009</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15454</v>
      </c>
      <c r="C26" s="36"/>
      <c r="D26" s="225"/>
    </row>
    <row r="27" spans="1:5" s="15" customFormat="1">
      <c r="A27" s="227" t="s">
        <v>721</v>
      </c>
      <c r="B27" s="37">
        <f>SUM(HH_hh_gas_aantal,HH_rest_gas_aantal)</f>
        <v>9071</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8617.4500000000007</v>
      </c>
      <c r="C31" s="34" t="s">
        <v>104</v>
      </c>
      <c r="D31" s="171"/>
    </row>
    <row r="32" spans="1:5">
      <c r="A32" s="168" t="s">
        <v>72</v>
      </c>
      <c r="B32" s="33">
        <f>IF((B21*($B$26-($B$27-0.05*$B$27)-$B$60))&lt;0,0,B21*($B$26-($B$27-0.05*$B$27)-$B$60))</f>
        <v>42.815914724063212</v>
      </c>
      <c r="C32" s="34" t="s">
        <v>104</v>
      </c>
      <c r="D32" s="171"/>
    </row>
    <row r="33" spans="1:6">
      <c r="A33" s="168" t="s">
        <v>73</v>
      </c>
      <c r="B33" s="33">
        <f>IF((B22*($B$26-($B$27-0.05*$B$27)-$B$60))&lt;0,0,B22*($B$26-($B$27-0.05*$B$27)-$B$60))</f>
        <v>1491.0056886861621</v>
      </c>
      <c r="C33" s="34" t="s">
        <v>104</v>
      </c>
      <c r="D33" s="171"/>
    </row>
    <row r="34" spans="1:6">
      <c r="A34" s="168" t="s">
        <v>74</v>
      </c>
      <c r="B34" s="33">
        <f>IF((B24*($B$26-($B$27-0.05*$B$27)-$B$60))&lt;0,0,B24*($B$26-($B$27-0.05*$B$27)-$B$60))</f>
        <v>295.95803310584483</v>
      </c>
      <c r="C34" s="33">
        <f>B26*C24</f>
        <v>3161.8834921882071</v>
      </c>
      <c r="D34" s="230"/>
    </row>
    <row r="35" spans="1:6">
      <c r="A35" s="168" t="s">
        <v>76</v>
      </c>
      <c r="B35" s="33">
        <f>IF((B19*($B$26-($B$27-0.05*$B$27)-$B$60))&lt;0,0,B19*($B$26-($B$27-0.05*$B$27)-$B$60))</f>
        <v>144.59233018078646</v>
      </c>
      <c r="C35" s="33">
        <f>B35/2</f>
        <v>72.296165090393231</v>
      </c>
      <c r="D35" s="230"/>
    </row>
    <row r="36" spans="1:6">
      <c r="A36" s="168" t="s">
        <v>77</v>
      </c>
      <c r="B36" s="33">
        <f>IF((B18*($B$26-($B$27-0.05*$B$27)-$B$60))&lt;0,0,B18*($B$26-($B$27-0.05*$B$27)-$B$60))</f>
        <v>4816.1780333031447</v>
      </c>
      <c r="C36" s="34" t="s">
        <v>104</v>
      </c>
      <c r="D36" s="171"/>
    </row>
    <row r="37" spans="1:6">
      <c r="A37" s="168" t="s">
        <v>78</v>
      </c>
      <c r="B37" s="33">
        <f>B60</f>
        <v>46</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339</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46</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85929.114600000001</v>
      </c>
      <c r="C5" s="17">
        <f>IF(ISERROR('Eigen informatie GS &amp; warmtenet'!B58),0,'Eigen informatie GS &amp; warmtenet'!B58)</f>
        <v>0</v>
      </c>
      <c r="D5" s="30">
        <f>SUM(D6:D12)</f>
        <v>103585.82887692389</v>
      </c>
      <c r="E5" s="17">
        <f>SUM(E6:E12)</f>
        <v>784.9293665923002</v>
      </c>
      <c r="F5" s="17">
        <f>SUM(F6:F12)</f>
        <v>11798.805463041375</v>
      </c>
      <c r="G5" s="18"/>
      <c r="H5" s="17"/>
      <c r="I5" s="17"/>
      <c r="J5" s="17">
        <f>SUM(J6:J12)</f>
        <v>0</v>
      </c>
      <c r="K5" s="17"/>
      <c r="L5" s="17"/>
      <c r="M5" s="17"/>
      <c r="N5" s="17">
        <f>SUM(N6:N12)</f>
        <v>4287.5679280637833</v>
      </c>
      <c r="O5" s="17">
        <f>B38*B39*B40</f>
        <v>7.8166666666666664</v>
      </c>
      <c r="P5" s="17">
        <f>B46*B47*B48/1000-B46*B47*B48/1000/B49</f>
        <v>266.93333333333334</v>
      </c>
      <c r="R5" s="32"/>
    </row>
    <row r="6" spans="1:18">
      <c r="A6" s="32" t="s">
        <v>53</v>
      </c>
      <c r="B6" s="37">
        <f>B26</f>
        <v>29577.019</v>
      </c>
      <c r="C6" s="33"/>
      <c r="D6" s="37">
        <f>IF(ISERROR(TER_kantoor_gas_kWh/1000),0,TER_kantoor_gas_kWh/1000)*0.902</f>
        <v>61956.359144540256</v>
      </c>
      <c r="E6" s="33">
        <f>$C$26*'E Balans VL '!I12/100/3.6*1000000</f>
        <v>85.688963607005363</v>
      </c>
      <c r="F6" s="33">
        <f>$C$26*('E Balans VL '!L12+'E Balans VL '!N12)/100/3.6*1000000</f>
        <v>3347.4669185488538</v>
      </c>
      <c r="G6" s="34"/>
      <c r="H6" s="33"/>
      <c r="I6" s="33"/>
      <c r="J6" s="33">
        <f>$C$26*('E Balans VL '!D12+'E Balans VL '!E12)/100/3.6*1000000</f>
        <v>0</v>
      </c>
      <c r="K6" s="33"/>
      <c r="L6" s="33"/>
      <c r="M6" s="33"/>
      <c r="N6" s="33">
        <f>$C$26*'E Balans VL '!Y12/100/3.6*1000000</f>
        <v>296.04416686935588</v>
      </c>
      <c r="O6" s="33"/>
      <c r="P6" s="33"/>
      <c r="R6" s="32"/>
    </row>
    <row r="7" spans="1:18">
      <c r="A7" s="32" t="s">
        <v>52</v>
      </c>
      <c r="B7" s="37">
        <f t="shared" ref="B7:B12" si="0">B27</f>
        <v>6409.2449999999999</v>
      </c>
      <c r="C7" s="33"/>
      <c r="D7" s="37">
        <f>IF(ISERROR(TER_horeca_gas_kWh/1000),0,TER_horeca_gas_kWh/1000)*0.902</f>
        <v>7208.5965697787251</v>
      </c>
      <c r="E7" s="33">
        <f>$C$27*'E Balans VL '!I9/100/3.6*1000000</f>
        <v>269.04219802338253</v>
      </c>
      <c r="F7" s="33">
        <f>$C$27*('E Balans VL '!L9+'E Balans VL '!N9)/100/3.6*1000000</f>
        <v>1377.1577221975617</v>
      </c>
      <c r="G7" s="34"/>
      <c r="H7" s="33"/>
      <c r="I7" s="33"/>
      <c r="J7" s="33">
        <f>$C$27*('E Balans VL '!D9+'E Balans VL '!E9)/100/3.6*1000000</f>
        <v>0</v>
      </c>
      <c r="K7" s="33"/>
      <c r="L7" s="33"/>
      <c r="M7" s="33"/>
      <c r="N7" s="33">
        <f>$C$27*'E Balans VL '!Y9/100/3.6*1000000</f>
        <v>1.6516063856190997</v>
      </c>
      <c r="O7" s="33"/>
      <c r="P7" s="33"/>
      <c r="R7" s="32"/>
    </row>
    <row r="8" spans="1:18">
      <c r="A8" s="6" t="s">
        <v>51</v>
      </c>
      <c r="B8" s="37">
        <f t="shared" si="0"/>
        <v>28007.205000000002</v>
      </c>
      <c r="C8" s="33"/>
      <c r="D8" s="37">
        <f>IF(ISERROR(TER_handel_gas_kWh/1000),0,TER_handel_gas_kWh/1000)*0.902</f>
        <v>12217.741471594134</v>
      </c>
      <c r="E8" s="33">
        <f>$C$28*'E Balans VL '!I13/100/3.6*1000000</f>
        <v>300.82069143410524</v>
      </c>
      <c r="F8" s="33">
        <f>$C$28*('E Balans VL '!L13+'E Balans VL '!N13)/100/3.6*1000000</f>
        <v>3625.7639659811271</v>
      </c>
      <c r="G8" s="34"/>
      <c r="H8" s="33"/>
      <c r="I8" s="33"/>
      <c r="J8" s="33">
        <f>$C$28*('E Balans VL '!D13+'E Balans VL '!E13)/100/3.6*1000000</f>
        <v>0</v>
      </c>
      <c r="K8" s="33"/>
      <c r="L8" s="33"/>
      <c r="M8" s="33"/>
      <c r="N8" s="33">
        <f>$C$28*'E Balans VL '!Y13/100/3.6*1000000</f>
        <v>227.1959762198845</v>
      </c>
      <c r="O8" s="33"/>
      <c r="P8" s="33"/>
      <c r="R8" s="32"/>
    </row>
    <row r="9" spans="1:18">
      <c r="A9" s="32" t="s">
        <v>50</v>
      </c>
      <c r="B9" s="37">
        <f t="shared" si="0"/>
        <v>5230.3440000000001</v>
      </c>
      <c r="C9" s="33"/>
      <c r="D9" s="37">
        <f>IF(ISERROR(TER_gezond_gas_kWh/1000),0,TER_gezond_gas_kWh/1000)*0.902</f>
        <v>1337.3197277921204</v>
      </c>
      <c r="E9" s="33">
        <f>$C$29*'E Balans VL '!I10/100/3.6*1000000</f>
        <v>4.1636921135868743</v>
      </c>
      <c r="F9" s="33">
        <f>$C$29*('E Balans VL '!L10+'E Balans VL '!N10)/100/3.6*1000000</f>
        <v>635.82389847879665</v>
      </c>
      <c r="G9" s="34"/>
      <c r="H9" s="33"/>
      <c r="I9" s="33"/>
      <c r="J9" s="33">
        <f>$C$29*('E Balans VL '!D10+'E Balans VL '!E10)/100/3.6*1000000</f>
        <v>0</v>
      </c>
      <c r="K9" s="33"/>
      <c r="L9" s="33"/>
      <c r="M9" s="33"/>
      <c r="N9" s="33">
        <f>$C$29*'E Balans VL '!Y10/100/3.6*1000000</f>
        <v>42.249333143402076</v>
      </c>
      <c r="O9" s="33"/>
      <c r="P9" s="33"/>
      <c r="R9" s="32"/>
    </row>
    <row r="10" spans="1:18">
      <c r="A10" s="32" t="s">
        <v>49</v>
      </c>
      <c r="B10" s="37">
        <f t="shared" si="0"/>
        <v>3782.7460000000001</v>
      </c>
      <c r="C10" s="33"/>
      <c r="D10" s="37">
        <f>IF(ISERROR(TER_ander_gas_kWh/1000),0,TER_ander_gas_kWh/1000)*0.902</f>
        <v>5889.7166863519133</v>
      </c>
      <c r="E10" s="33">
        <f>$C$30*'E Balans VL '!I14/100/3.6*1000000</f>
        <v>12.963669262001728</v>
      </c>
      <c r="F10" s="33">
        <f>$C$30*('E Balans VL '!L14+'E Balans VL '!N14)/100/3.6*1000000</f>
        <v>844.91174370937733</v>
      </c>
      <c r="G10" s="34"/>
      <c r="H10" s="33"/>
      <c r="I10" s="33"/>
      <c r="J10" s="33">
        <f>$C$30*('E Balans VL '!D14+'E Balans VL '!E14)/100/3.6*1000000</f>
        <v>0</v>
      </c>
      <c r="K10" s="33"/>
      <c r="L10" s="33"/>
      <c r="M10" s="33"/>
      <c r="N10" s="33">
        <f>$C$30*'E Balans VL '!Y14/100/3.6*1000000</f>
        <v>2664.586947137459</v>
      </c>
      <c r="O10" s="33"/>
      <c r="P10" s="33"/>
      <c r="R10" s="32"/>
    </row>
    <row r="11" spans="1:18">
      <c r="A11" s="32" t="s">
        <v>54</v>
      </c>
      <c r="B11" s="37">
        <f t="shared" si="0"/>
        <v>549.06359999999995</v>
      </c>
      <c r="C11" s="33"/>
      <c r="D11" s="37">
        <f>IF(ISERROR(TER_onderwijs_gas_kWh/1000),0,TER_onderwijs_gas_kWh/1000)*0.902</f>
        <v>755.20664907355376</v>
      </c>
      <c r="E11" s="33">
        <f>$C$31*'E Balans VL '!I11/100/3.6*1000000</f>
        <v>0.37955075685194445</v>
      </c>
      <c r="F11" s="33">
        <f>$C$31*('E Balans VL '!L11+'E Balans VL '!N11)/100/3.6*1000000</f>
        <v>143.72890126460024</v>
      </c>
      <c r="G11" s="34"/>
      <c r="H11" s="33"/>
      <c r="I11" s="33"/>
      <c r="J11" s="33">
        <f>$C$31*('E Balans VL '!D11+'E Balans VL '!E11)/100/3.6*1000000</f>
        <v>0</v>
      </c>
      <c r="K11" s="33"/>
      <c r="L11" s="33"/>
      <c r="M11" s="33"/>
      <c r="N11" s="33">
        <f>$C$31*'E Balans VL '!Y11/100/3.6*1000000</f>
        <v>0.54654604821065433</v>
      </c>
      <c r="O11" s="33"/>
      <c r="P11" s="33"/>
      <c r="R11" s="32"/>
    </row>
    <row r="12" spans="1:18">
      <c r="A12" s="32" t="s">
        <v>249</v>
      </c>
      <c r="B12" s="37">
        <f t="shared" si="0"/>
        <v>12373.492</v>
      </c>
      <c r="C12" s="33"/>
      <c r="D12" s="37">
        <f>IF(ISERROR(TER_rest_gas_kWh/1000),0,TER_rest_gas_kWh/1000)*0.902</f>
        <v>14220.888627793178</v>
      </c>
      <c r="E12" s="33">
        <f>$C$32*'E Balans VL '!I8/100/3.6*1000000</f>
        <v>111.87060139536653</v>
      </c>
      <c r="F12" s="33">
        <f>$C$32*('E Balans VL '!L8+'E Balans VL '!N8)/100/3.6*1000000</f>
        <v>1823.9523128610597</v>
      </c>
      <c r="G12" s="34"/>
      <c r="H12" s="33"/>
      <c r="I12" s="33"/>
      <c r="J12" s="33">
        <f>$C$32*('E Balans VL '!D8+'E Balans VL '!E8)/100/3.6*1000000</f>
        <v>0</v>
      </c>
      <c r="K12" s="33"/>
      <c r="L12" s="33"/>
      <c r="M12" s="33"/>
      <c r="N12" s="33">
        <f>$C$32*'E Balans VL '!Y8/100/3.6*1000000</f>
        <v>1055.2933522598521</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85929.114600000001</v>
      </c>
      <c r="C16" s="21">
        <f t="shared" ca="1" si="1"/>
        <v>0</v>
      </c>
      <c r="D16" s="21">
        <f t="shared" ca="1" si="1"/>
        <v>103585.82887692389</v>
      </c>
      <c r="E16" s="21">
        <f t="shared" si="1"/>
        <v>784.9293665923002</v>
      </c>
      <c r="F16" s="21">
        <f t="shared" ca="1" si="1"/>
        <v>11798.805463041375</v>
      </c>
      <c r="G16" s="21">
        <f t="shared" si="1"/>
        <v>0</v>
      </c>
      <c r="H16" s="21">
        <f t="shared" si="1"/>
        <v>0</v>
      </c>
      <c r="I16" s="21">
        <f t="shared" si="1"/>
        <v>0</v>
      </c>
      <c r="J16" s="21">
        <f t="shared" si="1"/>
        <v>0</v>
      </c>
      <c r="K16" s="21">
        <f t="shared" si="1"/>
        <v>0</v>
      </c>
      <c r="L16" s="21">
        <f t="shared" ca="1" si="1"/>
        <v>0</v>
      </c>
      <c r="M16" s="21">
        <f t="shared" si="1"/>
        <v>0</v>
      </c>
      <c r="N16" s="21">
        <f t="shared" ca="1" si="1"/>
        <v>4287.5679280637833</v>
      </c>
      <c r="O16" s="21">
        <f>O5</f>
        <v>7.8166666666666664</v>
      </c>
      <c r="P16" s="21">
        <f>P5</f>
        <v>266.93333333333334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0.20170402194638659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17332.248017111968</v>
      </c>
      <c r="C20" s="23">
        <f t="shared" ref="C20:P20" ca="1" si="2">C16*C18</f>
        <v>0</v>
      </c>
      <c r="D20" s="23">
        <f t="shared" ca="1" si="2"/>
        <v>20924.337433138626</v>
      </c>
      <c r="E20" s="23">
        <f t="shared" si="2"/>
        <v>178.17896621645215</v>
      </c>
      <c r="F20" s="23">
        <f t="shared" ca="1" si="2"/>
        <v>3150.2810586320475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29577.019</v>
      </c>
      <c r="C26" s="39">
        <f>IF(ISERROR(B26*3.6/1000000/'E Balans VL '!Z12*100),0,B26*3.6/1000000/'E Balans VL '!Z12*100)</f>
        <v>0.64969341679310277</v>
      </c>
      <c r="D26" s="233" t="s">
        <v>676</v>
      </c>
      <c r="F26" s="6"/>
    </row>
    <row r="27" spans="1:18">
      <c r="A27" s="228" t="s">
        <v>52</v>
      </c>
      <c r="B27" s="33">
        <f>IF(ISERROR(TER_horeca_ele_kWh/1000),0,TER_horeca_ele_kWh/1000)</f>
        <v>6409.2449999999999</v>
      </c>
      <c r="C27" s="39">
        <f>IF(ISERROR(B27*3.6/1000000/'E Balans VL '!Z9*100),0,B27*3.6/1000000/'E Balans VL '!Z9*100)</f>
        <v>0.51504672385874761</v>
      </c>
      <c r="D27" s="233" t="s">
        <v>676</v>
      </c>
      <c r="F27" s="6"/>
    </row>
    <row r="28" spans="1:18">
      <c r="A28" s="168" t="s">
        <v>51</v>
      </c>
      <c r="B28" s="33">
        <f>IF(ISERROR(TER_handel_ele_kWh/1000),0,TER_handel_ele_kWh/1000)</f>
        <v>28007.205000000002</v>
      </c>
      <c r="C28" s="39">
        <f>IF(ISERROR(B28*3.6/1000000/'E Balans VL '!Z13*100),0,B28*3.6/1000000/'E Balans VL '!Z13*100)</f>
        <v>0.82815348560576296</v>
      </c>
      <c r="D28" s="233" t="s">
        <v>676</v>
      </c>
      <c r="F28" s="6"/>
    </row>
    <row r="29" spans="1:18">
      <c r="A29" s="228" t="s">
        <v>50</v>
      </c>
      <c r="B29" s="33">
        <f>IF(ISERROR(TER_gezond_ele_kWh/1000),0,TER_gezond_ele_kWh/1000)</f>
        <v>5230.3440000000001</v>
      </c>
      <c r="C29" s="39">
        <f>IF(ISERROR(B29*3.6/1000000/'E Balans VL '!Z10*100),0,B29*3.6/1000000/'E Balans VL '!Z10*100)</f>
        <v>0.58932473322133638</v>
      </c>
      <c r="D29" s="233" t="s">
        <v>676</v>
      </c>
      <c r="F29" s="6"/>
    </row>
    <row r="30" spans="1:18">
      <c r="A30" s="228" t="s">
        <v>49</v>
      </c>
      <c r="B30" s="33">
        <f>IF(ISERROR(TER_ander_ele_kWh/1000),0,TER_ander_ele_kWh/1000)</f>
        <v>3782.7460000000001</v>
      </c>
      <c r="C30" s="39">
        <f>IF(ISERROR(B30*3.6/1000000/'E Balans VL '!Z14*100),0,B30*3.6/1000000/'E Balans VL '!Z14*100)</f>
        <v>0.28608261366779675</v>
      </c>
      <c r="D30" s="233" t="s">
        <v>676</v>
      </c>
      <c r="F30" s="6"/>
    </row>
    <row r="31" spans="1:18">
      <c r="A31" s="228" t="s">
        <v>54</v>
      </c>
      <c r="B31" s="33">
        <f>IF(ISERROR(TER_onderwijs_ele_kWh/1000),0,TER_onderwijs_ele_kWh/1000)</f>
        <v>549.06359999999995</v>
      </c>
      <c r="C31" s="39">
        <f>IF(ISERROR(B31*3.6/1000000/'E Balans VL '!Z11*100),0,B31*3.6/1000000/'E Balans VL '!Z11*100)</f>
        <v>0.11397285739571565</v>
      </c>
      <c r="D31" s="233" t="s">
        <v>676</v>
      </c>
    </row>
    <row r="32" spans="1:18">
      <c r="A32" s="228" t="s">
        <v>249</v>
      </c>
      <c r="B32" s="33">
        <f>IF(ISERROR(TER_rest_ele_kWh/1000),0,TER_rest_ele_kWh/1000)</f>
        <v>12373.492</v>
      </c>
      <c r="C32" s="39">
        <f>IF(ISERROR(B32*3.6/1000000/'E Balans VL '!Z8*100),0,B32*3.6/1000000/'E Balans VL '!Z8*100)</f>
        <v>0.10423939102115981</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5</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14</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238320.04810000001</v>
      </c>
      <c r="C5" s="17">
        <f>IF(ISERROR('Eigen informatie GS &amp; warmtenet'!B59),0,'Eigen informatie GS &amp; warmtenet'!B59)</f>
        <v>0</v>
      </c>
      <c r="D5" s="30">
        <f>SUM(D6:D15)</f>
        <v>212157.02906366254</v>
      </c>
      <c r="E5" s="17">
        <f>SUM(E6:E15)</f>
        <v>12764.206463300878</v>
      </c>
      <c r="F5" s="17">
        <f>SUM(F6:F15)</f>
        <v>54764.136005083688</v>
      </c>
      <c r="G5" s="18"/>
      <c r="H5" s="17"/>
      <c r="I5" s="17"/>
      <c r="J5" s="17">
        <f>SUM(J6:J15)</f>
        <v>686.15492404186455</v>
      </c>
      <c r="K5" s="17"/>
      <c r="L5" s="17"/>
      <c r="M5" s="17"/>
      <c r="N5" s="17">
        <f>SUM(N6:N15)</f>
        <v>11118.333291396077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6232.9639999999999</v>
      </c>
      <c r="C8" s="33"/>
      <c r="D8" s="37">
        <f>IF( ISERROR(IND_metaal_Gas_kWH/1000),0,IND_metaal_Gas_kWH/1000)*0.902</f>
        <v>9185.5118586282333</v>
      </c>
      <c r="E8" s="33">
        <f>C30*'E Balans VL '!I18/100/3.6*1000000</f>
        <v>155.98927401335388</v>
      </c>
      <c r="F8" s="33">
        <f>C30*'E Balans VL '!L18/100/3.6*1000000+C30*'E Balans VL '!N18/100/3.6*1000000</f>
        <v>1953.4419219574272</v>
      </c>
      <c r="G8" s="34"/>
      <c r="H8" s="33"/>
      <c r="I8" s="33"/>
      <c r="J8" s="40">
        <f>C30*'E Balans VL '!D18/100/3.6*1000000+C30*'E Balans VL '!E18/100/3.6*1000000</f>
        <v>0</v>
      </c>
      <c r="K8" s="33"/>
      <c r="L8" s="33"/>
      <c r="M8" s="33"/>
      <c r="N8" s="33">
        <f>C30*'E Balans VL '!Y18/100/3.6*1000000</f>
        <v>156.58823163213393</v>
      </c>
      <c r="O8" s="33"/>
      <c r="P8" s="33"/>
      <c r="R8" s="32"/>
    </row>
    <row r="9" spans="1:18">
      <c r="A9" s="6" t="s">
        <v>32</v>
      </c>
      <c r="B9" s="37">
        <f t="shared" si="0"/>
        <v>16032.617</v>
      </c>
      <c r="C9" s="33"/>
      <c r="D9" s="37">
        <f>IF( ISERROR(IND_andere_gas_kWh/1000),0,IND_andere_gas_kWh/1000)*0.902</f>
        <v>6877.3141165694815</v>
      </c>
      <c r="E9" s="33">
        <f>C31*'E Balans VL '!I19/100/3.6*1000000</f>
        <v>4408.3120963224246</v>
      </c>
      <c r="F9" s="33">
        <f>C31*'E Balans VL '!L19/100/3.6*1000000+C31*'E Balans VL '!N19/100/3.6*1000000</f>
        <v>12636.492071665383</v>
      </c>
      <c r="G9" s="34"/>
      <c r="H9" s="33"/>
      <c r="I9" s="33"/>
      <c r="J9" s="40">
        <f>C31*'E Balans VL '!D19/100/3.6*1000000+C31*'E Balans VL '!E19/100/3.6*1000000</f>
        <v>0</v>
      </c>
      <c r="K9" s="33"/>
      <c r="L9" s="33"/>
      <c r="M9" s="33"/>
      <c r="N9" s="33">
        <f>C31*'E Balans VL '!Y19/100/3.6*1000000</f>
        <v>1291.5977285613508</v>
      </c>
      <c r="O9" s="33"/>
      <c r="P9" s="33"/>
      <c r="R9" s="32"/>
    </row>
    <row r="10" spans="1:18">
      <c r="A10" s="6" t="s">
        <v>40</v>
      </c>
      <c r="B10" s="37">
        <f t="shared" si="0"/>
        <v>894.07010000000002</v>
      </c>
      <c r="C10" s="33"/>
      <c r="D10" s="37">
        <f>IF( ISERROR(IND_voed_gas_kWh/1000),0,IND_voed_gas_kWh/1000)*0.902</f>
        <v>748.20865317341509</v>
      </c>
      <c r="E10" s="33">
        <f>C32*'E Balans VL '!I20/100/3.6*1000000</f>
        <v>9.114552123471432</v>
      </c>
      <c r="F10" s="33">
        <f>C32*'E Balans VL '!L20/100/3.6*1000000+C32*'E Balans VL '!N20/100/3.6*1000000</f>
        <v>1688.8928270313129</v>
      </c>
      <c r="G10" s="34"/>
      <c r="H10" s="33"/>
      <c r="I10" s="33"/>
      <c r="J10" s="40">
        <f>C32*'E Balans VL '!D20/100/3.6*1000000+C32*'E Balans VL '!E20/100/3.6*1000000</f>
        <v>21.398022903611693</v>
      </c>
      <c r="K10" s="33"/>
      <c r="L10" s="33"/>
      <c r="M10" s="33"/>
      <c r="N10" s="33">
        <f>C32*'E Balans VL '!Y20/100/3.6*1000000</f>
        <v>471.27792694722433</v>
      </c>
      <c r="O10" s="33"/>
      <c r="P10" s="33"/>
      <c r="R10" s="32"/>
    </row>
    <row r="11" spans="1:18">
      <c r="A11" s="6" t="s">
        <v>39</v>
      </c>
      <c r="B11" s="37">
        <f t="shared" si="0"/>
        <v>53699.809000000001</v>
      </c>
      <c r="C11" s="33"/>
      <c r="D11" s="37">
        <f>IF( ISERROR(IND_textiel_gas_kWh/1000),0,IND_textiel_gas_kWh/1000)*0.902</f>
        <v>16045.45499128882</v>
      </c>
      <c r="E11" s="33">
        <f>C33*'E Balans VL '!I21/100/3.6*1000000</f>
        <v>142.33076473644044</v>
      </c>
      <c r="F11" s="33">
        <f>C33*'E Balans VL '!L21/100/3.6*1000000+C33*'E Balans VL '!N21/100/3.6*1000000</f>
        <v>2398.2888654178405</v>
      </c>
      <c r="G11" s="34"/>
      <c r="H11" s="33"/>
      <c r="I11" s="33"/>
      <c r="J11" s="40">
        <f>C33*'E Balans VL '!D21/100/3.6*1000000+C33*'E Balans VL '!E21/100/3.6*1000000</f>
        <v>0</v>
      </c>
      <c r="K11" s="33"/>
      <c r="L11" s="33"/>
      <c r="M11" s="33"/>
      <c r="N11" s="33">
        <f>C33*'E Balans VL '!Y21/100/3.6*1000000</f>
        <v>506.08231294019225</v>
      </c>
      <c r="O11" s="33"/>
      <c r="P11" s="33"/>
      <c r="R11" s="32"/>
    </row>
    <row r="12" spans="1:18">
      <c r="A12" s="6" t="s">
        <v>36</v>
      </c>
      <c r="B12" s="37">
        <f t="shared" si="0"/>
        <v>1277.807</v>
      </c>
      <c r="C12" s="33"/>
      <c r="D12" s="37">
        <f>IF( ISERROR(IND_min_gas_kWh/1000),0,IND_min_gas_kWh/1000)*0.902</f>
        <v>0</v>
      </c>
      <c r="E12" s="33">
        <f>C34*'E Balans VL '!I22/100/3.6*1000000</f>
        <v>3.8698993832559081</v>
      </c>
      <c r="F12" s="33">
        <f>C34*'E Balans VL '!L22/100/3.6*1000000+C34*'E Balans VL '!N22/100/3.6*1000000</f>
        <v>39.932567326813128</v>
      </c>
      <c r="G12" s="34"/>
      <c r="H12" s="33"/>
      <c r="I12" s="33"/>
      <c r="J12" s="40">
        <f>C34*'E Balans VL '!D22/100/3.6*1000000+C34*'E Balans VL '!E22/100/3.6*1000000</f>
        <v>1.8947041224626504</v>
      </c>
      <c r="K12" s="33"/>
      <c r="L12" s="33"/>
      <c r="M12" s="33"/>
      <c r="N12" s="33">
        <f>C34*'E Balans VL '!Y22/100/3.6*1000000</f>
        <v>0</v>
      </c>
      <c r="O12" s="33"/>
      <c r="P12" s="33"/>
      <c r="R12" s="32"/>
    </row>
    <row r="13" spans="1:18">
      <c r="A13" s="6" t="s">
        <v>38</v>
      </c>
      <c r="B13" s="37">
        <f t="shared" si="0"/>
        <v>920.78300000000002</v>
      </c>
      <c r="C13" s="33"/>
      <c r="D13" s="37">
        <f>IF( ISERROR(IND_papier_gas_kWh/1000),0,IND_papier_gas_kWh/1000)*0.902</f>
        <v>0</v>
      </c>
      <c r="E13" s="33">
        <f>C35*'E Balans VL '!I23/100/3.6*1000000</f>
        <v>1.9070037443559213</v>
      </c>
      <c r="F13" s="33">
        <f>C35*'E Balans VL '!L23/100/3.6*1000000+C35*'E Balans VL '!N23/100/3.6*1000000</f>
        <v>18.261100891856785</v>
      </c>
      <c r="G13" s="34"/>
      <c r="H13" s="33"/>
      <c r="I13" s="33"/>
      <c r="J13" s="40">
        <f>C35*'E Balans VL '!D23/100/3.6*1000000+C35*'E Balans VL '!E23/100/3.6*1000000</f>
        <v>0</v>
      </c>
      <c r="K13" s="33"/>
      <c r="L13" s="33"/>
      <c r="M13" s="33"/>
      <c r="N13" s="33">
        <f>C35*'E Balans VL '!Y23/100/3.6*1000000</f>
        <v>63.860955190831071</v>
      </c>
      <c r="O13" s="33"/>
      <c r="P13" s="33"/>
      <c r="R13" s="32"/>
    </row>
    <row r="14" spans="1:18">
      <c r="A14" s="6" t="s">
        <v>33</v>
      </c>
      <c r="B14" s="37">
        <f t="shared" si="0"/>
        <v>1261.998</v>
      </c>
      <c r="C14" s="33"/>
      <c r="D14" s="37">
        <f>IF( ISERROR(IND_chemie_gas_kWh/1000),0,IND_chemie_gas_kWh/1000)*0.902</f>
        <v>0</v>
      </c>
      <c r="E14" s="33">
        <f>C36*'E Balans VL '!I24/100/3.6*1000000</f>
        <v>4.7314379028049753</v>
      </c>
      <c r="F14" s="33">
        <f>C36*'E Balans VL '!L24/100/3.6*1000000+C36*'E Balans VL '!N24/100/3.6*1000000</f>
        <v>14.682024809858214</v>
      </c>
      <c r="G14" s="34"/>
      <c r="H14" s="33"/>
      <c r="I14" s="33"/>
      <c r="J14" s="40">
        <f>C36*'E Balans VL '!D24/100/3.6*1000000+C36*'E Balans VL '!E24/100/3.6*1000000</f>
        <v>0</v>
      </c>
      <c r="K14" s="33"/>
      <c r="L14" s="33"/>
      <c r="M14" s="33"/>
      <c r="N14" s="33">
        <f>C36*'E Balans VL '!Y24/100/3.6*1000000</f>
        <v>21.560630172542531</v>
      </c>
      <c r="O14" s="33"/>
      <c r="P14" s="33"/>
      <c r="R14" s="32"/>
    </row>
    <row r="15" spans="1:18">
      <c r="A15" s="6" t="s">
        <v>259</v>
      </c>
      <c r="B15" s="37">
        <f t="shared" si="0"/>
        <v>158000</v>
      </c>
      <c r="C15" s="33"/>
      <c r="D15" s="37">
        <f>IF( ISERROR(IND_rest_gas_kWh/1000),0,IND_rest_gas_kWh/1000)*0.902</f>
        <v>179300.53944400258</v>
      </c>
      <c r="E15" s="33">
        <f>C37*'E Balans VL '!I15/100/3.6*1000000</f>
        <v>8037.9514350747713</v>
      </c>
      <c r="F15" s="33">
        <f>C37*'E Balans VL '!L15/100/3.6*1000000+C37*'E Balans VL '!N15/100/3.6*1000000</f>
        <v>36014.144625983194</v>
      </c>
      <c r="G15" s="34"/>
      <c r="H15" s="33"/>
      <c r="I15" s="33"/>
      <c r="J15" s="40">
        <f>C37*'E Balans VL '!D15/100/3.6*1000000+C37*'E Balans VL '!E15/100/3.6*1000000</f>
        <v>662.86219701579023</v>
      </c>
      <c r="K15" s="33"/>
      <c r="L15" s="33"/>
      <c r="M15" s="33"/>
      <c r="N15" s="33">
        <f>C37*'E Balans VL '!Y15/100/3.6*1000000</f>
        <v>8607.3655059518023</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238320.04810000001</v>
      </c>
      <c r="C18" s="21">
        <f>C5+C16</f>
        <v>0</v>
      </c>
      <c r="D18" s="21">
        <f>MAX((D5+D16),0)</f>
        <v>212157.02906366254</v>
      </c>
      <c r="E18" s="21">
        <f>MAX((E5+E16),0)</f>
        <v>12764.206463300878</v>
      </c>
      <c r="F18" s="21">
        <f>MAX((F5+F16),0)</f>
        <v>54764.136005083688</v>
      </c>
      <c r="G18" s="21"/>
      <c r="H18" s="21"/>
      <c r="I18" s="21"/>
      <c r="J18" s="21">
        <f>MAX((J5+J16),0)</f>
        <v>686.15492404186455</v>
      </c>
      <c r="K18" s="21"/>
      <c r="L18" s="21">
        <f>MAX((L5+L16),0)</f>
        <v>0</v>
      </c>
      <c r="M18" s="21"/>
      <c r="N18" s="21">
        <f>MAX((N5+N16),0)</f>
        <v>11118.333291396077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0.20170402194638659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48070.112212226311</v>
      </c>
      <c r="C22" s="23">
        <f ca="1">C18*C20</f>
        <v>0</v>
      </c>
      <c r="D22" s="23">
        <f>D18*D20</f>
        <v>42855.719870859837</v>
      </c>
      <c r="E22" s="23">
        <f>E18*E20</f>
        <v>2897.4748671692992</v>
      </c>
      <c r="F22" s="23">
        <f>F18*F20</f>
        <v>14622.024313357346</v>
      </c>
      <c r="G22" s="23"/>
      <c r="H22" s="23"/>
      <c r="I22" s="23"/>
      <c r="J22" s="23">
        <f>J18*J20</f>
        <v>242.89884311082002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6232.9639999999999</v>
      </c>
      <c r="C30" s="39">
        <f>IF(ISERROR(B30*3.6/1000000/'E Balans VL '!Z18*100),0,B30*3.6/1000000/'E Balans VL '!Z18*100)</f>
        <v>0.87240724417999993</v>
      </c>
      <c r="D30" s="233" t="s">
        <v>676</v>
      </c>
    </row>
    <row r="31" spans="1:18">
      <c r="A31" s="6" t="s">
        <v>32</v>
      </c>
      <c r="B31" s="37">
        <f>IF( ISERROR(IND_ander_ele_kWh/1000),0,IND_ander_ele_kWh/1000)</f>
        <v>16032.617</v>
      </c>
      <c r="C31" s="39">
        <f>IF(ISERROR(B31*3.6/1000000/'E Balans VL '!Z19*100),0,B31*3.6/1000000/'E Balans VL '!Z19*100)</f>
        <v>0.70174504523000725</v>
      </c>
      <c r="D31" s="233" t="s">
        <v>676</v>
      </c>
    </row>
    <row r="32" spans="1:18">
      <c r="A32" s="168" t="s">
        <v>40</v>
      </c>
      <c r="B32" s="37">
        <f>IF( ISERROR(IND_voed_ele_kWh/1000),0,IND_voed_ele_kWh/1000)</f>
        <v>894.07010000000002</v>
      </c>
      <c r="C32" s="39">
        <f>IF(ISERROR(B32*3.6/1000000/'E Balans VL '!Z20*100),0,B32*3.6/1000000/'E Balans VL '!Z20*100)</f>
        <v>0.22134206615648228</v>
      </c>
      <c r="D32" s="233" t="s">
        <v>676</v>
      </c>
    </row>
    <row r="33" spans="1:5">
      <c r="A33" s="168" t="s">
        <v>39</v>
      </c>
      <c r="B33" s="37">
        <f>IF( ISERROR(IND_textiel_ele_kWh/1000),0,IND_textiel_ele_kWh/1000)</f>
        <v>53699.809000000001</v>
      </c>
      <c r="C33" s="39">
        <f>IF(ISERROR(B33*3.6/1000000/'E Balans VL '!Z21*100),0,B33*3.6/1000000/'E Balans VL '!Z21*100)</f>
        <v>6.0510225434495837</v>
      </c>
      <c r="D33" s="233" t="s">
        <v>676</v>
      </c>
    </row>
    <row r="34" spans="1:5">
      <c r="A34" s="168" t="s">
        <v>36</v>
      </c>
      <c r="B34" s="37">
        <f>IF( ISERROR(IND_min_ele_kWh/1000),0,IND_min_ele_kWh/1000)</f>
        <v>1277.807</v>
      </c>
      <c r="C34" s="39">
        <f>IF(ISERROR(B34*3.6/1000000/'E Balans VL '!Z22*100),0,B34*3.6/1000000/'E Balans VL '!Z22*100)</f>
        <v>3.625894948761911E-2</v>
      </c>
      <c r="D34" s="233" t="s">
        <v>676</v>
      </c>
    </row>
    <row r="35" spans="1:5">
      <c r="A35" s="168" t="s">
        <v>38</v>
      </c>
      <c r="B35" s="37">
        <f>IF( ISERROR(IND_papier_ele_kWh/1000),0,IND_papier_ele_kWh/1000)</f>
        <v>920.78300000000002</v>
      </c>
      <c r="C35" s="39">
        <f>IF(ISERROR(B35*3.6/1000000/'E Balans VL '!Z22*100),0,B35*3.6/1000000/'E Balans VL '!Z22*100)</f>
        <v>2.6128064947256027E-2</v>
      </c>
      <c r="D35" s="233" t="s">
        <v>676</v>
      </c>
    </row>
    <row r="36" spans="1:5">
      <c r="A36" s="168" t="s">
        <v>33</v>
      </c>
      <c r="B36" s="37">
        <f>IF( ISERROR(IND_chemie_ele_kWh/1000),0,IND_chemie_ele_kWh/1000)</f>
        <v>1261.998</v>
      </c>
      <c r="C36" s="39">
        <f>IF(ISERROR(B36*3.6/1000000/'E Balans VL '!Z24*100),0,B36*3.6/1000000/'E Balans VL '!Z24*100)</f>
        <v>3.217902276586096E-2</v>
      </c>
      <c r="D36" s="233" t="s">
        <v>676</v>
      </c>
    </row>
    <row r="37" spans="1:5">
      <c r="A37" s="168" t="s">
        <v>259</v>
      </c>
      <c r="B37" s="37">
        <f>IF( ISERROR(IND_rest_ele_kWh/1000),0,IND_rest_ele_kWh/1000)</f>
        <v>158000</v>
      </c>
      <c r="C37" s="39">
        <f>IF(ISERROR(B37*3.6/1000000/'E Balans VL '!Z15*100),0,B37*3.6/1000000/'E Balans VL '!Z15*100)</f>
        <v>1.1715429492553087</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1437.0053</v>
      </c>
      <c r="C5" s="17">
        <f>'Eigen informatie GS &amp; warmtenet'!B60</f>
        <v>0</v>
      </c>
      <c r="D5" s="30">
        <f>IF(ISERROR(SUM(LB_lb_gas_kWh,LB_rest_gas_kWh)/1000),0,SUM(LB_lb_gas_kWh,LB_rest_gas_kWh)/1000)*0.902</f>
        <v>1375.5879797693051</v>
      </c>
      <c r="E5" s="17">
        <f>B17*'E Balans VL '!I25/3.6*1000000/100</f>
        <v>13.310144961744976</v>
      </c>
      <c r="F5" s="17">
        <f>B17*('E Balans VL '!L25/3.6*1000000+'E Balans VL '!N25/3.6*1000000)/100</f>
        <v>3645.9561953287234</v>
      </c>
      <c r="G5" s="18"/>
      <c r="H5" s="17"/>
      <c r="I5" s="17"/>
      <c r="J5" s="17">
        <f>('E Balans VL '!D25+'E Balans VL '!E25)/3.6*1000000*landbouw!B17/100</f>
        <v>220.3089495159536</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1437.0053</v>
      </c>
      <c r="C8" s="21">
        <f>C5+C6</f>
        <v>0</v>
      </c>
      <c r="D8" s="21">
        <f>MAX((D5+D6),0)</f>
        <v>1375.5879797693051</v>
      </c>
      <c r="E8" s="21">
        <f>MAX((E5+E6),0)</f>
        <v>13.310144961744976</v>
      </c>
      <c r="F8" s="21">
        <f>MAX((F5+F6),0)</f>
        <v>3645.9561953287234</v>
      </c>
      <c r="G8" s="21"/>
      <c r="H8" s="21"/>
      <c r="I8" s="21"/>
      <c r="J8" s="21">
        <f>MAX((J5+J6),0)</f>
        <v>220.3089495159536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0.20170402194638659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289.84974856827387</v>
      </c>
      <c r="C12" s="23">
        <f ca="1">C8*C10</f>
        <v>0</v>
      </c>
      <c r="D12" s="23">
        <f>D8*D10</f>
        <v>277.86877191339966</v>
      </c>
      <c r="E12" s="23">
        <f>E8*E10</f>
        <v>3.0214029063161099</v>
      </c>
      <c r="F12" s="23">
        <f>F8*F10</f>
        <v>973.47030415276924</v>
      </c>
      <c r="G12" s="23"/>
      <c r="H12" s="23"/>
      <c r="I12" s="23"/>
      <c r="J12" s="23">
        <f>J8*J10</f>
        <v>77.98936812864757</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0.20431168388096704</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208.85558962910795</v>
      </c>
      <c r="C26" s="243">
        <f>B26*'GWP N2O_CH4'!B5</f>
        <v>4385.9673822112672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59.671622899269714</v>
      </c>
      <c r="C27" s="243">
        <f>B27*'GWP N2O_CH4'!B5</f>
        <v>1253.104080884664</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3.1558843664813114</v>
      </c>
      <c r="C28" s="243">
        <f>B28*'GWP N2O_CH4'!B4</f>
        <v>978.32415360920652</v>
      </c>
      <c r="D28" s="50"/>
    </row>
    <row r="29" spans="1:4">
      <c r="A29" s="41" t="s">
        <v>266</v>
      </c>
      <c r="B29" s="243">
        <f>B34*'ha_N2O bodem landbouw'!B4</f>
        <v>10.889549857784527</v>
      </c>
      <c r="C29" s="243">
        <f>B29*'GWP N2O_CH4'!B4</f>
        <v>3375.7604559132033</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2.4423341885214749E-3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1.6887899788596916E-4</v>
      </c>
      <c r="C5" s="430" t="s">
        <v>204</v>
      </c>
      <c r="D5" s="415">
        <f>SUM(D6:D11)</f>
        <v>2.3486505730693292E-4</v>
      </c>
      <c r="E5" s="415">
        <f>SUM(E6:E11)</f>
        <v>2.577686109637435E-3</v>
      </c>
      <c r="F5" s="428" t="s">
        <v>204</v>
      </c>
      <c r="G5" s="415">
        <f>SUM(G6:G11)</f>
        <v>1.0870861946208679</v>
      </c>
      <c r="H5" s="415">
        <f>SUM(H6:H11)</f>
        <v>0.13925342508099892</v>
      </c>
      <c r="I5" s="430" t="s">
        <v>204</v>
      </c>
      <c r="J5" s="430" t="s">
        <v>204</v>
      </c>
      <c r="K5" s="430" t="s">
        <v>204</v>
      </c>
      <c r="L5" s="430" t="s">
        <v>204</v>
      </c>
      <c r="M5" s="415">
        <f>SUM(M6:M11)</f>
        <v>6.7273788129146569E-2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4.2226702433286218E-5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6.3776596659609422E-5</v>
      </c>
      <c r="E6" s="858">
        <f>vkm_GW_PW*SUMIFS(TableVerdeelsleutelVkm[LPG],TableVerdeelsleutelVkm[Voertuigtype],"Lichte voertuigen")*SUMIFS(TableECFTransport[EnergieConsumptieFactor (PJ per km)],TableECFTransport[Index],CONCATENATE($A6,"_LPG_LPG"))</f>
        <v>6.2816819759472381E-4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0.14371168766198511</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3.7086633386655861E-2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9.4632430692414404E-3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2.4392429505114788E-6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9.3619160550291444E-2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1.7701912112292738E-6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5.4278258941156832E-3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1.8024301349265717E-5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4.1065186886905901E-5</v>
      </c>
      <c r="E8" s="418">
        <f>vkm_NGW_PW*SUMIFS(TableVerdeelsleutelVkm[LPG],TableVerdeelsleutelVkm[Voertuigtype],"Lichte voertuigen")*SUMIFS(TableECFTransport[EnergieConsumptieFactor (PJ per km)],TableECFTransport[Index],CONCATENATE($A8,"_LPG_LPG"))</f>
        <v>3.8575131668769705E-4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8.1908628290254235E-2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2.3068140218725768E-2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5.4524734774343509E-3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4.9500228003023784E-7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2.440940709218024E-2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4.335994945197205E-7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1.4152010261324751E-3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9.4363046943944531E-5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1.300232737604176E-4</v>
      </c>
      <c r="E10" s="418">
        <f>vkm_SW_PW*SUMIFS(TableVerdeelsleutelVkm[LPG],TableVerdeelsleutelVkm[Voertuigtype],"Lichte voertuigen")*SUMIFS(TableECFTransport[EnergieConsumptieFactor (PJ per km)],TableECFTransport[Index],CONCATENATE($A10,"_LPG_LPG"))</f>
        <v>1.5637665953550143E-3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0.32890151438078752</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7.9087984138580647E-2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2.1481183393241954E-2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1.1330701928930973E-5</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0.41453579664536933</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8.4635463308865179E-6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2.4033861268980657E-2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46.910832746102543</v>
      </c>
      <c r="C14" s="21"/>
      <c r="D14" s="21">
        <f t="shared" ref="D14:M14" si="0">((D5)*10^9/3600)+D12</f>
        <v>65.240293696370259</v>
      </c>
      <c r="E14" s="21">
        <f t="shared" si="0"/>
        <v>716.0239193437319</v>
      </c>
      <c r="F14" s="21"/>
      <c r="G14" s="21">
        <f t="shared" si="0"/>
        <v>301968.38739468553</v>
      </c>
      <c r="H14" s="21">
        <f t="shared" si="0"/>
        <v>38681.506966944144</v>
      </c>
      <c r="I14" s="21"/>
      <c r="J14" s="21"/>
      <c r="K14" s="21"/>
      <c r="L14" s="21"/>
      <c r="M14" s="21">
        <f t="shared" si="0"/>
        <v>18687.163369207381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0.20170402194638659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9.4621036377431373</v>
      </c>
      <c r="C18" s="23"/>
      <c r="D18" s="23">
        <f t="shared" ref="D18:M18" si="1">D14*D16</f>
        <v>13.178539326666794</v>
      </c>
      <c r="E18" s="23">
        <f t="shared" si="1"/>
        <v>162.53742969102714</v>
      </c>
      <c r="F18" s="23"/>
      <c r="G18" s="23">
        <f t="shared" si="1"/>
        <v>80625.559434381037</v>
      </c>
      <c r="H18" s="23">
        <f t="shared" si="1"/>
        <v>9631.6952347690913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3.5975134823647621E-5</v>
      </c>
      <c r="C50" s="313">
        <f t="shared" ref="C50:P50" si="2">SUM(C51:C52)</f>
        <v>0</v>
      </c>
      <c r="D50" s="313">
        <f t="shared" si="2"/>
        <v>0</v>
      </c>
      <c r="E50" s="313">
        <f t="shared" si="2"/>
        <v>0</v>
      </c>
      <c r="F50" s="313">
        <f t="shared" si="2"/>
        <v>0</v>
      </c>
      <c r="G50" s="313">
        <f t="shared" si="2"/>
        <v>6.8168133590280119E-3</v>
      </c>
      <c r="H50" s="313">
        <f t="shared" si="2"/>
        <v>0</v>
      </c>
      <c r="I50" s="313">
        <f t="shared" si="2"/>
        <v>0</v>
      </c>
      <c r="J50" s="313">
        <f t="shared" si="2"/>
        <v>0</v>
      </c>
      <c r="K50" s="313">
        <f t="shared" si="2"/>
        <v>0</v>
      </c>
      <c r="L50" s="313">
        <f t="shared" si="2"/>
        <v>0</v>
      </c>
      <c r="M50" s="313">
        <f t="shared" si="2"/>
        <v>3.9243055698545476E-4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3.5975134823647621E-5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6.8168133590280119E-3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3.9243055698545476E-4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9.9930930065687829</v>
      </c>
      <c r="C54" s="21">
        <f t="shared" ref="C54:P54" si="3">(C50)*10^9/3600</f>
        <v>0</v>
      </c>
      <c r="D54" s="21">
        <f t="shared" si="3"/>
        <v>0</v>
      </c>
      <c r="E54" s="21">
        <f t="shared" si="3"/>
        <v>0</v>
      </c>
      <c r="F54" s="21">
        <f t="shared" si="3"/>
        <v>0</v>
      </c>
      <c r="G54" s="21">
        <f t="shared" si="3"/>
        <v>1893.55926639667</v>
      </c>
      <c r="H54" s="21">
        <f t="shared" si="3"/>
        <v>0</v>
      </c>
      <c r="I54" s="21">
        <f t="shared" si="3"/>
        <v>0</v>
      </c>
      <c r="J54" s="21">
        <f t="shared" si="3"/>
        <v>0</v>
      </c>
      <c r="K54" s="21">
        <f t="shared" si="3"/>
        <v>0</v>
      </c>
      <c r="L54" s="21">
        <f t="shared" si="3"/>
        <v>0</v>
      </c>
      <c r="M54" s="21">
        <f t="shared" si="3"/>
        <v>109.00848805151522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0.20170402194638659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2.0156470511092319</v>
      </c>
      <c r="C58" s="23">
        <f t="shared" ref="C58:P58" ca="1" si="4">C54*C56</f>
        <v>0</v>
      </c>
      <c r="D58" s="23">
        <f t="shared" si="4"/>
        <v>0</v>
      </c>
      <c r="E58" s="23">
        <f t="shared" si="4"/>
        <v>0</v>
      </c>
      <c r="F58" s="23">
        <f t="shared" si="4"/>
        <v>0</v>
      </c>
      <c r="G58" s="23">
        <f t="shared" si="4"/>
        <v>505.5803241279109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34910.851395054313</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34910.851395054313</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2021-11-11T13:12:24Z</dcterms:modified>
</cp:coreProperties>
</file>