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71AC384-3E1C-44A7-9BA0-254BC25848B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<sst xmlns="http://schemas.openxmlformats.org/spreadsheetml/2006/main" count="2506" uniqueCount="925">
  <si>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</si>
  <si>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</si>
  <si>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</si>
  <si>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</si>
  <si>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</si>
  <si>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</si>
  <si>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</si>
  <si>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</si>
  <si>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</si>
  <si>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</si>
  <si>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</si>
  <si>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</si>
  <si>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</si>
  <si>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</si>
  <si>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</si>
  <si>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</si>
  <si>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</si>
  <si>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</si>
  <si>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</si>
  <si>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</si>
  <si>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</si>
  <si>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</si>
  <si>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</si>
  <si>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</si>
  <si>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</si>
  <si>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</si>
  <si>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</si>
  <si>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</si>
  <si>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</si>
  <si>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</si>
  <si>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</si>
  <si>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</si>
  <si>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</si>
  <si>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</si>
  <si>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</si>
  <si>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</si>
  <si>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</si>
  <si>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</si>
  <si>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</si>
  <si>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</si>
  <si>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</si>
  <si>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</si>
  <si>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</si>
  <si>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</si>
  <si>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</si>
  <si>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</si>
  <si>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</si>
  <si>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</si>
  <si>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</si>
  <si>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</si>
  <si>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</si>
  <si>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</si>
  <si>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</si>
  <si>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</si>
  <si>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</si>
  <si>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</si>
  <si>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</si>
  <si>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</si>
  <si>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</si>
  <si>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</si>
  <si>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</si>
  <si>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</si>
  <si>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</si>
  <si>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</si>
  <si>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</si>
  <si>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</si>
  <si>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</si>
  <si>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</si>
  <si>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</si>
  <si>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</si>
  <si>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</si>
  <si>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</si>
  <si>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</si>
  <si>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</si>
  <si>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</si>
  <si>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</si>
  <si>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</si>
  <si>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</si>
  <si>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</si>
  <si>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</si>
  <si>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</si>
  <si>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</si>
  <si>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</si>
  <si>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</si>
  <si>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</si>
  <si>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</si>
  <si>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</si>
  <si>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</si>
  <si>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</si>
  <si>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</si>
  <si>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</si>
  <si>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</si>
  <si>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</si>
  <si>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</si>
  <si>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</si>
  <si>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</si>
  <si>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</si>
  <si>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</si>
  <si>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</si>
  <si>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</si>
  <si>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</si>
  <si>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</si>
  <si>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</si>
  <si>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</si>
  <si>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</si>
  <si>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</si>
  <si>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</si>
  <si>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</si>
  <si>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</si>
  <si>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</si>
  <si>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</si>
  <si>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</si>
  <si>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</si>
  <si>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</si>
  <si>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</si>
  <si>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</si>
  <si>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</si>
  <si>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</si>
  <si>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</si>
  <si>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</si>
  <si>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</si>
  <si>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</si>
  <si>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</si>
  <si>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</si>
  <si>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</si>
  <si>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</si>
  <si>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</si>
  <si>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</si>
  <si>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</si>
  <si>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</si>
  <si>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</si>
  <si>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</si>
  <si>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</si>
  <si>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</si>
  <si>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</si>
  <si>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</si>
  <si>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</si>
  <si>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</si>
  <si>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</si>
  <si>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</si>
  <si>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</si>
  <si>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</si>
  <si>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</si>
  <si>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</si>
  <si>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</si>
  <si>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</si>
  <si>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</si>
  <si>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</si>
  <si>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</si>
  <si>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</si>
  <si>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</si>
  <si>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</si>
  <si>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</si>
  <si>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</si>
  <si>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</si>
  <si>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</si>
  <si>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</si>
  <si>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</si>
  <si>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</si>
  <si>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</si>
  <si>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</si>
  <si>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</si>
  <si>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</si>
  <si>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</si>
  <si>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</si>
  <si>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</si>
  <si>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</si>
  <si>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</si>
  <si>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</si>
  <si>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</si>
  <si>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</si>
  <si>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</si>
  <si>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</si>
  <si>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</si>
  <si>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</si>
  <si>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</si>
  <si>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</si>
  <si>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</si>
  <si>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</si>
  <si>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</si>
  <si>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</si>
  <si>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</si>
  <si>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</si>
  <si>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</si>
  <si>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</si>
  <si>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</si>
  <si>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</si>
  <si>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</si>
  <si>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</si>
  <si>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</si>
  <si>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</si>
  <si>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</si>
  <si>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</si>
  <si>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</si>
  <si>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</si>
  <si>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</si>
  <si>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</si>
  <si>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</si>
  <si>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</si>
  <si>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</si>
  <si>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</si>
  <si>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</si>
  <si>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</si>
  <si>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</si>
  <si>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</si>
  <si>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</si>
  <si>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</si>
  <si>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</si>
  <si>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</si>
  <si>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</si>
  <si>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</si>
  <si>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</si>
  <si>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</si>
  <si>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</si>
  <si>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</si>
  <si>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</si>
  <si>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</si>
  <si>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</si>
  <si>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</si>
  <si>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</si>
  <si>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</si>
  <si>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</si>
  <si>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</si>
  <si>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</si>
  <si>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</si>
  <si>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</si>
  <si>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</si>
  <si>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</si>
  <si>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</si>
  <si>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</si>
  <si>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</si>
  <si>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</si>
  <si>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</si>
  <si>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</si>
  <si>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</si>
  <si>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</si>
  <si>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</si>
  <si>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</si>
  <si>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</si>
  <si>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</si>
  <si>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</si>
  <si>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</si>
  <si>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</si>
  <si>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</si>
  <si>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</si>
  <si>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</si>
  <si>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</si>
  <si>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</si>
  <si>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</si>
  <si>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</si>
  <si>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</si>
  <si>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</si>
  <si>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</si>
  <si>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</si>
  <si>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</si>
  <si>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</si>
  <si>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</si>
  <si>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</si>
  <si>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</si>
  <si>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</si>
  <si>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</si>
  <si>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</si>
  <si>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</si>
  <si>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</si>
  <si>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</si>
  <si>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</si>
  <si>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</si>
  <si>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</si>
  <si>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</si>
  <si>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</si>
  <si>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</si>
  <si>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</si>
  <si>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</si>
  <si>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</si>
  <si>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</si>
  <si>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</si>
  <si>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</si>
  <si>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</si>
  <si>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</si>
  <si>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</si>
  <si>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</si>
  <si>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</si>
  <si>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</si>
  <si>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</si>
  <si>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</si>
  <si>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</si>
  <si>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</si>
  <si>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</si>
  <si>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</si>
  <si>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</si>
  <si>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</si>
  <si>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</si>
  <si>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</si>
  <si>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</si>
  <si>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</si>
  <si>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</si>
  <si>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</si>
  <si>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</si>
  <si>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</si>
  <si>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</si>
  <si>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</si>
  <si>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</si>
  <si>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</si>
  <si>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</si>
  <si>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</si>
  <si>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</si>
  <si>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</si>
  <si>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</si>
  <si>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</si>
  <si>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</si>
  <si>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</si>
  <si>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</si>
  <si>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</si>
  <si>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</si>
  <si>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</si>
  <si>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</si>
  <si>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</si>
  <si>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</si>
  <si>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</si>
  <si>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</si>
  <si>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</si>
  <si>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</si>
  <si>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</si>
  <si>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</si>
  <si>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</si>
  <si>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</si>
  <si>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</si>
  <si>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</si>
  <si>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</si>
  <si>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</si>
  <si>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</si>
  <si>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</si>
  <si>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</si>
  <si>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</si>
  <si>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</si>
  <si>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</si>
  <si>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</si>
  <si>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</si>
  <si>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</si>
  <si>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</si>
  <si>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</si>
  <si>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</si>
  <si>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</si>
  <si>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</si>
  <si>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</si>
  <si>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</si>
  <si>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</si>
  <si>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</si>
  <si>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</si>
  <si>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</si>
  <si>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</si>
  <si>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</si>
  <si>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</si>
  <si>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</si>
  <si>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</si>
  <si>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</si>
  <si>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</si>
  <si>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</si>
  <si>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</si>
  <si>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</si>
  <si>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</si>
  <si>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</si>
  <si>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</si>
  <si>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</si>
  <si>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</si>
  <si>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</si>
  <si>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</si>
  <si>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</si>
  <si>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</si>
  <si>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</si>
  <si>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</si>
  <si>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</si>
  <si>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</si>
  <si>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</si>
  <si>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</si>
  <si>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</si>
  <si>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</si>
  <si>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</si>
  <si>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</si>
  <si>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</si>
  <si>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</si>
  <si>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</si>
  <si>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</si>
  <si>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</si>
  <si>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</si>
  <si>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</si>
  <si>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</si>
  <si>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</si>
  <si>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</si>
  <si>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</si>
  <si>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</si>
  <si>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</si>
  <si>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</si>
  <si>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</si>
  <si>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</si>
  <si>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</si>
  <si>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</si>
  <si>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</si>
  <si>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</si>
  <si>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</si>
  <si>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</si>
  <si>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</si>
  <si>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</si>
  <si>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</si>
  <si>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</si>
  <si>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</si>
  <si>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</si>
  <si>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</si>
  <si>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</si>
  <si>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</si>
  <si>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</si>
  <si>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</si>
  <si>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</si>
  <si>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</si>
  <si>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</si>
  <si>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</si>
  <si>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</si>
  <si>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</si>
  <si>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</si>
  <si>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</si>
  <si>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</si>
  <si>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</si>
  <si>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</si>
  <si>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</si>
  <si>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</si>
  <si>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</si>
  <si>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</si>
  <si>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</si>
  <si>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</si>
  <si>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</si>
  <si>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</si>
  <si>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</si>
  <si>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</si>
  <si>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</si>
  <si>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</si>
  <si>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</si>
  <si>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</si>
  <si>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</si>
  <si>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</si>
  <si>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</si>
  <si>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</si>
  <si>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</si>
  <si>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</si>
  <si>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</si>
  <si>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</si>
  <si>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</si>
  <si>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</si>
  <si>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</si>
  <si>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</si>
  <si>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</si>
  <si>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</si>
  <si>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</si>
  <si>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</si>
  <si>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</si>
  <si>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</si>
  <si>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</si>
  <si>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</si>
  <si>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</si>
  <si>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</si>
  <si>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</si>
  <si>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</si>
  <si>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</si>
  <si>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</si>
  <si>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</si>
  <si>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</si>
  <si>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</si>
  <si>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</si>
  <si>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</si>
  <si>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</si>
  <si>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</si>
  <si>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</si>
  <si>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</si>
  <si>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</si>
  <si>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</si>
  <si>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</si>
  <si>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</si>
  <si>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</si>
  <si>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</si>
  <si>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</si>
  <si>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</si>
  <si>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</si>
  <si>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</si>
  <si>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</si>
  <si>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</si>
  <si>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</si>
  <si>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</si>
  <si>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</si>
  <si>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</si>
  <si>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</si>
  <si>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</si>
  <si>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</si>
  <si>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</si>
  <si>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</si>
  <si>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</si>
  <si>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</si>
  <si>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</si>
  <si>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</si>
  <si>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</si>
  <si>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</si>
  <si>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</si>
  <si>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</si>
  <si>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</si>
  <si>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</si>
  <si>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</si>
  <si>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</si>
  <si>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</si>
  <si>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</si>
  <si>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</si>
  <si>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</si>
  <si>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</si>
  <si>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</si>
  <si>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</si>
  <si>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</si>
  <si>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</si>
  <si>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</si>
  <si>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</si>
  <si>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</si>
  <si>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</si>
  <si>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</si>
  <si>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</si>
  <si>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</si>
  <si>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</si>
  <si>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</si>
  <si>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</si>
  <si>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</si>
  <si>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</si>
  <si>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</si>
  <si>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</si>
  <si>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</si>
  <si>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</si>
  <si>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</si>
  <si>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</si>
  <si>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</si>
  <si>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</si>
  <si>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</si>
  <si>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</si>
  <si>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</si>
  <si>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</si>
  <si>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</si>
  <si>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</si>
  <si>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</si>
  <si>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</si>
  <si>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</si>
  <si>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</si>
  <si>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</si>
  <si>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</si>
  <si>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</si>
  <si>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</si>
  <si>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</si>
  <si>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</si>
  <si>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</si>
  <si>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</si>
  <si>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</si>
  <si>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</si>
  <si>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</si>
  <si>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</si>
  <si>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</si>
  <si>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</si>
  <si>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</si>
  <si>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</si>
  <si>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</si>
  <si>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</si>
  <si>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</si>
  <si>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</si>
  <si>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</si>
  <si>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</si>
  <si>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</si>
  <si>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</si>
  <si>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</si>
  <si>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</si>
  <si>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</si>
  <si>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</si>
  <si>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</si>
  <si>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</si>
  <si>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</si>
  <si>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</si>
  <si>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</si>
  <si>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</si>
  <si>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</si>
  <si>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</si>
  <si>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</si>
  <si>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</si>
  <si>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</si>
  <si>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</si>
  <si>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</si>
  <si>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</si>
  <si>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</si>
  <si>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</si>
  <si>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</si>
  <si>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</si>
  <si>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</si>
  <si>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</si>
  <si>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</si>
  <si>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</si>
  <si>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</si>
  <si>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</si>
  <si>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</si>
  <si>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</si>
  <si>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</si>
  <si>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</si>
  <si>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</si>
  <si>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</si>
  <si>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</si>
  <si>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</si>
  <si>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</si>
  <si>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</si>
  <si>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</si>
  <si>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</si>
  <si>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</si>
  <si>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</si>
  <si>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</si>
  <si>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</si>
  <si>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</si>
  <si>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</si>
  <si>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</si>
  <si>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</si>
  <si>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</si>
  <si>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</si>
  <si>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</si>
  <si>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</si>
  <si>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</si>
  <si>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</si>
  <si>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</si>
  <si>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</si>
  <si>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</si>
  <si>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</si>
  <si>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</si>
  <si>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</si>
  <si>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</si>
  <si>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</si>
  <si>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</si>
  <si>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</si>
  <si>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</si>
  <si>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</si>
  <si>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</si>
  <si>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</si>
  <si>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</si>
  <si>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</si>
  <si>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</si>
  <si>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</si>
  <si>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</si>
  <si>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</si>
  <si>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</si>
  <si>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</si>
  <si>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</si>
  <si>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</si>
  <si>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</si>
  <si>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</si>
  <si>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</si>
  <si>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</si>
  <si>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</si>
  <si>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</si>
  <si>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</si>
  <si>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</si>
  <si>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</si>
  <si>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</si>
  <si>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</si>
  <si>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</si>
  <si>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</si>
  <si>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</si>
  <si>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</si>
  <si>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</si>
  <si>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</si>
  <si>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</si>
  <si>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</si>
  <si>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</si>
  <si>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</si>
  <si>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</si>
  <si>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</si>
  <si>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</si>
  <si>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</si>
  <si>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</si>
  <si>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</si>
  <si>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</si>
  <si>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</si>
  <si>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</si>
  <si>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</si>
  <si>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</si>
  <si>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</si>
  <si>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</si>
  <si>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</si>
  <si>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</si>
  <si>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</si>
  <si>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</si>
  <si>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</si>
  <si>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</si>
  <si>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</si>
  <si>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</si>
  <si>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</si>
  <si>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</si>
  <si>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</si>
  <si>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</si>
  <si>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</si>
  <si>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</si>
  <si>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</si>
  <si>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</si>
  <si>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</si>
  <si>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</si>
  <si>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</si>
  <si>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</si>
  <si>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</si>
  <si>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</si>
  <si>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</si>
  <si>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</si>
  <si>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</si>
  <si>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</si>
  <si>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</si>
  <si>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</si>
  <si>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</si>
  <si>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</si>
  <si>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</si>
  <si>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</si>
  <si>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</si>
  <si>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</si>
  <si>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</si>
  <si>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</si>
  <si>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</si>
  <si>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</si>
  <si>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</si>
  <si>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</si>
  <si>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</si>
  <si>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</si>
  <si>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</si>
  <si>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</si>
  <si>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</si>
  <si>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</si>
  <si>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</si>
  <si>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</si>
  <si>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</si>
  <si>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</si>
  <si>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</si>
  <si>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</si>
  <si>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</si>
  <si>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</si>
  <si>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</si>
  <si>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</si>
  <si>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</si>
  <si>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</si>
  <si>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</si>
  <si>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</si>
  <si>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</si>
  <si>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</si>
  <si>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</si>
  <si>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</si>
  <si>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</si>
  <si>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</si>
  <si>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</si>
  <si>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</si>
  <si>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</si>
  <si>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</si>
  <si>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</si>
  <si>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</si>
  <si>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</si>
  <si>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</si>
  <si>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</si>
  <si>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</si>
  <si>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</si>
  <si>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</si>
  <si>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</si>
  <si>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</si>
  <si>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</si>
  <si>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</si>
  <si>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</si>
  <si>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</si>
  <si>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</si>
  <si>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</si>
  <si>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</si>
  <si>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</si>
  <si>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</si>
  <si>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</si>
  <si>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</si>
  <si>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</si>
  <si>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</si>
  <si>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</si>
  <si>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</si>
  <si>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</si>
  <si>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</si>
  <si>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</si>
  <si>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</si>
  <si>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</si>
  <si>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</si>
  <si>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</si>
  <si>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</si>
  <si>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</si>
  <si>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</si>
  <si>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</si>
  <si>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</si>
  <si>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</si>
  <si>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</si>
  <si>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</si>
  <si>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</si>
  <si>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</si>
  <si>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</si>
  <si>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</si>
  <si>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</si>
  <si>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</si>
  <si>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</si>
  <si>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</si>
  <si>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</si>
  <si>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</si>
  <si>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</si>
  <si>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</si>
  <si>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</si>
  <si>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</si>
  <si>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</si>
  <si>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</si>
  <si>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</si>
  <si>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</si>
  <si>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</si>
  <si>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</si>
  <si>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</si>
  <si>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</si>
  <si>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</si>
  <si>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</si>
  <si>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</si>
  <si>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</si>
  <si>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</si>
  <si>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</si>
  <si>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</si>
  <si>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</si>
  <si>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</si>
  <si>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</si>
  <si>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</si>
  <si>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</si>
  <si>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</si>
  <si>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</si>
  <si>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</si>
  <si>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</si>
  <si>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</si>
  <si>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</si>
  <si>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</si>
  <si>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</si>
  <si>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</si>
  <si>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</si>
  <si>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</si>
  <si>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</si>
  <si>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</si>
  <si>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</si>
  <si>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</si>
  <si>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</si>
  <si>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</si>
  <si>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</si>
  <si>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</si>
  <si>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</si>
  <si>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</si>
  <si>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</si>
  <si>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</si>
  <si>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</si>
  <si>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</si>
  <si>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</si>
  <si>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</si>
  <si>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</si>
  <si>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</si>
  <si>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</si>
  <si>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</si>
  <si>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</si>
  <si>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</si>
  <si>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</si>
  <si>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</si>
  <si>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</si>
  <si>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</si>
  <si>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</si>
  <si>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</si>
  <si>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</si>
  <si>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</si>
  <si>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</si>
  <si>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</si>
  <si>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</si>
  <si>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</si>
  <si>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</si>
  <si>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</si>
  <si>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</si>
  <si>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</si>
  <si>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</si>
  <si>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</si>
  <si>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</si>
  <si>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</si>
  <si>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</si>
  <si>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</si>
  <si>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</si>
  <si>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</si>
  <si>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</si>
  <si>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</si>
  <si>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</si>
  <si>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</si>
  <si>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</si>
  <si>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</si>
  <si>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</si>
  <si>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</si>
  <si>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</si>
  <si>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</si>
  <si>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</si>
  <si>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</si>
  <si>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</si>
  <si>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</si>
  <si>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</si>
  <si>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</si>
  <si>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</si>
  <si>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</si>
  <si>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</si>
  <si>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</si>
  <si>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</si>
  <si>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</si>
  <si>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</si>
  <si>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</si>
  <si>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</si>
  <si>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</si>
  <si>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</si>
  <si>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</si>
  <si>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</si>
  <si>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</si>
  <si>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</si>
  <si>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</si>
  <si>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</si>
  <si>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</si>
  <si>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</si>
  <si>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33037</t>
  </si>
  <si>
    <t>ZONNEBEKE</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</si>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</sst>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0B1097A-C745-4310-838A-BE735041EF1C}"/>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102637.34550466943</c:v>
                </c:pt>
                <c:pt idx="1">
                  <c:v>29047.325261934966</c:v>
                </c:pt>
                <c:pt idx="2">
                  <c:v>889.47699999999998</c:v>
                </c:pt>
                <c:pt idx="3">
                  <c:v>22897.525327385731</c:v>
                </c:pt>
                <c:pt idx="4">
                  <c:v>190199.50832645968</c:v>
                </c:pt>
                <c:pt idx="5">
                  <c:v>127864.17028880904</c:v>
                </c:pt>
                <c:pt idx="6">
                  <c:v>1056.501065793153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102637.34550466943</c:v>
                </c:pt>
                <c:pt idx="1">
                  <c:v>29047.325261934966</c:v>
                </c:pt>
                <c:pt idx="2">
                  <c:v>889.47699999999998</c:v>
                </c:pt>
                <c:pt idx="3">
                  <c:v>22897.525327385731</c:v>
                </c:pt>
                <c:pt idx="4">
                  <c:v>190199.50832645968</c:v>
                </c:pt>
                <c:pt idx="5">
                  <c:v>127864.17028880904</c:v>
                </c:pt>
                <c:pt idx="6">
                  <c:v>1056.501065793153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22319.64364380774</c:v>
                </c:pt>
                <c:pt idx="2">
                  <c:v>5361.6297932518419</c:v>
                </c:pt>
                <c:pt idx="3">
                  <c:v>185.40991459715897</c:v>
                </c:pt>
                <c:pt idx="4">
                  <c:v>5773.8054218561347</c:v>
                </c:pt>
                <c:pt idx="5">
                  <c:v>39406.944644917952</c:v>
                </c:pt>
                <c:pt idx="6">
                  <c:v>32083.368188992459</c:v>
                </c:pt>
                <c:pt idx="7">
                  <c:v>266.49971290847964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22319.64364380774</c:v>
                </c:pt>
                <c:pt idx="2">
                  <c:v>5361.6297932518419</c:v>
                </c:pt>
                <c:pt idx="3">
                  <c:v>185.40991459715897</c:v>
                </c:pt>
                <c:pt idx="4">
                  <c:v>5773.8054218561347</c:v>
                </c:pt>
                <c:pt idx="5">
                  <c:v>39406.944644917952</c:v>
                </c:pt>
                <c:pt idx="6">
                  <c:v>32083.368188992459</c:v>
                </c:pt>
                <c:pt idx="7">
                  <c:v>266.49971290847964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33037</v>
      </c>
      <c r="B6" s="383"/>
      <c r="C6" s="384"/>
    </row>
    <row r="7" spans="1:7" s="381" customFormat="1" ht="15.75" customHeight="1">
      <c r="A7" s="385" t="str">
        <f>txtMunicipality</f>
        <v>ZONNEBEKE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13908.453170000001</v>
      </c>
      <c r="D10" s="983">
        <f ca="1">tertiair!C16</f>
        <v>62.357142857142847</v>
      </c>
      <c r="E10" s="983">
        <f ca="1">tertiair!D16</f>
        <v>9999.5793083516473</v>
      </c>
      <c r="F10" s="983">
        <f>tertiair!E16</f>
        <v>115.66508679929181</v>
      </c>
      <c r="G10" s="983">
        <f ca="1">tertiair!F16</f>
        <v>2253.468679454817</v>
      </c>
      <c r="H10" s="983">
        <f>tertiair!G16</f>
        <v>0</v>
      </c>
      <c r="I10" s="983">
        <f>tertiair!H16</f>
        <v>0</v>
      </c>
      <c r="J10" s="983">
        <f>tertiair!I16</f>
        <v>0</v>
      </c>
      <c r="K10" s="983">
        <f>tertiair!J16</f>
        <v>0</v>
      </c>
      <c r="L10" s="983">
        <f>tertiair!K16</f>
        <v>0</v>
      </c>
      <c r="M10" s="983">
        <f ca="1">tertiair!L16</f>
        <v>0</v>
      </c>
      <c r="N10" s="983">
        <f>tertiair!M16</f>
        <v>0</v>
      </c>
      <c r="O10" s="983">
        <f ca="1">tertiair!N16</f>
        <v>3576.6488744720696</v>
      </c>
      <c r="P10" s="983">
        <f>tertiair!O16</f>
        <v>1.5633333333333335</v>
      </c>
      <c r="Q10" s="984">
        <f>tertiair!P16</f>
        <v>19.066666666666666</v>
      </c>
      <c r="R10" s="667">
        <f ca="1">SUM(C10:Q10)</f>
        <v>29936.802261934969</v>
      </c>
      <c r="S10" s="67"/>
    </row>
    <row r="11" spans="1:19" s="440" customFormat="1">
      <c r="A11" s="776" t="s">
        <v>214</v>
      </c>
      <c r="B11" s="781"/>
      <c r="C11" s="983">
        <f>huishoudens!B8</f>
        <v>21986.946338331385</v>
      </c>
      <c r="D11" s="983">
        <f>huishoudens!C8</f>
        <v>0</v>
      </c>
      <c r="E11" s="983">
        <f>huishoudens!D8</f>
        <v>31923.201128589833</v>
      </c>
      <c r="F11" s="983">
        <f>huishoudens!E8</f>
        <v>1266.8297559886414</v>
      </c>
      <c r="G11" s="983">
        <f>huishoudens!F8</f>
        <v>39964.526539273174</v>
      </c>
      <c r="H11" s="983">
        <f>huishoudens!G8</f>
        <v>0</v>
      </c>
      <c r="I11" s="983">
        <f>huishoudens!H8</f>
        <v>0</v>
      </c>
      <c r="J11" s="983">
        <f>huishoudens!I8</f>
        <v>0</v>
      </c>
      <c r="K11" s="983">
        <f>huishoudens!J8</f>
        <v>931.97124917940766</v>
      </c>
      <c r="L11" s="983">
        <f>huishoudens!K8</f>
        <v>0</v>
      </c>
      <c r="M11" s="983">
        <f>huishoudens!L8</f>
        <v>0</v>
      </c>
      <c r="N11" s="983">
        <f>huishoudens!M8</f>
        <v>0</v>
      </c>
      <c r="O11" s="983">
        <f>huishoudens!N8</f>
        <v>5841.4238266403217</v>
      </c>
      <c r="P11" s="983">
        <f>huishoudens!O8</f>
        <v>322.04666666666668</v>
      </c>
      <c r="Q11" s="984">
        <f>huishoudens!P8</f>
        <v>400.4</v>
      </c>
      <c r="R11" s="667">
        <f>SUM(C11:Q11)</f>
        <v>102637.34550466943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86269.820600000006</v>
      </c>
      <c r="D13" s="983">
        <f>industrie!C18</f>
        <v>0</v>
      </c>
      <c r="E13" s="983">
        <f>industrie!D18</f>
        <v>80964.973718012319</v>
      </c>
      <c r="F13" s="983">
        <f>industrie!E18</f>
        <v>3383.7643458600273</v>
      </c>
      <c r="G13" s="983">
        <f>industrie!F18</f>
        <v>15753.940274790111</v>
      </c>
      <c r="H13" s="983">
        <f>industrie!G18</f>
        <v>0</v>
      </c>
      <c r="I13" s="983">
        <f>industrie!H18</f>
        <v>0</v>
      </c>
      <c r="J13" s="983">
        <f>industrie!I18</f>
        <v>0</v>
      </c>
      <c r="K13" s="983">
        <f>industrie!J18</f>
        <v>267.82819327848136</v>
      </c>
      <c r="L13" s="983">
        <f>industrie!K18</f>
        <v>0</v>
      </c>
      <c r="M13" s="983">
        <f>industrie!L18</f>
        <v>0</v>
      </c>
      <c r="N13" s="983">
        <f>industrie!M18</f>
        <v>0</v>
      </c>
      <c r="O13" s="983">
        <f>industrie!N18</f>
        <v>3559.1811945187469</v>
      </c>
      <c r="P13" s="983">
        <f>industrie!O18</f>
        <v>0</v>
      </c>
      <c r="Q13" s="984">
        <f>industrie!P18</f>
        <v>0</v>
      </c>
      <c r="R13" s="667">
        <f>SUM(C13:Q13)</f>
        <v>190199.50832645968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122165.22010833138</v>
      </c>
      <c r="D16" s="699">
        <f t="shared" ref="D16:R16" ca="1" si="0">SUM(D9:D15)</f>
        <v>62.357142857142847</v>
      </c>
      <c r="E16" s="699">
        <f t="shared" ca="1" si="0"/>
        <v>122887.7541549538</v>
      </c>
      <c r="F16" s="699">
        <f t="shared" si="0"/>
        <v>4766.2591886479604</v>
      </c>
      <c r="G16" s="699">
        <f t="shared" ca="1" si="0"/>
        <v>57971.935493518104</v>
      </c>
      <c r="H16" s="699">
        <f t="shared" si="0"/>
        <v>0</v>
      </c>
      <c r="I16" s="699">
        <f t="shared" si="0"/>
        <v>0</v>
      </c>
      <c r="J16" s="699">
        <f t="shared" si="0"/>
        <v>0</v>
      </c>
      <c r="K16" s="699">
        <f t="shared" si="0"/>
        <v>1199.799442457889</v>
      </c>
      <c r="L16" s="699">
        <f t="shared" si="0"/>
        <v>0</v>
      </c>
      <c r="M16" s="699">
        <f t="shared" ca="1" si="0"/>
        <v>0</v>
      </c>
      <c r="N16" s="699">
        <f t="shared" si="0"/>
        <v>0</v>
      </c>
      <c r="O16" s="699">
        <f t="shared" ca="1" si="0"/>
        <v>12977.253895631138</v>
      </c>
      <c r="P16" s="699">
        <f t="shared" si="0"/>
        <v>323.61</v>
      </c>
      <c r="Q16" s="699">
        <f t="shared" si="0"/>
        <v>419.46666666666664</v>
      </c>
      <c r="R16" s="699">
        <f t="shared" ca="1" si="0"/>
        <v>322773.65609306411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5.2459101673184954</v>
      </c>
      <c r="D19" s="983">
        <f>transport!C54</f>
        <v>0</v>
      </c>
      <c r="E19" s="983">
        <f>transport!D54</f>
        <v>0</v>
      </c>
      <c r="F19" s="983">
        <f>transport!E54</f>
        <v>0</v>
      </c>
      <c r="G19" s="983">
        <f>transport!F54</f>
        <v>0</v>
      </c>
      <c r="H19" s="983">
        <f>transport!G54</f>
        <v>994.0307571920797</v>
      </c>
      <c r="I19" s="983">
        <f>transport!H54</f>
        <v>0</v>
      </c>
      <c r="J19" s="983">
        <f>transport!I54</f>
        <v>0</v>
      </c>
      <c r="K19" s="983">
        <f>transport!J54</f>
        <v>0</v>
      </c>
      <c r="L19" s="983">
        <f>transport!K54</f>
        <v>0</v>
      </c>
      <c r="M19" s="983">
        <f>transport!L54</f>
        <v>0</v>
      </c>
      <c r="N19" s="983">
        <f>transport!M54</f>
        <v>57.224398433754779</v>
      </c>
      <c r="O19" s="983">
        <f>transport!N54</f>
        <v>0</v>
      </c>
      <c r="P19" s="983">
        <f>transport!O54</f>
        <v>0</v>
      </c>
      <c r="Q19" s="984">
        <f>transport!P54</f>
        <v>0</v>
      </c>
      <c r="R19" s="667">
        <f>SUM(C19:Q19)</f>
        <v>1056.501065793153</v>
      </c>
      <c r="S19" s="67"/>
    </row>
    <row r="20" spans="1:19" s="440" customFormat="1">
      <c r="A20" s="776" t="s">
        <v>296</v>
      </c>
      <c r="B20" s="781"/>
      <c r="C20" s="983">
        <f>transport!B14</f>
        <v>18.481438865953802</v>
      </c>
      <c r="D20" s="983">
        <f>transport!C14</f>
        <v>0</v>
      </c>
      <c r="E20" s="983">
        <f>transport!D14</f>
        <v>26.913193302545903</v>
      </c>
      <c r="F20" s="983">
        <f>transport!E14</f>
        <v>291.99727974800601</v>
      </c>
      <c r="G20" s="983">
        <f>transport!F14</f>
        <v>0</v>
      </c>
      <c r="H20" s="983">
        <f>transport!G14</f>
        <v>105053.15761737719</v>
      </c>
      <c r="I20" s="983">
        <f>transport!H14</f>
        <v>15898.003350242865</v>
      </c>
      <c r="J20" s="983">
        <f>transport!I14</f>
        <v>0</v>
      </c>
      <c r="K20" s="983">
        <f>transport!J14</f>
        <v>0</v>
      </c>
      <c r="L20" s="983">
        <f>transport!K14</f>
        <v>0</v>
      </c>
      <c r="M20" s="983">
        <f>transport!L14</f>
        <v>0</v>
      </c>
      <c r="N20" s="983">
        <f>transport!M14</f>
        <v>6575.617409272465</v>
      </c>
      <c r="O20" s="983">
        <f>transport!N14</f>
        <v>0</v>
      </c>
      <c r="P20" s="983">
        <f>transport!O14</f>
        <v>0</v>
      </c>
      <c r="Q20" s="984">
        <f>transport!P14</f>
        <v>0</v>
      </c>
      <c r="R20" s="667">
        <f>SUM(C20:Q20)</f>
        <v>127864.17028880904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23.727349033272297</v>
      </c>
      <c r="D22" s="779">
        <f t="shared" ref="D22:R22" si="1">SUM(D18:D21)</f>
        <v>0</v>
      </c>
      <c r="E22" s="779">
        <f t="shared" si="1"/>
        <v>26.913193302545903</v>
      </c>
      <c r="F22" s="779">
        <f t="shared" si="1"/>
        <v>291.99727974800601</v>
      </c>
      <c r="G22" s="779">
        <f t="shared" si="1"/>
        <v>0</v>
      </c>
      <c r="H22" s="779">
        <f t="shared" si="1"/>
        <v>106047.18837456928</v>
      </c>
      <c r="I22" s="779">
        <f t="shared" si="1"/>
        <v>15898.003350242865</v>
      </c>
      <c r="J22" s="779">
        <f t="shared" si="1"/>
        <v>0</v>
      </c>
      <c r="K22" s="779">
        <f t="shared" si="1"/>
        <v>0</v>
      </c>
      <c r="L22" s="779">
        <f t="shared" si="1"/>
        <v>0</v>
      </c>
      <c r="M22" s="779">
        <f t="shared" si="1"/>
        <v>0</v>
      </c>
      <c r="N22" s="779">
        <f t="shared" si="1"/>
        <v>6632.8418077062197</v>
      </c>
      <c r="O22" s="779">
        <f t="shared" si="1"/>
        <v>0</v>
      </c>
      <c r="P22" s="779">
        <f t="shared" si="1"/>
        <v>0</v>
      </c>
      <c r="Q22" s="779">
        <f t="shared" si="1"/>
        <v>0</v>
      </c>
      <c r="R22" s="779">
        <f t="shared" si="1"/>
        <v>128920.67135460219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5892.7782719999996</v>
      </c>
      <c r="D24" s="983">
        <f>+landbouw!C8</f>
        <v>0</v>
      </c>
      <c r="E24" s="983">
        <f>+landbouw!D8</f>
        <v>1095.6359530401903</v>
      </c>
      <c r="F24" s="983">
        <f>+landbouw!E8</f>
        <v>54.581380477678877</v>
      </c>
      <c r="G24" s="983">
        <f>+landbouw!F8</f>
        <v>14951.10104917281</v>
      </c>
      <c r="H24" s="983">
        <f>+landbouw!G8</f>
        <v>0</v>
      </c>
      <c r="I24" s="983">
        <f>+landbouw!H8</f>
        <v>0</v>
      </c>
      <c r="J24" s="983">
        <f>+landbouw!I8</f>
        <v>0</v>
      </c>
      <c r="K24" s="983">
        <f>+landbouw!J8</f>
        <v>903.42867269505291</v>
      </c>
      <c r="L24" s="983">
        <f>+landbouw!K8</f>
        <v>0</v>
      </c>
      <c r="M24" s="983">
        <f>+landbouw!L8</f>
        <v>0</v>
      </c>
      <c r="N24" s="983">
        <f>+landbouw!M8</f>
        <v>0</v>
      </c>
      <c r="O24" s="983">
        <f>+landbouw!N8</f>
        <v>0</v>
      </c>
      <c r="P24" s="983">
        <f>+landbouw!O8</f>
        <v>0</v>
      </c>
      <c r="Q24" s="984">
        <f>+landbouw!P8</f>
        <v>0</v>
      </c>
      <c r="R24" s="667">
        <f>SUM(C24:Q24)</f>
        <v>22897.525327385731</v>
      </c>
      <c r="S24" s="67"/>
    </row>
    <row r="25" spans="1:19" s="440" customFormat="1" ht="15" thickBot="1">
      <c r="A25" s="798" t="s">
        <v>829</v>
      </c>
      <c r="B25" s="986"/>
      <c r="C25" s="987">
        <f>IF(Onbekend_ele_kWh="---",0,Onbekend_ele_kWh)/1000+IF(REST_rest_ele_kWh="---",0,REST_rest_ele_kWh)/1000</f>
        <v>607.13790000000006</v>
      </c>
      <c r="D25" s="987"/>
      <c r="E25" s="987">
        <f>IF(onbekend_gas_kWh="---",0,onbekend_gas_kWh)/1000+IF(REST_rest_gas_kWh="---",0,REST_rest_gas_kWh)/1000</f>
        <v>854.16905936610704</v>
      </c>
      <c r="F25" s="987"/>
      <c r="G25" s="987"/>
      <c r="H25" s="987"/>
      <c r="I25" s="987"/>
      <c r="J25" s="987"/>
      <c r="K25" s="987"/>
      <c r="L25" s="987"/>
      <c r="M25" s="987"/>
      <c r="N25" s="987"/>
      <c r="O25" s="987"/>
      <c r="P25" s="987"/>
      <c r="Q25" s="988"/>
      <c r="R25" s="667">
        <f>SUM(C25:Q25)</f>
        <v>1461.3069593661071</v>
      </c>
      <c r="S25" s="67"/>
    </row>
    <row r="26" spans="1:19" s="440" customFormat="1" ht="15.75" thickBot="1">
      <c r="A26" s="672" t="s">
        <v>830</v>
      </c>
      <c r="B26" s="784"/>
      <c r="C26" s="779">
        <f>SUM(C24:C25)</f>
        <v>6499.9161719999993</v>
      </c>
      <c r="D26" s="779">
        <f t="shared" ref="D26:R26" si="2">SUM(D24:D25)</f>
        <v>0</v>
      </c>
      <c r="E26" s="779">
        <f t="shared" si="2"/>
        <v>1949.8050124062975</v>
      </c>
      <c r="F26" s="779">
        <f t="shared" si="2"/>
        <v>54.581380477678877</v>
      </c>
      <c r="G26" s="779">
        <f t="shared" si="2"/>
        <v>14951.10104917281</v>
      </c>
      <c r="H26" s="779">
        <f t="shared" si="2"/>
        <v>0</v>
      </c>
      <c r="I26" s="779">
        <f t="shared" si="2"/>
        <v>0</v>
      </c>
      <c r="J26" s="779">
        <f t="shared" si="2"/>
        <v>0</v>
      </c>
      <c r="K26" s="779">
        <f t="shared" si="2"/>
        <v>903.42867269505291</v>
      </c>
      <c r="L26" s="779">
        <f t="shared" si="2"/>
        <v>0</v>
      </c>
      <c r="M26" s="779">
        <f t="shared" si="2"/>
        <v>0</v>
      </c>
      <c r="N26" s="779">
        <f t="shared" si="2"/>
        <v>0</v>
      </c>
      <c r="O26" s="779">
        <f t="shared" si="2"/>
        <v>0</v>
      </c>
      <c r="P26" s="779">
        <f t="shared" si="2"/>
        <v>0</v>
      </c>
      <c r="Q26" s="779">
        <f t="shared" si="2"/>
        <v>0</v>
      </c>
      <c r="R26" s="779">
        <f t="shared" si="2"/>
        <v>24358.832286751836</v>
      </c>
      <c r="S26" s="67"/>
    </row>
    <row r="27" spans="1:19" s="440" customFormat="1" ht="17.25" thickTop="1" thickBot="1">
      <c r="A27" s="673" t="s">
        <v>109</v>
      </c>
      <c r="B27" s="772"/>
      <c r="C27" s="674">
        <f ca="1">C22+C16+C26</f>
        <v>128688.86362936466</v>
      </c>
      <c r="D27" s="674">
        <f t="shared" ref="D27:R27" ca="1" si="3">D22+D16+D26</f>
        <v>62.357142857142847</v>
      </c>
      <c r="E27" s="674">
        <f t="shared" ca="1" si="3"/>
        <v>124864.47236066265</v>
      </c>
      <c r="F27" s="674">
        <f t="shared" si="3"/>
        <v>5112.8378488736453</v>
      </c>
      <c r="G27" s="674">
        <f t="shared" ca="1" si="3"/>
        <v>72923.036542690912</v>
      </c>
      <c r="H27" s="674">
        <f t="shared" si="3"/>
        <v>106047.18837456928</v>
      </c>
      <c r="I27" s="674">
        <f t="shared" si="3"/>
        <v>15898.003350242865</v>
      </c>
      <c r="J27" s="674">
        <f t="shared" si="3"/>
        <v>0</v>
      </c>
      <c r="K27" s="674">
        <f t="shared" si="3"/>
        <v>2103.2281151529419</v>
      </c>
      <c r="L27" s="674">
        <f t="shared" si="3"/>
        <v>0</v>
      </c>
      <c r="M27" s="674">
        <f t="shared" ca="1" si="3"/>
        <v>0</v>
      </c>
      <c r="N27" s="674">
        <f t="shared" si="3"/>
        <v>6632.8418077062197</v>
      </c>
      <c r="O27" s="674">
        <f t="shared" ca="1" si="3"/>
        <v>12977.253895631138</v>
      </c>
      <c r="P27" s="674">
        <f t="shared" si="3"/>
        <v>323.61</v>
      </c>
      <c r="Q27" s="674">
        <f t="shared" si="3"/>
        <v>419.46666666666664</v>
      </c>
      <c r="R27" s="674">
        <f t="shared" ca="1" si="3"/>
        <v>476053.15973441815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2899.1925754440927</v>
      </c>
      <c r="D40" s="983">
        <f ca="1">tertiair!C20</f>
        <v>0</v>
      </c>
      <c r="E40" s="983">
        <f ca="1">tertiair!D20</f>
        <v>2019.9150202870328</v>
      </c>
      <c r="F40" s="983">
        <f>tertiair!E20</f>
        <v>26.255974703439243</v>
      </c>
      <c r="G40" s="983">
        <f ca="1">tertiair!F20</f>
        <v>601.6761374144362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5547.0397078490014</v>
      </c>
    </row>
    <row r="41" spans="1:18">
      <c r="A41" s="789" t="s">
        <v>214</v>
      </c>
      <c r="B41" s="796"/>
      <c r="C41" s="983">
        <f ca="1">huishoudens!B12</f>
        <v>4583.1402530277228</v>
      </c>
      <c r="D41" s="983">
        <f ca="1">huishoudens!C12</f>
        <v>0</v>
      </c>
      <c r="E41" s="983">
        <f>huishoudens!D12</f>
        <v>6448.4866279751468</v>
      </c>
      <c r="F41" s="983">
        <f>huishoudens!E12</f>
        <v>287.5703546094216</v>
      </c>
      <c r="G41" s="983">
        <f>huishoudens!F12</f>
        <v>10670.528585985938</v>
      </c>
      <c r="H41" s="983">
        <f>huishoudens!G12</f>
        <v>0</v>
      </c>
      <c r="I41" s="983">
        <f>huishoudens!H12</f>
        <v>0</v>
      </c>
      <c r="J41" s="983">
        <f>huishoudens!I12</f>
        <v>0</v>
      </c>
      <c r="K41" s="983">
        <f>huishoudens!J12</f>
        <v>329.91782220951029</v>
      </c>
      <c r="L41" s="983">
        <f>huishoudens!K12</f>
        <v>0</v>
      </c>
      <c r="M41" s="983">
        <f>huishoudens!L12</f>
        <v>0</v>
      </c>
      <c r="N41" s="983">
        <f>huishoudens!M12</f>
        <v>0</v>
      </c>
      <c r="O41" s="983">
        <f>huishoudens!N12</f>
        <v>0</v>
      </c>
      <c r="P41" s="983">
        <f>huishoudens!O12</f>
        <v>0</v>
      </c>
      <c r="Q41" s="741">
        <f>huishoudens!P12</f>
        <v>0</v>
      </c>
      <c r="R41" s="817">
        <f t="shared" ca="1" si="4"/>
        <v>22319.64364380774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17982.792213579698</v>
      </c>
      <c r="D43" s="983">
        <f ca="1">industrie!C22</f>
        <v>0</v>
      </c>
      <c r="E43" s="983">
        <f>industrie!D22</f>
        <v>16354.92469103849</v>
      </c>
      <c r="F43" s="983">
        <f>industrie!E22</f>
        <v>768.11450651022619</v>
      </c>
      <c r="G43" s="983">
        <f>industrie!F22</f>
        <v>4206.3020533689596</v>
      </c>
      <c r="H43" s="983">
        <f>industrie!G22</f>
        <v>0</v>
      </c>
      <c r="I43" s="983">
        <f>industrie!H22</f>
        <v>0</v>
      </c>
      <c r="J43" s="983">
        <f>industrie!I22</f>
        <v>0</v>
      </c>
      <c r="K43" s="983">
        <f>industrie!J22</f>
        <v>94.811180420582403</v>
      </c>
      <c r="L43" s="983">
        <f>industrie!K22</f>
        <v>0</v>
      </c>
      <c r="M43" s="983">
        <f>industrie!L22</f>
        <v>0</v>
      </c>
      <c r="N43" s="983">
        <f>industrie!M22</f>
        <v>0</v>
      </c>
      <c r="O43" s="983">
        <f>industrie!N22</f>
        <v>0</v>
      </c>
      <c r="P43" s="983">
        <f>industrie!O22</f>
        <v>0</v>
      </c>
      <c r="Q43" s="741">
        <f>industrie!P22</f>
        <v>0</v>
      </c>
      <c r="R43" s="816">
        <f t="shared" ca="1" si="4"/>
        <v>39406.944644917952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25465.125042051513</v>
      </c>
      <c r="D46" s="699">
        <f t="shared" ref="D46:Q46" ca="1" si="5">SUM(D39:D45)</f>
        <v>0</v>
      </c>
      <c r="E46" s="699">
        <f t="shared" ca="1" si="5"/>
        <v>24823.326339300671</v>
      </c>
      <c r="F46" s="699">
        <f t="shared" si="5"/>
        <v>1081.9408358230871</v>
      </c>
      <c r="G46" s="699">
        <f t="shared" ca="1" si="5"/>
        <v>15478.506776769333</v>
      </c>
      <c r="H46" s="699">
        <f t="shared" si="5"/>
        <v>0</v>
      </c>
      <c r="I46" s="699">
        <f t="shared" si="5"/>
        <v>0</v>
      </c>
      <c r="J46" s="699">
        <f t="shared" si="5"/>
        <v>0</v>
      </c>
      <c r="K46" s="699">
        <f t="shared" si="5"/>
        <v>424.72900263009268</v>
      </c>
      <c r="L46" s="699">
        <f t="shared" si="5"/>
        <v>0</v>
      </c>
      <c r="M46" s="699">
        <f t="shared" ca="1" si="5"/>
        <v>0</v>
      </c>
      <c r="N46" s="699">
        <f t="shared" si="5"/>
        <v>0</v>
      </c>
      <c r="O46" s="699">
        <f t="shared" ca="1" si="5"/>
        <v>0</v>
      </c>
      <c r="P46" s="699">
        <f t="shared" si="5"/>
        <v>0</v>
      </c>
      <c r="Q46" s="699">
        <f t="shared" si="5"/>
        <v>0</v>
      </c>
      <c r="R46" s="699">
        <f ca="1">SUM(R39:R45)</f>
        <v>67273.627996574694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1.0935007381943438</v>
      </c>
      <c r="D49" s="983">
        <f ca="1">transport!C58</f>
        <v>0</v>
      </c>
      <c r="E49" s="983">
        <f>transport!D58</f>
        <v>0</v>
      </c>
      <c r="F49" s="983">
        <f>transport!E58</f>
        <v>0</v>
      </c>
      <c r="G49" s="983">
        <f>transport!F58</f>
        <v>0</v>
      </c>
      <c r="H49" s="983">
        <f>transport!G58</f>
        <v>265.4062121702853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266.49971290847964</v>
      </c>
    </row>
    <row r="50" spans="1:18">
      <c r="A50" s="792" t="s">
        <v>296</v>
      </c>
      <c r="B50" s="802"/>
      <c r="C50" s="670">
        <f ca="1">transport!B18</f>
        <v>3.8524233923632756</v>
      </c>
      <c r="D50" s="670">
        <f>transport!C18</f>
        <v>0</v>
      </c>
      <c r="E50" s="670">
        <f>transport!D18</f>
        <v>5.4364650471142726</v>
      </c>
      <c r="F50" s="670">
        <f>transport!E18</f>
        <v>66.283382502797366</v>
      </c>
      <c r="G50" s="670">
        <f>transport!F18</f>
        <v>0</v>
      </c>
      <c r="H50" s="670">
        <f>transport!G18</f>
        <v>28049.193083839713</v>
      </c>
      <c r="I50" s="670">
        <f>transport!H18</f>
        <v>3958.6028342104732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32083.368188992459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4.9459241305576196</v>
      </c>
      <c r="D52" s="699">
        <f t="shared" ref="D52:Q52" ca="1" si="6">SUM(D48:D51)</f>
        <v>0</v>
      </c>
      <c r="E52" s="699">
        <f t="shared" si="6"/>
        <v>5.4364650471142726</v>
      </c>
      <c r="F52" s="699">
        <f t="shared" si="6"/>
        <v>66.283382502797366</v>
      </c>
      <c r="G52" s="699">
        <f t="shared" si="6"/>
        <v>0</v>
      </c>
      <c r="H52" s="699">
        <f t="shared" si="6"/>
        <v>28314.599296009997</v>
      </c>
      <c r="I52" s="699">
        <f t="shared" si="6"/>
        <v>3958.6028342104732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32349.86790190094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1228.3392557103939</v>
      </c>
      <c r="D54" s="670">
        <f ca="1">+landbouw!C12</f>
        <v>0</v>
      </c>
      <c r="E54" s="670">
        <f>+landbouw!D12</f>
        <v>221.31846251411847</v>
      </c>
      <c r="F54" s="670">
        <f>+landbouw!E12</f>
        <v>12.389973368433106</v>
      </c>
      <c r="G54" s="670">
        <f>+landbouw!F12</f>
        <v>3991.9439801291405</v>
      </c>
      <c r="H54" s="670">
        <f>+landbouw!G12</f>
        <v>0</v>
      </c>
      <c r="I54" s="670">
        <f>+landbouw!H12</f>
        <v>0</v>
      </c>
      <c r="J54" s="670">
        <f>+landbouw!I12</f>
        <v>0</v>
      </c>
      <c r="K54" s="670">
        <f>+landbouw!J12</f>
        <v>319.81375013404869</v>
      </c>
      <c r="L54" s="670">
        <f>+landbouw!K12</f>
        <v>0</v>
      </c>
      <c r="M54" s="670">
        <f>+landbouw!L12</f>
        <v>0</v>
      </c>
      <c r="N54" s="670">
        <f>+landbouw!M12</f>
        <v>0</v>
      </c>
      <c r="O54" s="670">
        <f>+landbouw!N12</f>
        <v>0</v>
      </c>
      <c r="P54" s="670">
        <f>+landbouw!O12</f>
        <v>0</v>
      </c>
      <c r="Q54" s="671">
        <f>+landbouw!P12</f>
        <v>0</v>
      </c>
      <c r="R54" s="698">
        <f ca="1">SUM(C54:Q54)</f>
        <v>5773.8054218561347</v>
      </c>
    </row>
    <row r="55" spans="1:18" ht="15" thickBot="1">
      <c r="A55" s="792" t="s">
        <v>829</v>
      </c>
      <c r="B55" s="802"/>
      <c r="C55" s="670">
        <f ca="1">C25*'EF ele_warmte'!B12</f>
        <v>126.5568263009594</v>
      </c>
      <c r="D55" s="670"/>
      <c r="E55" s="670">
        <f>E25*EF_CO2_aardgas</f>
        <v>172.54214999195364</v>
      </c>
      <c r="F55" s="670"/>
      <c r="G55" s="670"/>
      <c r="H55" s="670"/>
      <c r="I55" s="670"/>
      <c r="J55" s="670"/>
      <c r="K55" s="670"/>
      <c r="L55" s="670"/>
      <c r="M55" s="670"/>
      <c r="N55" s="670"/>
      <c r="O55" s="670"/>
      <c r="P55" s="670"/>
      <c r="Q55" s="671"/>
      <c r="R55" s="698">
        <f ca="1">SUM(C55:Q55)</f>
        <v>299.09897629291305</v>
      </c>
    </row>
    <row r="56" spans="1:18" ht="15.75" thickBot="1">
      <c r="A56" s="790" t="s">
        <v>830</v>
      </c>
      <c r="B56" s="803"/>
      <c r="C56" s="699">
        <f ca="1">SUM(C54:C55)</f>
        <v>1354.8960820113532</v>
      </c>
      <c r="D56" s="699">
        <f t="shared" ref="D56:Q56" ca="1" si="7">SUM(D54:D55)</f>
        <v>0</v>
      </c>
      <c r="E56" s="699">
        <f t="shared" si="7"/>
        <v>393.86061250607213</v>
      </c>
      <c r="F56" s="699">
        <f t="shared" si="7"/>
        <v>12.389973368433106</v>
      </c>
      <c r="G56" s="699">
        <f t="shared" si="7"/>
        <v>3991.9439801291405</v>
      </c>
      <c r="H56" s="699">
        <f t="shared" si="7"/>
        <v>0</v>
      </c>
      <c r="I56" s="699">
        <f t="shared" si="7"/>
        <v>0</v>
      </c>
      <c r="J56" s="699">
        <f t="shared" si="7"/>
        <v>0</v>
      </c>
      <c r="K56" s="699">
        <f t="shared" si="7"/>
        <v>319.81375013404869</v>
      </c>
      <c r="L56" s="699">
        <f t="shared" si="7"/>
        <v>0</v>
      </c>
      <c r="M56" s="699">
        <f t="shared" si="7"/>
        <v>0</v>
      </c>
      <c r="N56" s="699">
        <f t="shared" si="7"/>
        <v>0</v>
      </c>
      <c r="O56" s="699">
        <f t="shared" si="7"/>
        <v>0</v>
      </c>
      <c r="P56" s="699">
        <f t="shared" si="7"/>
        <v>0</v>
      </c>
      <c r="Q56" s="700">
        <f t="shared" si="7"/>
        <v>0</v>
      </c>
      <c r="R56" s="701">
        <f ca="1">SUM(R54:R55)</f>
        <v>6072.9043981490477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26824.967048193426</v>
      </c>
      <c r="D61" s="707">
        <f t="shared" ref="D61:Q61" ca="1" si="8">D46+D52+D56</f>
        <v>0</v>
      </c>
      <c r="E61" s="707">
        <f t="shared" ca="1" si="8"/>
        <v>25222.623416853858</v>
      </c>
      <c r="F61" s="707">
        <f t="shared" si="8"/>
        <v>1160.6141916943177</v>
      </c>
      <c r="G61" s="707">
        <f t="shared" ca="1" si="8"/>
        <v>19470.450756898474</v>
      </c>
      <c r="H61" s="707">
        <f t="shared" si="8"/>
        <v>28314.599296009997</v>
      </c>
      <c r="I61" s="707">
        <f t="shared" si="8"/>
        <v>3958.6028342104732</v>
      </c>
      <c r="J61" s="707">
        <f t="shared" si="8"/>
        <v>0</v>
      </c>
      <c r="K61" s="707">
        <f t="shared" si="8"/>
        <v>744.54275276414137</v>
      </c>
      <c r="L61" s="707">
        <f t="shared" si="8"/>
        <v>0</v>
      </c>
      <c r="M61" s="707">
        <f t="shared" ca="1" si="8"/>
        <v>0</v>
      </c>
      <c r="N61" s="707">
        <f t="shared" si="8"/>
        <v>0</v>
      </c>
      <c r="O61" s="707">
        <f t="shared" ca="1" si="8"/>
        <v>0</v>
      </c>
      <c r="P61" s="707">
        <f t="shared" si="8"/>
        <v>0</v>
      </c>
      <c r="Q61" s="707">
        <f t="shared" si="8"/>
        <v>0</v>
      </c>
      <c r="R61" s="707">
        <f ca="1">R46+R52+R56</f>
        <v>105696.40029662469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0.20844823935544035</v>
      </c>
      <c r="D63" s="748">
        <f t="shared" ca="1" si="9"/>
        <v>0</v>
      </c>
      <c r="E63" s="994">
        <f t="shared" ca="1" si="9"/>
        <v>0.20200000000000001</v>
      </c>
      <c r="F63" s="748">
        <f t="shared" si="9"/>
        <v>0.22700000000000004</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7265.2722348242751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7308.9222348242747</v>
      </c>
      <c r="C78" s="722">
        <f>SUM(C72:C77)</f>
        <v>0</v>
      </c>
      <c r="D78" s="723">
        <f t="shared" ref="D78:H78" si="10">SUM(D76:D77)</f>
        <v>0</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0</v>
      </c>
      <c r="D90" s="722">
        <f t="shared" ref="D90:H90" si="12">SUM(D87:D89)</f>
        <v>0</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21986.946338331385</v>
      </c>
      <c r="C4" s="444">
        <f>huishoudens!C8</f>
        <v>0</v>
      </c>
      <c r="D4" s="444">
        <f>huishoudens!D8</f>
        <v>31923.201128589833</v>
      </c>
      <c r="E4" s="444">
        <f>huishoudens!E8</f>
        <v>1266.8297559886414</v>
      </c>
      <c r="F4" s="444">
        <f>huishoudens!F8</f>
        <v>39964.526539273174</v>
      </c>
      <c r="G4" s="444">
        <f>huishoudens!G8</f>
        <v>0</v>
      </c>
      <c r="H4" s="444">
        <f>huishoudens!H8</f>
        <v>0</v>
      </c>
      <c r="I4" s="444">
        <f>huishoudens!I8</f>
        <v>0</v>
      </c>
      <c r="J4" s="444">
        <f>huishoudens!J8</f>
        <v>931.97124917940766</v>
      </c>
      <c r="K4" s="444">
        <f>huishoudens!K8</f>
        <v>0</v>
      </c>
      <c r="L4" s="444">
        <f>huishoudens!L8</f>
        <v>0</v>
      </c>
      <c r="M4" s="444">
        <f>huishoudens!M8</f>
        <v>0</v>
      </c>
      <c r="N4" s="444">
        <f>huishoudens!N8</f>
        <v>5841.4238266403217</v>
      </c>
      <c r="O4" s="444">
        <f>huishoudens!O8</f>
        <v>322.04666666666668</v>
      </c>
      <c r="P4" s="445">
        <f>huishoudens!P8</f>
        <v>400.4</v>
      </c>
      <c r="Q4" s="446">
        <f>SUM(B4:P4)</f>
        <v>102637.34550466943</v>
      </c>
    </row>
    <row r="5" spans="1:17">
      <c r="A5" s="443" t="s">
        <v>149</v>
      </c>
      <c r="B5" s="444">
        <f ca="1">tertiair!B16</f>
        <v>13018.97617</v>
      </c>
      <c r="C5" s="444">
        <f ca="1">tertiair!C16</f>
        <v>62.357142857142847</v>
      </c>
      <c r="D5" s="444">
        <f ca="1">tertiair!D16</f>
        <v>9999.5793083516473</v>
      </c>
      <c r="E5" s="444">
        <f>tertiair!E16</f>
        <v>115.66508679929181</v>
      </c>
      <c r="F5" s="444">
        <f ca="1">tertiair!F16</f>
        <v>2253.468679454817</v>
      </c>
      <c r="G5" s="444">
        <f>tertiair!G16</f>
        <v>0</v>
      </c>
      <c r="H5" s="444">
        <f>tertiair!H16</f>
        <v>0</v>
      </c>
      <c r="I5" s="444">
        <f>tertiair!I16</f>
        <v>0</v>
      </c>
      <c r="J5" s="444">
        <f>tertiair!J16</f>
        <v>0</v>
      </c>
      <c r="K5" s="444">
        <f>tertiair!K16</f>
        <v>0</v>
      </c>
      <c r="L5" s="444">
        <f ca="1">tertiair!L16</f>
        <v>0</v>
      </c>
      <c r="M5" s="444">
        <f>tertiair!M16</f>
        <v>0</v>
      </c>
      <c r="N5" s="444">
        <f ca="1">tertiair!N16</f>
        <v>3576.6488744720696</v>
      </c>
      <c r="O5" s="444">
        <f>tertiair!O16</f>
        <v>1.5633333333333335</v>
      </c>
      <c r="P5" s="445">
        <f>tertiair!P16</f>
        <v>19.066666666666666</v>
      </c>
      <c r="Q5" s="443">
        <f t="shared" ref="Q5:Q14" ca="1" si="0">SUM(B5:P5)</f>
        <v>29047.325261934966</v>
      </c>
    </row>
    <row r="6" spans="1:17">
      <c r="A6" s="443" t="s">
        <v>187</v>
      </c>
      <c r="B6" s="444">
        <f>'openbare verlichting'!B8</f>
        <v>889.47699999999998</v>
      </c>
      <c r="C6" s="444"/>
      <c r="D6" s="444"/>
      <c r="E6" s="444"/>
      <c r="F6" s="444"/>
      <c r="G6" s="444"/>
      <c r="H6" s="444"/>
      <c r="I6" s="444"/>
      <c r="J6" s="444"/>
      <c r="K6" s="444"/>
      <c r="L6" s="444"/>
      <c r="M6" s="444"/>
      <c r="N6" s="444"/>
      <c r="O6" s="444"/>
      <c r="P6" s="445"/>
      <c r="Q6" s="443">
        <f t="shared" si="0"/>
        <v>889.47699999999998</v>
      </c>
    </row>
    <row r="7" spans="1:17">
      <c r="A7" s="443" t="s">
        <v>105</v>
      </c>
      <c r="B7" s="444">
        <f>landbouw!B8</f>
        <v>5892.7782719999996</v>
      </c>
      <c r="C7" s="444">
        <f>landbouw!C8</f>
        <v>0</v>
      </c>
      <c r="D7" s="444">
        <f>landbouw!D8</f>
        <v>1095.6359530401903</v>
      </c>
      <c r="E7" s="444">
        <f>landbouw!E8</f>
        <v>54.581380477678877</v>
      </c>
      <c r="F7" s="444">
        <f>landbouw!F8</f>
        <v>14951.10104917281</v>
      </c>
      <c r="G7" s="444">
        <f>landbouw!G8</f>
        <v>0</v>
      </c>
      <c r="H7" s="444">
        <f>landbouw!H8</f>
        <v>0</v>
      </c>
      <c r="I7" s="444">
        <f>landbouw!I8</f>
        <v>0</v>
      </c>
      <c r="J7" s="444">
        <f>landbouw!J8</f>
        <v>903.42867269505291</v>
      </c>
      <c r="K7" s="444">
        <f>landbouw!K8</f>
        <v>0</v>
      </c>
      <c r="L7" s="444">
        <f>landbouw!L8</f>
        <v>0</v>
      </c>
      <c r="M7" s="444">
        <f>landbouw!M8</f>
        <v>0</v>
      </c>
      <c r="N7" s="444">
        <f>landbouw!N8</f>
        <v>0</v>
      </c>
      <c r="O7" s="444">
        <f>landbouw!O8</f>
        <v>0</v>
      </c>
      <c r="P7" s="445">
        <f>landbouw!P8</f>
        <v>0</v>
      </c>
      <c r="Q7" s="443">
        <f t="shared" si="0"/>
        <v>22897.525327385731</v>
      </c>
    </row>
    <row r="8" spans="1:17">
      <c r="A8" s="443" t="s">
        <v>637</v>
      </c>
      <c r="B8" s="444">
        <f>industrie!B18</f>
        <v>86269.820600000006</v>
      </c>
      <c r="C8" s="444">
        <f>industrie!C18</f>
        <v>0</v>
      </c>
      <c r="D8" s="444">
        <f>industrie!D18</f>
        <v>80964.973718012319</v>
      </c>
      <c r="E8" s="444">
        <f>industrie!E18</f>
        <v>3383.7643458600273</v>
      </c>
      <c r="F8" s="444">
        <f>industrie!F18</f>
        <v>15753.940274790111</v>
      </c>
      <c r="G8" s="444">
        <f>industrie!G18</f>
        <v>0</v>
      </c>
      <c r="H8" s="444">
        <f>industrie!H18</f>
        <v>0</v>
      </c>
      <c r="I8" s="444">
        <f>industrie!I18</f>
        <v>0</v>
      </c>
      <c r="J8" s="444">
        <f>industrie!J18</f>
        <v>267.82819327848136</v>
      </c>
      <c r="K8" s="444">
        <f>industrie!K18</f>
        <v>0</v>
      </c>
      <c r="L8" s="444">
        <f>industrie!L18</f>
        <v>0</v>
      </c>
      <c r="M8" s="444">
        <f>industrie!M18</f>
        <v>0</v>
      </c>
      <c r="N8" s="444">
        <f>industrie!N18</f>
        <v>3559.1811945187469</v>
      </c>
      <c r="O8" s="444">
        <f>industrie!O18</f>
        <v>0</v>
      </c>
      <c r="P8" s="445">
        <f>industrie!P18</f>
        <v>0</v>
      </c>
      <c r="Q8" s="443">
        <f t="shared" si="0"/>
        <v>190199.50832645968</v>
      </c>
    </row>
    <row r="9" spans="1:17" s="449" customFormat="1">
      <c r="A9" s="447" t="s">
        <v>558</v>
      </c>
      <c r="B9" s="448">
        <f>transport!B14</f>
        <v>18.481438865953802</v>
      </c>
      <c r="C9" s="448">
        <f>transport!C14</f>
        <v>0</v>
      </c>
      <c r="D9" s="448">
        <f>transport!D14</f>
        <v>26.913193302545903</v>
      </c>
      <c r="E9" s="448">
        <f>transport!E14</f>
        <v>291.99727974800601</v>
      </c>
      <c r="F9" s="448">
        <f>transport!F14</f>
        <v>0</v>
      </c>
      <c r="G9" s="448">
        <f>transport!G14</f>
        <v>105053.15761737719</v>
      </c>
      <c r="H9" s="448">
        <f>transport!H14</f>
        <v>15898.003350242865</v>
      </c>
      <c r="I9" s="448">
        <f>transport!I14</f>
        <v>0</v>
      </c>
      <c r="J9" s="448">
        <f>transport!J14</f>
        <v>0</v>
      </c>
      <c r="K9" s="448">
        <f>transport!K14</f>
        <v>0</v>
      </c>
      <c r="L9" s="448">
        <f>transport!L14</f>
        <v>0</v>
      </c>
      <c r="M9" s="448">
        <f>transport!M14</f>
        <v>6575.617409272465</v>
      </c>
      <c r="N9" s="448">
        <f>transport!N14</f>
        <v>0</v>
      </c>
      <c r="O9" s="448">
        <f>transport!O14</f>
        <v>0</v>
      </c>
      <c r="P9" s="448">
        <f>transport!P14</f>
        <v>0</v>
      </c>
      <c r="Q9" s="447">
        <f>SUM(B9:P9)</f>
        <v>127864.17028880904</v>
      </c>
    </row>
    <row r="10" spans="1:17">
      <c r="A10" s="443" t="s">
        <v>548</v>
      </c>
      <c r="B10" s="444">
        <f>transport!B54</f>
        <v>5.2459101673184954</v>
      </c>
      <c r="C10" s="444">
        <f>transport!C54</f>
        <v>0</v>
      </c>
      <c r="D10" s="444">
        <f>transport!D54</f>
        <v>0</v>
      </c>
      <c r="E10" s="444">
        <f>transport!E54</f>
        <v>0</v>
      </c>
      <c r="F10" s="444">
        <f>transport!F54</f>
        <v>0</v>
      </c>
      <c r="G10" s="444">
        <f>transport!G54</f>
        <v>994.0307571920797</v>
      </c>
      <c r="H10" s="444">
        <f>transport!H54</f>
        <v>0</v>
      </c>
      <c r="I10" s="444">
        <f>transport!I54</f>
        <v>0</v>
      </c>
      <c r="J10" s="444">
        <f>transport!J54</f>
        <v>0</v>
      </c>
      <c r="K10" s="444">
        <f>transport!K54</f>
        <v>0</v>
      </c>
      <c r="L10" s="444">
        <f>transport!L54</f>
        <v>0</v>
      </c>
      <c r="M10" s="444">
        <f>transport!M54</f>
        <v>57.224398433754779</v>
      </c>
      <c r="N10" s="444">
        <f>transport!N54</f>
        <v>0</v>
      </c>
      <c r="O10" s="444">
        <f>transport!O54</f>
        <v>0</v>
      </c>
      <c r="P10" s="445">
        <f>transport!P54</f>
        <v>0</v>
      </c>
      <c r="Q10" s="443">
        <f t="shared" si="0"/>
        <v>1056.501065793153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607.13790000000006</v>
      </c>
      <c r="C14" s="451"/>
      <c r="D14" s="451">
        <f>'SEAP template'!E25</f>
        <v>854.16905936610704</v>
      </c>
      <c r="E14" s="451"/>
      <c r="F14" s="451"/>
      <c r="G14" s="451"/>
      <c r="H14" s="451"/>
      <c r="I14" s="451"/>
      <c r="J14" s="451"/>
      <c r="K14" s="451"/>
      <c r="L14" s="451"/>
      <c r="M14" s="451"/>
      <c r="N14" s="451"/>
      <c r="O14" s="451"/>
      <c r="P14" s="452"/>
      <c r="Q14" s="443">
        <f t="shared" si="0"/>
        <v>1461.3069593661071</v>
      </c>
    </row>
    <row r="15" spans="1:17" s="453" customFormat="1">
      <c r="A15" s="1009" t="s">
        <v>552</v>
      </c>
      <c r="B15" s="949">
        <f ca="1">SUM(B4:B14)</f>
        <v>128688.86362936467</v>
      </c>
      <c r="C15" s="949">
        <f t="shared" ref="C15:Q15" ca="1" si="1">SUM(C4:C14)</f>
        <v>62.357142857142847</v>
      </c>
      <c r="D15" s="949">
        <f t="shared" ca="1" si="1"/>
        <v>124864.47236066265</v>
      </c>
      <c r="E15" s="949">
        <f t="shared" si="1"/>
        <v>5112.8378488736453</v>
      </c>
      <c r="F15" s="949">
        <f t="shared" ca="1" si="1"/>
        <v>72923.036542690912</v>
      </c>
      <c r="G15" s="949">
        <f t="shared" si="1"/>
        <v>106047.18837456928</v>
      </c>
      <c r="H15" s="949">
        <f t="shared" si="1"/>
        <v>15898.003350242865</v>
      </c>
      <c r="I15" s="949">
        <f t="shared" si="1"/>
        <v>0</v>
      </c>
      <c r="J15" s="949">
        <f t="shared" si="1"/>
        <v>2103.2281151529419</v>
      </c>
      <c r="K15" s="949">
        <f t="shared" si="1"/>
        <v>0</v>
      </c>
      <c r="L15" s="949">
        <f t="shared" ca="1" si="1"/>
        <v>0</v>
      </c>
      <c r="M15" s="949">
        <f t="shared" si="1"/>
        <v>6632.8418077062197</v>
      </c>
      <c r="N15" s="949">
        <f t="shared" ca="1" si="1"/>
        <v>12977.253895631138</v>
      </c>
      <c r="O15" s="949">
        <f t="shared" si="1"/>
        <v>323.61</v>
      </c>
      <c r="P15" s="949">
        <f t="shared" si="1"/>
        <v>419.46666666666664</v>
      </c>
      <c r="Q15" s="949">
        <f t="shared" ca="1" si="1"/>
        <v>476053.15973441815</v>
      </c>
    </row>
    <row r="17" spans="1:17">
      <c r="A17" s="454" t="s">
        <v>553</v>
      </c>
      <c r="B17" s="753">
        <f ca="1">huishoudens!B10</f>
        <v>0.20844823935544032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4583.1402530277228</v>
      </c>
      <c r="C22" s="444">
        <f t="shared" ref="C22:C32" ca="1" si="3">C4*$C$17</f>
        <v>0</v>
      </c>
      <c r="D22" s="444">
        <f t="shared" ref="D22:D32" si="4">D4*$D$17</f>
        <v>6448.4866279751468</v>
      </c>
      <c r="E22" s="444">
        <f t="shared" ref="E22:E32" si="5">E4*$E$17</f>
        <v>287.5703546094216</v>
      </c>
      <c r="F22" s="444">
        <f t="shared" ref="F22:F32" si="6">F4*$F$17</f>
        <v>10670.528585985938</v>
      </c>
      <c r="G22" s="444">
        <f t="shared" ref="G22:G32" si="7">G4*$G$17</f>
        <v>0</v>
      </c>
      <c r="H22" s="444">
        <f t="shared" ref="H22:H32" si="8">H4*$H$17</f>
        <v>0</v>
      </c>
      <c r="I22" s="444">
        <f t="shared" ref="I22:I32" si="9">I4*$I$17</f>
        <v>0</v>
      </c>
      <c r="J22" s="444">
        <f t="shared" ref="J22:J32" si="10">J4*$J$17</f>
        <v>329.91782220951029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22319.64364380774</v>
      </c>
    </row>
    <row r="23" spans="1:17">
      <c r="A23" s="443" t="s">
        <v>149</v>
      </c>
      <c r="B23" s="444">
        <f t="shared" ca="1" si="2"/>
        <v>2713.7826608469336</v>
      </c>
      <c r="C23" s="444">
        <f t="shared" ca="1" si="3"/>
        <v>0</v>
      </c>
      <c r="D23" s="444">
        <f t="shared" ca="1" si="4"/>
        <v>2019.9150202870328</v>
      </c>
      <c r="E23" s="444">
        <f t="shared" si="5"/>
        <v>26.255974703439243</v>
      </c>
      <c r="F23" s="444">
        <f t="shared" ca="1" si="6"/>
        <v>601.6761374144362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5361.6297932518419</v>
      </c>
    </row>
    <row r="24" spans="1:17">
      <c r="A24" s="443" t="s">
        <v>187</v>
      </c>
      <c r="B24" s="444">
        <f t="shared" ca="1" si="2"/>
        <v>185.40991459715897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185.40991459715897</v>
      </c>
    </row>
    <row r="25" spans="1:17">
      <c r="A25" s="443" t="s">
        <v>105</v>
      </c>
      <c r="B25" s="444">
        <f t="shared" ca="1" si="2"/>
        <v>1228.3392557103939</v>
      </c>
      <c r="C25" s="444">
        <f t="shared" ca="1" si="3"/>
        <v>0</v>
      </c>
      <c r="D25" s="444">
        <f t="shared" si="4"/>
        <v>221.31846251411847</v>
      </c>
      <c r="E25" s="444">
        <f t="shared" si="5"/>
        <v>12.389973368433106</v>
      </c>
      <c r="F25" s="444">
        <f t="shared" si="6"/>
        <v>3991.9439801291405</v>
      </c>
      <c r="G25" s="444">
        <f t="shared" si="7"/>
        <v>0</v>
      </c>
      <c r="H25" s="444">
        <f t="shared" si="8"/>
        <v>0</v>
      </c>
      <c r="I25" s="444">
        <f t="shared" si="9"/>
        <v>0</v>
      </c>
      <c r="J25" s="444">
        <f t="shared" si="10"/>
        <v>319.81375013404869</v>
      </c>
      <c r="K25" s="444">
        <f t="shared" si="11"/>
        <v>0</v>
      </c>
      <c r="L25" s="444">
        <f t="shared" si="12"/>
        <v>0</v>
      </c>
      <c r="M25" s="444">
        <f t="shared" si="13"/>
        <v>0</v>
      </c>
      <c r="N25" s="444">
        <f t="shared" si="14"/>
        <v>0</v>
      </c>
      <c r="O25" s="444">
        <f t="shared" si="15"/>
        <v>0</v>
      </c>
      <c r="P25" s="445">
        <f t="shared" si="16"/>
        <v>0</v>
      </c>
      <c r="Q25" s="443">
        <f t="shared" ca="1" si="17"/>
        <v>5773.8054218561347</v>
      </c>
    </row>
    <row r="26" spans="1:17">
      <c r="A26" s="443" t="s">
        <v>637</v>
      </c>
      <c r="B26" s="444">
        <f t="shared" ca="1" si="2"/>
        <v>17982.792213579698</v>
      </c>
      <c r="C26" s="444">
        <f t="shared" ca="1" si="3"/>
        <v>0</v>
      </c>
      <c r="D26" s="444">
        <f t="shared" si="4"/>
        <v>16354.92469103849</v>
      </c>
      <c r="E26" s="444">
        <f t="shared" si="5"/>
        <v>768.11450651022619</v>
      </c>
      <c r="F26" s="444">
        <f t="shared" si="6"/>
        <v>4206.3020533689596</v>
      </c>
      <c r="G26" s="444">
        <f t="shared" si="7"/>
        <v>0</v>
      </c>
      <c r="H26" s="444">
        <f t="shared" si="8"/>
        <v>0</v>
      </c>
      <c r="I26" s="444">
        <f t="shared" si="9"/>
        <v>0</v>
      </c>
      <c r="J26" s="444">
        <f t="shared" si="10"/>
        <v>94.811180420582403</v>
      </c>
      <c r="K26" s="444">
        <f t="shared" si="11"/>
        <v>0</v>
      </c>
      <c r="L26" s="444">
        <f t="shared" si="12"/>
        <v>0</v>
      </c>
      <c r="M26" s="444">
        <f t="shared" si="13"/>
        <v>0</v>
      </c>
      <c r="N26" s="444">
        <f t="shared" si="14"/>
        <v>0</v>
      </c>
      <c r="O26" s="444">
        <f t="shared" si="15"/>
        <v>0</v>
      </c>
      <c r="P26" s="445">
        <f t="shared" si="16"/>
        <v>0</v>
      </c>
      <c r="Q26" s="443">
        <f t="shared" ca="1" si="17"/>
        <v>39406.944644917952</v>
      </c>
    </row>
    <row r="27" spans="1:17" s="449" customFormat="1">
      <c r="A27" s="447" t="s">
        <v>558</v>
      </c>
      <c r="B27" s="747">
        <f t="shared" ca="1" si="2"/>
        <v>3.8524233923632756</v>
      </c>
      <c r="C27" s="448">
        <f t="shared" ca="1" si="3"/>
        <v>0</v>
      </c>
      <c r="D27" s="448">
        <f t="shared" si="4"/>
        <v>5.4364650471142726</v>
      </c>
      <c r="E27" s="448">
        <f t="shared" si="5"/>
        <v>66.283382502797366</v>
      </c>
      <c r="F27" s="448">
        <f t="shared" si="6"/>
        <v>0</v>
      </c>
      <c r="G27" s="448">
        <f t="shared" si="7"/>
        <v>28049.193083839713</v>
      </c>
      <c r="H27" s="448">
        <f t="shared" si="8"/>
        <v>3958.6028342104732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32083.368188992459</v>
      </c>
    </row>
    <row r="28" spans="1:17">
      <c r="A28" s="443" t="s">
        <v>548</v>
      </c>
      <c r="B28" s="444">
        <f t="shared" ca="1" si="2"/>
        <v>1.0935007381943438</v>
      </c>
      <c r="C28" s="444">
        <f t="shared" ca="1" si="3"/>
        <v>0</v>
      </c>
      <c r="D28" s="444">
        <f t="shared" si="4"/>
        <v>0</v>
      </c>
      <c r="E28" s="444">
        <f t="shared" si="5"/>
        <v>0</v>
      </c>
      <c r="F28" s="444">
        <f t="shared" si="6"/>
        <v>0</v>
      </c>
      <c r="G28" s="444">
        <f t="shared" si="7"/>
        <v>265.4062121702853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266.49971290847964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126.5568263009594</v>
      </c>
      <c r="C32" s="444">
        <f t="shared" ca="1" si="3"/>
        <v>0</v>
      </c>
      <c r="D32" s="444">
        <f t="shared" si="4"/>
        <v>172.54214999195364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299.09897629291305</v>
      </c>
    </row>
    <row r="33" spans="1:17" s="453" customFormat="1">
      <c r="A33" s="1009" t="s">
        <v>552</v>
      </c>
      <c r="B33" s="949">
        <f ca="1">SUM(B22:B32)</f>
        <v>26824.967048193426</v>
      </c>
      <c r="C33" s="949">
        <f t="shared" ref="C33:Q33" ca="1" si="18">SUM(C22:C32)</f>
        <v>0</v>
      </c>
      <c r="D33" s="949">
        <f t="shared" ca="1" si="18"/>
        <v>25222.623416853854</v>
      </c>
      <c r="E33" s="949">
        <f t="shared" si="18"/>
        <v>1160.6141916943175</v>
      </c>
      <c r="F33" s="949">
        <f t="shared" ca="1" si="18"/>
        <v>19470.450756898474</v>
      </c>
      <c r="G33" s="949">
        <f t="shared" si="18"/>
        <v>28314.599296009997</v>
      </c>
      <c r="H33" s="949">
        <f t="shared" si="18"/>
        <v>3958.6028342104732</v>
      </c>
      <c r="I33" s="949">
        <f t="shared" si="18"/>
        <v>0</v>
      </c>
      <c r="J33" s="949">
        <f t="shared" si="18"/>
        <v>744.54275276414148</v>
      </c>
      <c r="K33" s="949">
        <f t="shared" si="18"/>
        <v>0</v>
      </c>
      <c r="L33" s="949">
        <f t="shared" ca="1" si="18"/>
        <v>0</v>
      </c>
      <c r="M33" s="949">
        <f t="shared" si="18"/>
        <v>0</v>
      </c>
      <c r="N33" s="949">
        <f t="shared" ca="1" si="18"/>
        <v>0</v>
      </c>
      <c r="O33" s="949">
        <f t="shared" si="18"/>
        <v>0</v>
      </c>
      <c r="P33" s="949">
        <f t="shared" si="18"/>
        <v>0</v>
      </c>
      <c r="Q33" s="949">
        <f t="shared" ca="1" si="18"/>
        <v>105696.40029662468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7265.2722348242751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7308.9222348242747</v>
      </c>
      <c r="C10" s="1030">
        <f>SUM(C4:C9)</f>
        <v>0</v>
      </c>
      <c r="D10" s="1030">
        <f t="shared" ref="D10:H10" si="0">SUM(D8:D9)</f>
        <v>0</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0.20844823935544032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0</v>
      </c>
      <c r="D20" s="1030">
        <f t="shared" ref="D20:H20" si="2">SUM(D17:D19)</f>
        <v>0</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0.20844823935544032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0.20844823935544032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0.20844823935544032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4892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5008</v>
      </c>
      <c r="C14" s="324"/>
      <c r="D14" s="324"/>
      <c r="E14" s="324"/>
      <c r="F14" s="324"/>
    </row>
    <row r="15" spans="1:6">
      <c r="A15" s="1302" t="s">
        <v>177</v>
      </c>
      <c r="B15" s="1303">
        <v>52</v>
      </c>
      <c r="C15" s="324"/>
      <c r="D15" s="324"/>
      <c r="E15" s="324"/>
      <c r="F15" s="324"/>
    </row>
    <row r="16" spans="1:6">
      <c r="A16" s="1302" t="s">
        <v>6</v>
      </c>
      <c r="B16" s="1303">
        <v>1913</v>
      </c>
      <c r="C16" s="324"/>
      <c r="D16" s="324"/>
      <c r="E16" s="324"/>
      <c r="F16" s="324"/>
    </row>
    <row r="17" spans="1:6">
      <c r="A17" s="1302" t="s">
        <v>7</v>
      </c>
      <c r="B17" s="1303">
        <v>1360</v>
      </c>
      <c r="C17" s="324"/>
      <c r="D17" s="324"/>
      <c r="E17" s="324"/>
      <c r="F17" s="324"/>
    </row>
    <row r="18" spans="1:6">
      <c r="A18" s="1302" t="s">
        <v>8</v>
      </c>
      <c r="B18" s="1303">
        <v>1982</v>
      </c>
      <c r="C18" s="324"/>
      <c r="D18" s="324"/>
      <c r="E18" s="324"/>
      <c r="F18" s="324"/>
    </row>
    <row r="19" spans="1:6">
      <c r="A19" s="1302" t="s">
        <v>9</v>
      </c>
      <c r="B19" s="1303">
        <v>1776</v>
      </c>
      <c r="C19" s="324"/>
      <c r="D19" s="324"/>
      <c r="E19" s="324"/>
      <c r="F19" s="324"/>
    </row>
    <row r="20" spans="1:6">
      <c r="A20" s="1302" t="s">
        <v>10</v>
      </c>
      <c r="B20" s="1303">
        <v>1429</v>
      </c>
      <c r="C20" s="324"/>
      <c r="D20" s="324"/>
      <c r="E20" s="324"/>
      <c r="F20" s="324"/>
    </row>
    <row r="21" spans="1:6">
      <c r="A21" s="1302" t="s">
        <v>11</v>
      </c>
      <c r="B21" s="1303">
        <v>29278</v>
      </c>
      <c r="C21" s="324"/>
      <c r="D21" s="324"/>
      <c r="E21" s="324"/>
      <c r="F21" s="324"/>
    </row>
    <row r="22" spans="1:6">
      <c r="A22" s="1302" t="s">
        <v>12</v>
      </c>
      <c r="B22" s="1303">
        <v>71511</v>
      </c>
      <c r="C22" s="324"/>
      <c r="D22" s="324"/>
      <c r="E22" s="324"/>
      <c r="F22" s="324"/>
    </row>
    <row r="23" spans="1:6">
      <c r="A23" s="1302" t="s">
        <v>13</v>
      </c>
      <c r="B23" s="1303">
        <v>687</v>
      </c>
      <c r="C23" s="324"/>
      <c r="D23" s="324"/>
      <c r="E23" s="324"/>
      <c r="F23" s="324"/>
    </row>
    <row r="24" spans="1:6">
      <c r="A24" s="1302" t="s">
        <v>14</v>
      </c>
      <c r="B24" s="1303">
        <v>122</v>
      </c>
      <c r="C24" s="324"/>
      <c r="D24" s="324"/>
      <c r="E24" s="324"/>
      <c r="F24" s="324"/>
    </row>
    <row r="25" spans="1:6">
      <c r="A25" s="1302" t="s">
        <v>15</v>
      </c>
      <c r="B25" s="1303">
        <v>5915</v>
      </c>
      <c r="C25" s="324"/>
      <c r="D25" s="324"/>
      <c r="E25" s="324"/>
      <c r="F25" s="324"/>
    </row>
    <row r="26" spans="1:6">
      <c r="A26" s="1302" t="s">
        <v>16</v>
      </c>
      <c r="B26" s="1303">
        <v>1212</v>
      </c>
      <c r="C26" s="324"/>
      <c r="D26" s="324"/>
      <c r="E26" s="324"/>
      <c r="F26" s="324"/>
    </row>
    <row r="27" spans="1:6">
      <c r="A27" s="1302" t="s">
        <v>17</v>
      </c>
      <c r="B27" s="1303">
        <v>5</v>
      </c>
      <c r="C27" s="324"/>
      <c r="D27" s="324"/>
      <c r="E27" s="324"/>
      <c r="F27" s="324"/>
    </row>
    <row r="28" spans="1:6">
      <c r="A28" s="1302" t="s">
        <v>18</v>
      </c>
      <c r="B28" s="1304">
        <v>322540</v>
      </c>
      <c r="C28" s="324"/>
      <c r="D28" s="324"/>
      <c r="E28" s="324"/>
      <c r="F28" s="324"/>
    </row>
    <row r="29" spans="1:6">
      <c r="A29" s="1302" t="s">
        <v>918</v>
      </c>
      <c r="B29" s="1304">
        <v>271</v>
      </c>
      <c r="C29" s="324"/>
      <c r="D29" s="324"/>
      <c r="E29" s="324"/>
      <c r="F29" s="324"/>
    </row>
    <row r="30" spans="1:6">
      <c r="A30" s="1297" t="s">
        <v>919</v>
      </c>
      <c r="B30" s="1305">
        <v>39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5</v>
      </c>
      <c r="F36" s="1303">
        <v>19217.07</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6139.3890000000001</v>
      </c>
    </row>
    <row r="39" spans="1:6">
      <c r="A39" s="1302" t="s">
        <v>29</v>
      </c>
      <c r="B39" s="1302" t="s">
        <v>30</v>
      </c>
      <c r="C39" s="1303">
        <v>2478</v>
      </c>
      <c r="D39" s="1303">
        <v>35391575.530587398</v>
      </c>
      <c r="E39" s="1303">
        <v>4470</v>
      </c>
      <c r="F39" s="1303">
        <v>18137211</v>
      </c>
    </row>
    <row r="40" spans="1:6">
      <c r="A40" s="1302" t="s">
        <v>29</v>
      </c>
      <c r="B40" s="1302" t="s">
        <v>28</v>
      </c>
      <c r="C40" s="1303">
        <v>0</v>
      </c>
      <c r="D40" s="1303">
        <v>0</v>
      </c>
      <c r="E40" s="1303">
        <v>0</v>
      </c>
      <c r="F40" s="1303">
        <v>0</v>
      </c>
    </row>
    <row r="41" spans="1:6">
      <c r="A41" s="1302" t="s">
        <v>31</v>
      </c>
      <c r="B41" s="1302" t="s">
        <v>32</v>
      </c>
      <c r="C41" s="1303">
        <v>63</v>
      </c>
      <c r="D41" s="1303">
        <v>973233.15304246102</v>
      </c>
      <c r="E41" s="1303">
        <v>151</v>
      </c>
      <c r="F41" s="1303">
        <v>986665.4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73597.905089386404</v>
      </c>
      <c r="E44" s="1303">
        <v>19</v>
      </c>
      <c r="F44" s="1303">
        <v>387671.5</v>
      </c>
    </row>
    <row r="45" spans="1:6">
      <c r="A45" s="1302" t="s">
        <v>31</v>
      </c>
      <c r="B45" s="1302" t="s">
        <v>36</v>
      </c>
      <c r="C45" s="1303">
        <v>0</v>
      </c>
      <c r="D45" s="1303">
        <v>0</v>
      </c>
      <c r="E45" s="1303">
        <v>3</v>
      </c>
      <c r="F45" s="1303">
        <v>9663850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26</v>
      </c>
      <c r="D48" s="1303">
        <v>86713174.615361407</v>
      </c>
      <c r="E48" s="1303">
        <v>34</v>
      </c>
      <c r="F48" s="1303">
        <v>59577479</v>
      </c>
    </row>
    <row r="49" spans="1:6">
      <c r="A49" s="1302" t="s">
        <v>31</v>
      </c>
      <c r="B49" s="1302" t="s">
        <v>39</v>
      </c>
      <c r="C49" s="1303">
        <v>3</v>
      </c>
      <c r="D49" s="1303">
        <v>1770835.4407729399</v>
      </c>
      <c r="E49" s="1303">
        <v>4</v>
      </c>
      <c r="F49" s="1303">
        <v>15505757</v>
      </c>
    </row>
    <row r="50" spans="1:6">
      <c r="A50" s="1302" t="s">
        <v>31</v>
      </c>
      <c r="B50" s="1302" t="s">
        <v>40</v>
      </c>
      <c r="C50" s="1303">
        <v>5</v>
      </c>
      <c r="D50" s="1303">
        <v>230770.546501345</v>
      </c>
      <c r="E50" s="1303">
        <v>4</v>
      </c>
      <c r="F50" s="1303">
        <v>148397.70000000001</v>
      </c>
    </row>
    <row r="51" spans="1:6">
      <c r="A51" s="1302" t="s">
        <v>41</v>
      </c>
      <c r="B51" s="1302" t="s">
        <v>42</v>
      </c>
      <c r="C51" s="1303">
        <v>17</v>
      </c>
      <c r="D51" s="1303">
        <v>1007979.04835116</v>
      </c>
      <c r="E51" s="1303">
        <v>252</v>
      </c>
      <c r="F51" s="1303">
        <v>5888692</v>
      </c>
    </row>
    <row r="52" spans="1:6">
      <c r="A52" s="1302" t="s">
        <v>41</v>
      </c>
      <c r="B52" s="1302" t="s">
        <v>28</v>
      </c>
      <c r="C52" s="1303">
        <v>3</v>
      </c>
      <c r="D52" s="1303">
        <v>206694.95723663401</v>
      </c>
      <c r="E52" s="1303">
        <v>3</v>
      </c>
      <c r="F52" s="1303">
        <v>4086.2719999999999</v>
      </c>
    </row>
    <row r="53" spans="1:6">
      <c r="A53" s="1302" t="s">
        <v>43</v>
      </c>
      <c r="B53" s="1302" t="s">
        <v>44</v>
      </c>
      <c r="C53" s="1303">
        <v>59</v>
      </c>
      <c r="D53" s="1303">
        <v>854169.05936610699</v>
      </c>
      <c r="E53" s="1303">
        <v>162</v>
      </c>
      <c r="F53" s="1303">
        <v>607137.9</v>
      </c>
    </row>
    <row r="54" spans="1:6">
      <c r="A54" s="1302" t="s">
        <v>45</v>
      </c>
      <c r="B54" s="1302" t="s">
        <v>46</v>
      </c>
      <c r="C54" s="1303">
        <v>0</v>
      </c>
      <c r="D54" s="1303">
        <v>0</v>
      </c>
      <c r="E54" s="1303">
        <v>1</v>
      </c>
      <c r="F54" s="1303">
        <v>889477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40</v>
      </c>
      <c r="D57" s="1303">
        <v>4578424.6065875599</v>
      </c>
      <c r="E57" s="1303">
        <v>97</v>
      </c>
      <c r="F57" s="1303">
        <v>4903130</v>
      </c>
    </row>
    <row r="58" spans="1:6">
      <c r="A58" s="1302" t="s">
        <v>48</v>
      </c>
      <c r="B58" s="1302" t="s">
        <v>50</v>
      </c>
      <c r="C58" s="1303">
        <v>14</v>
      </c>
      <c r="D58" s="1303">
        <v>385547.599495353</v>
      </c>
      <c r="E58" s="1303">
        <v>27</v>
      </c>
      <c r="F58" s="1303">
        <v>174640.5</v>
      </c>
    </row>
    <row r="59" spans="1:6">
      <c r="A59" s="1302" t="s">
        <v>48</v>
      </c>
      <c r="B59" s="1302" t="s">
        <v>51</v>
      </c>
      <c r="C59" s="1303">
        <v>25</v>
      </c>
      <c r="D59" s="1303">
        <v>791571.08992294397</v>
      </c>
      <c r="E59" s="1303">
        <v>113</v>
      </c>
      <c r="F59" s="1303">
        <v>2962648</v>
      </c>
    </row>
    <row r="60" spans="1:6">
      <c r="A60" s="1302" t="s">
        <v>48</v>
      </c>
      <c r="B60" s="1302" t="s">
        <v>52</v>
      </c>
      <c r="C60" s="1303">
        <v>27</v>
      </c>
      <c r="D60" s="1303">
        <v>615129.69748126704</v>
      </c>
      <c r="E60" s="1303">
        <v>55</v>
      </c>
      <c r="F60" s="1303">
        <v>968942.2</v>
      </c>
    </row>
    <row r="61" spans="1:6">
      <c r="A61" s="1302" t="s">
        <v>48</v>
      </c>
      <c r="B61" s="1302" t="s">
        <v>53</v>
      </c>
      <c r="C61" s="1303">
        <v>61</v>
      </c>
      <c r="D61" s="1303">
        <v>1499760.50326307</v>
      </c>
      <c r="E61" s="1303">
        <v>133</v>
      </c>
      <c r="F61" s="1303">
        <v>1445794</v>
      </c>
    </row>
    <row r="62" spans="1:6">
      <c r="A62" s="1302" t="s">
        <v>48</v>
      </c>
      <c r="B62" s="1302" t="s">
        <v>54</v>
      </c>
      <c r="C62" s="1303">
        <v>4</v>
      </c>
      <c r="D62" s="1303">
        <v>238777.20194103499</v>
      </c>
      <c r="E62" s="1303">
        <v>5</v>
      </c>
      <c r="F62" s="1303">
        <v>89335.47</v>
      </c>
    </row>
    <row r="63" spans="1:6">
      <c r="A63" s="1302" t="s">
        <v>48</v>
      </c>
      <c r="B63" s="1302" t="s">
        <v>28</v>
      </c>
      <c r="C63" s="1303">
        <v>59</v>
      </c>
      <c r="D63" s="1303">
        <v>2976797.4036941901</v>
      </c>
      <c r="E63" s="1303">
        <v>75</v>
      </c>
      <c r="F63" s="1303">
        <v>2430836</v>
      </c>
    </row>
    <row r="64" spans="1:6">
      <c r="A64" s="1302" t="s">
        <v>55</v>
      </c>
      <c r="B64" s="1302" t="s">
        <v>56</v>
      </c>
      <c r="C64" s="1303">
        <v>0</v>
      </c>
      <c r="D64" s="1303">
        <v>0</v>
      </c>
      <c r="E64" s="1303">
        <v>0</v>
      </c>
      <c r="F64" s="1303">
        <v>0</v>
      </c>
    </row>
    <row r="65" spans="1:6">
      <c r="A65" s="1302" t="s">
        <v>55</v>
      </c>
      <c r="B65" s="1302" t="s">
        <v>28</v>
      </c>
      <c r="C65" s="1303">
        <v>0</v>
      </c>
      <c r="D65" s="1303">
        <v>0</v>
      </c>
      <c r="E65" s="1303">
        <v>3</v>
      </c>
      <c r="F65" s="1303">
        <v>11664.25</v>
      </c>
    </row>
    <row r="66" spans="1:6">
      <c r="A66" s="1302" t="s">
        <v>55</v>
      </c>
      <c r="B66" s="1302" t="s">
        <v>57</v>
      </c>
      <c r="C66" s="1303">
        <v>0</v>
      </c>
      <c r="D66" s="1303">
        <v>0</v>
      </c>
      <c r="E66" s="1303">
        <v>7</v>
      </c>
      <c r="F66" s="1303">
        <v>172288.7</v>
      </c>
    </row>
    <row r="67" spans="1:6">
      <c r="A67" s="1302" t="s">
        <v>55</v>
      </c>
      <c r="B67" s="1302" t="s">
        <v>58</v>
      </c>
      <c r="C67" s="1303">
        <v>0</v>
      </c>
      <c r="D67" s="1303">
        <v>0</v>
      </c>
      <c r="E67" s="1303">
        <v>0</v>
      </c>
      <c r="F67" s="1303">
        <v>0</v>
      </c>
    </row>
    <row r="68" spans="1:6">
      <c r="A68" s="1297" t="s">
        <v>55</v>
      </c>
      <c r="B68" s="1297" t="s">
        <v>59</v>
      </c>
      <c r="C68" s="1305">
        <v>4</v>
      </c>
      <c r="D68" s="1305">
        <v>115839.42725960301</v>
      </c>
      <c r="E68" s="1305">
        <v>13</v>
      </c>
      <c r="F68" s="1305">
        <v>67510.7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37590571</v>
      </c>
      <c r="E73" s="442"/>
      <c r="F73" s="324"/>
    </row>
    <row r="74" spans="1:6">
      <c r="A74" s="1302" t="s">
        <v>63</v>
      </c>
      <c r="B74" s="1302" t="s">
        <v>695</v>
      </c>
      <c r="C74" s="1315" t="s">
        <v>697</v>
      </c>
      <c r="D74" s="1303">
        <v>4941583.9066494936</v>
      </c>
      <c r="E74" s="442"/>
      <c r="F74" s="324"/>
    </row>
    <row r="75" spans="1:6">
      <c r="A75" s="1302" t="s">
        <v>64</v>
      </c>
      <c r="B75" s="1302" t="s">
        <v>694</v>
      </c>
      <c r="C75" s="1315" t="s">
        <v>698</v>
      </c>
      <c r="D75" s="1303">
        <v>17491982</v>
      </c>
      <c r="E75" s="442"/>
      <c r="F75" s="324"/>
    </row>
    <row r="76" spans="1:6">
      <c r="A76" s="1302" t="s">
        <v>64</v>
      </c>
      <c r="B76" s="1302" t="s">
        <v>695</v>
      </c>
      <c r="C76" s="1315" t="s">
        <v>699</v>
      </c>
      <c r="D76" s="1303">
        <v>834922.9066494935</v>
      </c>
      <c r="E76" s="442"/>
      <c r="F76" s="324"/>
    </row>
    <row r="77" spans="1:6">
      <c r="A77" s="1302" t="s">
        <v>65</v>
      </c>
      <c r="B77" s="1302" t="s">
        <v>694</v>
      </c>
      <c r="C77" s="1315" t="s">
        <v>700</v>
      </c>
      <c r="D77" s="1303">
        <v>68331216</v>
      </c>
      <c r="E77" s="442"/>
      <c r="F77" s="324"/>
    </row>
    <row r="78" spans="1:6">
      <c r="A78" s="1297" t="s">
        <v>65</v>
      </c>
      <c r="B78" s="1297" t="s">
        <v>695</v>
      </c>
      <c r="C78" s="1297" t="s">
        <v>701</v>
      </c>
      <c r="D78" s="1305">
        <v>10718477</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283758.18670101301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3849.7353383313871</v>
      </c>
      <c r="C91" s="324"/>
      <c r="D91" s="324"/>
      <c r="E91" s="324"/>
      <c r="F91" s="324"/>
    </row>
    <row r="92" spans="1:6">
      <c r="A92" s="1297" t="s">
        <v>68</v>
      </c>
      <c r="B92" s="1298">
        <v>3415.5368964928884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1371</v>
      </c>
      <c r="C97" s="324"/>
      <c r="D97" s="324"/>
      <c r="E97" s="324"/>
      <c r="F97" s="324"/>
    </row>
    <row r="98" spans="1:6">
      <c r="A98" s="1302" t="s">
        <v>71</v>
      </c>
      <c r="B98" s="1303">
        <v>0</v>
      </c>
      <c r="C98" s="324"/>
      <c r="D98" s="324"/>
      <c r="E98" s="324"/>
      <c r="F98" s="324"/>
    </row>
    <row r="99" spans="1:6">
      <c r="A99" s="1302" t="s">
        <v>72</v>
      </c>
      <c r="B99" s="1303">
        <v>212</v>
      </c>
      <c r="C99" s="324"/>
      <c r="D99" s="324"/>
      <c r="E99" s="324"/>
      <c r="F99" s="324"/>
    </row>
    <row r="100" spans="1:6">
      <c r="A100" s="1302" t="s">
        <v>73</v>
      </c>
      <c r="B100" s="1303">
        <v>316</v>
      </c>
      <c r="C100" s="324"/>
      <c r="D100" s="324"/>
      <c r="E100" s="324"/>
      <c r="F100" s="324"/>
    </row>
    <row r="101" spans="1:6">
      <c r="A101" s="1302" t="s">
        <v>74</v>
      </c>
      <c r="B101" s="1303">
        <v>182</v>
      </c>
      <c r="C101" s="324"/>
      <c r="D101" s="324"/>
      <c r="E101" s="324"/>
      <c r="F101" s="324"/>
    </row>
    <row r="102" spans="1:6">
      <c r="A102" s="1302" t="s">
        <v>75</v>
      </c>
      <c r="B102" s="1303">
        <v>54</v>
      </c>
      <c r="C102" s="324"/>
      <c r="D102" s="324"/>
      <c r="E102" s="324"/>
      <c r="F102" s="324"/>
    </row>
    <row r="103" spans="1:6">
      <c r="A103" s="1302" t="s">
        <v>76</v>
      </c>
      <c r="B103" s="1303">
        <v>291</v>
      </c>
      <c r="C103" s="324"/>
      <c r="D103" s="324"/>
      <c r="E103" s="324"/>
      <c r="F103" s="324"/>
    </row>
    <row r="104" spans="1:6">
      <c r="A104" s="1302" t="s">
        <v>77</v>
      </c>
      <c r="B104" s="1303">
        <v>1851</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13</v>
      </c>
      <c r="D123" s="324"/>
      <c r="E123" s="324"/>
      <c r="F123" s="324"/>
    </row>
    <row r="124" spans="1:6">
      <c r="A124" s="1302" t="s">
        <v>88</v>
      </c>
      <c r="B124" s="1303">
        <v>1</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191</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128688.86362936466</v>
      </c>
      <c r="C3" s="43" t="s">
        <v>163</v>
      </c>
      <c r="D3" s="43"/>
      <c r="E3" s="154"/>
      <c r="F3" s="43"/>
      <c r="G3" s="43"/>
      <c r="H3" s="43"/>
      <c r="I3" s="43"/>
      <c r="J3" s="43"/>
      <c r="K3" s="96"/>
    </row>
    <row r="4" spans="1:11">
      <c r="A4" s="351" t="s">
        <v>164</v>
      </c>
      <c r="B4" s="49">
        <f>IF(ISERROR('SEAP template'!B78+'SEAP template'!C78),0,'SEAP template'!B78+'SEAP template'!C78)</f>
        <v>7308.9222348242747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0.20844823935544032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62.357142857142847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889.47699999999998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889.47699999999998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0.20844823935544032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185.40991459715897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18137.210999999999</v>
      </c>
      <c r="C5" s="17">
        <f>IF(ISERROR('Eigen informatie GS &amp; warmtenet'!B57),0,'Eigen informatie GS &amp; warmtenet'!B57)</f>
        <v>0</v>
      </c>
      <c r="D5" s="30">
        <f>(SUM(HH_hh_gas_kWh,HH_rest_gas_kWh)/1000)*0.902</f>
        <v>31923.201128589833</v>
      </c>
      <c r="E5" s="17">
        <f>B32*B41</f>
        <v>1266.8297559886414</v>
      </c>
      <c r="F5" s="17">
        <f>B36*B45</f>
        <v>39964.526539273174</v>
      </c>
      <c r="G5" s="18"/>
      <c r="H5" s="17"/>
      <c r="I5" s="17"/>
      <c r="J5" s="17">
        <f>B35*B44+C35*C44</f>
        <v>931.97124917940766</v>
      </c>
      <c r="K5" s="17"/>
      <c r="L5" s="17"/>
      <c r="M5" s="17"/>
      <c r="N5" s="17">
        <f>B34*B43+C34*C43</f>
        <v>5841.4238266403217</v>
      </c>
      <c r="O5" s="17">
        <f>B52*B53*B54</f>
        <v>322.04666666666668</v>
      </c>
      <c r="P5" s="17">
        <f>B60*B61*B62/1000-B60*B61*B62/1000/B63</f>
        <v>400.4</v>
      </c>
    </row>
    <row r="6" spans="1:16">
      <c r="A6" s="16" t="s">
        <v>618</v>
      </c>
      <c r="B6" s="755">
        <f>kWh_PV_kleiner_dan_10kW</f>
        <v>3849.7353383313871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21986.946338331385</v>
      </c>
      <c r="C8" s="21">
        <f>C5</f>
        <v>0</v>
      </c>
      <c r="D8" s="21">
        <f>D5</f>
        <v>31923.201128589833</v>
      </c>
      <c r="E8" s="21">
        <f>E5</f>
        <v>1266.8297559886414</v>
      </c>
      <c r="F8" s="21">
        <f>F5</f>
        <v>39964.526539273174</v>
      </c>
      <c r="G8" s="21"/>
      <c r="H8" s="21"/>
      <c r="I8" s="21"/>
      <c r="J8" s="21">
        <f>J5</f>
        <v>931.97124917940766</v>
      </c>
      <c r="K8" s="21"/>
      <c r="L8" s="21">
        <f>L5</f>
        <v>0</v>
      </c>
      <c r="M8" s="21">
        <f>M5</f>
        <v>0</v>
      </c>
      <c r="N8" s="21">
        <f>N5</f>
        <v>5841.4238266403217</v>
      </c>
      <c r="O8" s="21">
        <f>O5</f>
        <v>322.04666666666668</v>
      </c>
      <c r="P8" s="21">
        <f>P5</f>
        <v>400.4</v>
      </c>
    </row>
    <row r="9" spans="1:16">
      <c r="B9" s="19"/>
      <c r="C9" s="19"/>
      <c r="D9" s="254"/>
      <c r="E9" s="19"/>
      <c r="F9" s="19"/>
      <c r="G9" s="19"/>
      <c r="H9" s="19"/>
      <c r="I9" s="19"/>
      <c r="J9" s="19"/>
      <c r="K9" s="19"/>
      <c r="L9" s="19"/>
      <c r="M9" s="19"/>
      <c r="N9" s="19"/>
      <c r="O9" s="19"/>
      <c r="P9" s="19"/>
    </row>
    <row r="10" spans="1:16">
      <c r="A10" s="24" t="s">
        <v>207</v>
      </c>
      <c r="B10" s="25">
        <f ca="1">'EF ele_warmte'!B12</f>
        <v>0.20844823935544032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4583.1402530277228</v>
      </c>
      <c r="C12" s="23">
        <f ca="1">C10*C8</f>
        <v>0</v>
      </c>
      <c r="D12" s="23">
        <f>D8*D10</f>
        <v>6448.4866279751468</v>
      </c>
      <c r="E12" s="23">
        <f>E10*E8</f>
        <v>287.5703546094216</v>
      </c>
      <c r="F12" s="23">
        <f>F10*F8</f>
        <v>10670.528585985938</v>
      </c>
      <c r="G12" s="23"/>
      <c r="H12" s="23"/>
      <c r="I12" s="23"/>
      <c r="J12" s="23">
        <f>J10*J8</f>
        <v>329.91782220951029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4892</v>
      </c>
      <c r="C26" s="36"/>
      <c r="D26" s="225"/>
    </row>
    <row r="27" spans="1:5" s="15" customFormat="1">
      <c r="A27" s="227" t="s">
        <v>721</v>
      </c>
      <c r="B27" s="37">
        <f>SUM(HH_hh_gas_aantal,HH_rest_gas_aantal)</f>
        <v>2478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2354.1</v>
      </c>
      <c r="C31" s="34" t="s">
        <v>104</v>
      </c>
      <c r="D31" s="171"/>
    </row>
    <row r="32" spans="1:5">
      <c r="A32" s="168" t="s">
        <v>72</v>
      </c>
      <c r="B32" s="33">
        <f>IF((B21*($B$26-($B$27-0.05*$B$27)-$B$60))&lt;0,0,B21*($B$26-($B$27-0.05*$B$27)-$B$60))</f>
        <v>15.869609349610077</v>
      </c>
      <c r="C32" s="34" t="s">
        <v>104</v>
      </c>
      <c r="D32" s="171"/>
    </row>
    <row r="33" spans="1:6">
      <c r="A33" s="168" t="s">
        <v>73</v>
      </c>
      <c r="B33" s="33">
        <f>IF((B22*($B$26-($B$27-0.05*$B$27)-$B$60))&lt;0,0,B22*($B$26-($B$27-0.05*$B$27)-$B$60))</f>
        <v>552.63744731342854</v>
      </c>
      <c r="C33" s="34" t="s">
        <v>104</v>
      </c>
      <c r="D33" s="171"/>
    </row>
    <row r="34" spans="1:6">
      <c r="A34" s="168" t="s">
        <v>74</v>
      </c>
      <c r="B34" s="33">
        <f>IF((B24*($B$26-($B$27-0.05*$B$27)-$B$60))&lt;0,0,B24*($B$26-($B$27-0.05*$B$27)-$B$60))</f>
        <v>109.69608846471948</v>
      </c>
      <c r="C34" s="33">
        <f>B26*C24</f>
        <v>1000.9016464206489</v>
      </c>
      <c r="D34" s="230"/>
    </row>
    <row r="35" spans="1:6">
      <c r="A35" s="168" t="s">
        <v>76</v>
      </c>
      <c r="B35" s="33">
        <f>IF((B19*($B$26-($B$27-0.05*$B$27)-$B$60))&lt;0,0,B19*($B$26-($B$27-0.05*$B$27)-$B$60))</f>
        <v>53.592777585323944</v>
      </c>
      <c r="C35" s="33">
        <f>B35/2</f>
        <v>26.796388792661972</v>
      </c>
      <c r="D35" s="230"/>
    </row>
    <row r="36" spans="1:6">
      <c r="A36" s="168" t="s">
        <v>77</v>
      </c>
      <c r="B36" s="33">
        <f>IF((B18*($B$26-($B$27-0.05*$B$27)-$B$60))&lt;0,0,B18*($B$26-($B$27-0.05*$B$27)-$B$60))</f>
        <v>1785.1040772869189</v>
      </c>
      <c r="C36" s="34" t="s">
        <v>104</v>
      </c>
      <c r="D36" s="171"/>
    </row>
    <row r="37" spans="1:6">
      <c r="A37" s="168" t="s">
        <v>78</v>
      </c>
      <c r="B37" s="33">
        <f>B60</f>
        <v>21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206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12975.32617</v>
      </c>
      <c r="C5" s="17">
        <f>IF(ISERROR('Eigen informatie GS &amp; warmtenet'!B58),0,'Eigen informatie GS &amp; warmtenet'!B58)</f>
        <v>0</v>
      </c>
      <c r="D5" s="30">
        <f>SUM(D6:D12)</f>
        <v>9999.5793083516473</v>
      </c>
      <c r="E5" s="17">
        <f>SUM(E6:E12)</f>
        <v>115.66508679929181</v>
      </c>
      <c r="F5" s="17">
        <f>SUM(F6:F12)</f>
        <v>2253.468679454817</v>
      </c>
      <c r="G5" s="18"/>
      <c r="H5" s="17"/>
      <c r="I5" s="17"/>
      <c r="J5" s="17">
        <f>SUM(J6:J12)</f>
        <v>0</v>
      </c>
      <c r="K5" s="17"/>
      <c r="L5" s="17"/>
      <c r="M5" s="17"/>
      <c r="N5" s="17">
        <f>SUM(N6:N12)</f>
        <v>3701.3631601863553</v>
      </c>
      <c r="O5" s="17">
        <f>B38*B39*B40</f>
        <v>1.5633333333333335</v>
      </c>
      <c r="P5" s="17">
        <f>B46*B47*B48/1000-B46*B47*B48/1000/B49</f>
        <v>19.066666666666666</v>
      </c>
      <c r="R5" s="32"/>
    </row>
    <row r="6" spans="1:18">
      <c r="A6" s="32" t="s">
        <v>53</v>
      </c>
      <c r="B6" s="37">
        <f>B26</f>
        <v>1445.7940000000001</v>
      </c>
      <c r="C6" s="33"/>
      <c r="D6" s="37">
        <f>IF(ISERROR(TER_kantoor_gas_kWh/1000),0,TER_kantoor_gas_kWh/1000)*0.902</f>
        <v>1352.7839739432891</v>
      </c>
      <c r="E6" s="33">
        <f>$C$26*'E Balans VL '!I12/100/3.6*1000000</f>
        <v>4.1886773460579878</v>
      </c>
      <c r="F6" s="33">
        <f>$C$26*('E Balans VL '!L12+'E Balans VL '!N12)/100/3.6*1000000</f>
        <v>163.63202748851805</v>
      </c>
      <c r="G6" s="34"/>
      <c r="H6" s="33"/>
      <c r="I6" s="33"/>
      <c r="J6" s="33">
        <f>$C$26*('E Balans VL '!D12+'E Balans VL '!E12)/100/3.6*1000000</f>
        <v>0</v>
      </c>
      <c r="K6" s="33"/>
      <c r="L6" s="33"/>
      <c r="M6" s="33"/>
      <c r="N6" s="33">
        <f>$C$26*'E Balans VL '!Y12/100/3.6*1000000</f>
        <v>14.471332631416081</v>
      </c>
      <c r="O6" s="33"/>
      <c r="P6" s="33"/>
      <c r="R6" s="32"/>
    </row>
    <row r="7" spans="1:18">
      <c r="A7" s="32" t="s">
        <v>52</v>
      </c>
      <c r="B7" s="37">
        <f t="shared" ref="B7:B12" si="0">B27</f>
        <v>968.94219999999996</v>
      </c>
      <c r="C7" s="33"/>
      <c r="D7" s="37">
        <f>IF(ISERROR(TER_horeca_gas_kWh/1000),0,TER_horeca_gas_kWh/1000)*0.902</f>
        <v>554.84698712810291</v>
      </c>
      <c r="E7" s="33">
        <f>$C$27*'E Balans VL '!I9/100/3.6*1000000</f>
        <v>40.673486384997283</v>
      </c>
      <c r="F7" s="33">
        <f>$C$27*('E Balans VL '!L9+'E Balans VL '!N9)/100/3.6*1000000</f>
        <v>208.19710170122906</v>
      </c>
      <c r="G7" s="34"/>
      <c r="H7" s="33"/>
      <c r="I7" s="33"/>
      <c r="J7" s="33">
        <f>$C$27*('E Balans VL '!D9+'E Balans VL '!E9)/100/3.6*1000000</f>
        <v>0</v>
      </c>
      <c r="K7" s="33"/>
      <c r="L7" s="33"/>
      <c r="M7" s="33"/>
      <c r="N7" s="33">
        <f>$C$27*'E Balans VL '!Y9/100/3.6*1000000</f>
        <v>0.24968793123305769</v>
      </c>
      <c r="O7" s="33"/>
      <c r="P7" s="33"/>
      <c r="R7" s="32"/>
    </row>
    <row r="8" spans="1:18">
      <c r="A8" s="6" t="s">
        <v>51</v>
      </c>
      <c r="B8" s="37">
        <f t="shared" si="0"/>
        <v>2962.6480000000001</v>
      </c>
      <c r="C8" s="33"/>
      <c r="D8" s="37">
        <f>IF(ISERROR(TER_handel_gas_kWh/1000),0,TER_handel_gas_kWh/1000)*0.902</f>
        <v>713.99712311049552</v>
      </c>
      <c r="E8" s="33">
        <f>$C$28*'E Balans VL '!I13/100/3.6*1000000</f>
        <v>31.821305261837772</v>
      </c>
      <c r="F8" s="33">
        <f>$C$28*('E Balans VL '!L13+'E Balans VL '!N13)/100/3.6*1000000</f>
        <v>383.53924864284227</v>
      </c>
      <c r="G8" s="34"/>
      <c r="H8" s="33"/>
      <c r="I8" s="33"/>
      <c r="J8" s="33">
        <f>$C$28*('E Balans VL '!D13+'E Balans VL '!E13)/100/3.6*1000000</f>
        <v>0</v>
      </c>
      <c r="K8" s="33"/>
      <c r="L8" s="33"/>
      <c r="M8" s="33"/>
      <c r="N8" s="33">
        <f>$C$28*'E Balans VL '!Y13/100/3.6*1000000</f>
        <v>24.033162343614382</v>
      </c>
      <c r="O8" s="33"/>
      <c r="P8" s="33"/>
      <c r="R8" s="32"/>
    </row>
    <row r="9" spans="1:18">
      <c r="A9" s="32" t="s">
        <v>50</v>
      </c>
      <c r="B9" s="37">
        <f t="shared" si="0"/>
        <v>174.6405</v>
      </c>
      <c r="C9" s="33"/>
      <c r="D9" s="37">
        <f>IF(ISERROR(TER_gezond_gas_kWh/1000),0,TER_gezond_gas_kWh/1000)*0.902</f>
        <v>347.76393474480841</v>
      </c>
      <c r="E9" s="33">
        <f>$C$29*'E Balans VL '!I10/100/3.6*1000000</f>
        <v>0.13902513344492609</v>
      </c>
      <c r="F9" s="33">
        <f>$C$29*('E Balans VL '!L10+'E Balans VL '!N10)/100/3.6*1000000</f>
        <v>21.230076557543121</v>
      </c>
      <c r="G9" s="34"/>
      <c r="H9" s="33"/>
      <c r="I9" s="33"/>
      <c r="J9" s="33">
        <f>$C$29*('E Balans VL '!D10+'E Balans VL '!E10)/100/3.6*1000000</f>
        <v>0</v>
      </c>
      <c r="K9" s="33"/>
      <c r="L9" s="33"/>
      <c r="M9" s="33"/>
      <c r="N9" s="33">
        <f>$C$29*'E Balans VL '!Y10/100/3.6*1000000</f>
        <v>1.4106996910395018</v>
      </c>
      <c r="O9" s="33"/>
      <c r="P9" s="33"/>
      <c r="R9" s="32"/>
    </row>
    <row r="10" spans="1:18">
      <c r="A10" s="32" t="s">
        <v>49</v>
      </c>
      <c r="B10" s="37">
        <f t="shared" si="0"/>
        <v>4903.13</v>
      </c>
      <c r="C10" s="33"/>
      <c r="D10" s="37">
        <f>IF(ISERROR(TER_ander_gas_kWh/1000),0,TER_ander_gas_kWh/1000)*0.902</f>
        <v>4129.7389951419791</v>
      </c>
      <c r="E10" s="33">
        <f>$C$30*'E Balans VL '!I14/100/3.6*1000000</f>
        <v>16.803284087432388</v>
      </c>
      <c r="F10" s="33">
        <f>$C$30*('E Balans VL '!L14+'E Balans VL '!N14)/100/3.6*1000000</f>
        <v>1095.1600022665434</v>
      </c>
      <c r="G10" s="34"/>
      <c r="H10" s="33"/>
      <c r="I10" s="33"/>
      <c r="J10" s="33">
        <f>$C$30*('E Balans VL '!D14+'E Balans VL '!E14)/100/3.6*1000000</f>
        <v>0</v>
      </c>
      <c r="K10" s="33"/>
      <c r="L10" s="33"/>
      <c r="M10" s="33"/>
      <c r="N10" s="33">
        <f>$C$30*'E Balans VL '!Y14/100/3.6*1000000</f>
        <v>3453.7915572756106</v>
      </c>
      <c r="O10" s="33"/>
      <c r="P10" s="33"/>
      <c r="R10" s="32"/>
    </row>
    <row r="11" spans="1:18">
      <c r="A11" s="32" t="s">
        <v>54</v>
      </c>
      <c r="B11" s="37">
        <f t="shared" si="0"/>
        <v>89.335470000000001</v>
      </c>
      <c r="C11" s="33"/>
      <c r="D11" s="37">
        <f>IF(ISERROR(TER_onderwijs_gas_kWh/1000),0,TER_onderwijs_gas_kWh/1000)*0.902</f>
        <v>215.37703615081358</v>
      </c>
      <c r="E11" s="33">
        <f>$C$31*'E Balans VL '!I11/100/3.6*1000000</f>
        <v>6.1754859095055972E-2</v>
      </c>
      <c r="F11" s="33">
        <f>$C$31*('E Balans VL '!L11+'E Balans VL '!N11)/100/3.6*1000000</f>
        <v>23.385431026672787</v>
      </c>
      <c r="G11" s="34"/>
      <c r="H11" s="33"/>
      <c r="I11" s="33"/>
      <c r="J11" s="33">
        <f>$C$31*('E Balans VL '!D11+'E Balans VL '!E11)/100/3.6*1000000</f>
        <v>0</v>
      </c>
      <c r="K11" s="33"/>
      <c r="L11" s="33"/>
      <c r="M11" s="33"/>
      <c r="N11" s="33">
        <f>$C$31*'E Balans VL '!Y11/100/3.6*1000000</f>
        <v>8.8925851383230392E-2</v>
      </c>
      <c r="O11" s="33"/>
      <c r="P11" s="33"/>
      <c r="R11" s="32"/>
    </row>
    <row r="12" spans="1:18">
      <c r="A12" s="32" t="s">
        <v>249</v>
      </c>
      <c r="B12" s="37">
        <f t="shared" si="0"/>
        <v>2430.8359999999998</v>
      </c>
      <c r="C12" s="33"/>
      <c r="D12" s="37">
        <f>IF(ISERROR(TER_rest_gas_kWh/1000),0,TER_rest_gas_kWh/1000)*0.902</f>
        <v>2685.0712581321595</v>
      </c>
      <c r="E12" s="33">
        <f>$C$32*'E Balans VL '!I8/100/3.6*1000000</f>
        <v>21.977553726426393</v>
      </c>
      <c r="F12" s="33">
        <f>$C$32*('E Balans VL '!L8+'E Balans VL '!N8)/100/3.6*1000000</f>
        <v>358.32479177146814</v>
      </c>
      <c r="G12" s="34"/>
      <c r="H12" s="33"/>
      <c r="I12" s="33"/>
      <c r="J12" s="33">
        <f>$C$32*('E Balans VL '!D8+'E Balans VL '!E8)/100/3.6*1000000</f>
        <v>0</v>
      </c>
      <c r="K12" s="33"/>
      <c r="L12" s="33"/>
      <c r="M12" s="33"/>
      <c r="N12" s="33">
        <f>$C$32*'E Balans VL '!Y8/100/3.6*1000000</f>
        <v>207.3177944620588</v>
      </c>
      <c r="O12" s="33"/>
      <c r="P12" s="33"/>
      <c r="R12" s="32"/>
    </row>
    <row r="13" spans="1:18">
      <c r="A13" s="16" t="s">
        <v>481</v>
      </c>
      <c r="B13" s="243">
        <f ca="1">'lokale energieproductie'!N38+'lokale energieproductie'!N31</f>
        <v>43.649999999999991</v>
      </c>
      <c r="C13" s="243">
        <f ca="1">'lokale energieproductie'!O38+'lokale energieproductie'!O31</f>
        <v>62.357142857142847</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-124.71428571428569</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13018.97617</v>
      </c>
      <c r="C16" s="21">
        <f t="shared" ca="1" si="1"/>
        <v>62.357142857142847</v>
      </c>
      <c r="D16" s="21">
        <f t="shared" ca="1" si="1"/>
        <v>9999.5793083516473</v>
      </c>
      <c r="E16" s="21">
        <f t="shared" si="1"/>
        <v>115.66508679929181</v>
      </c>
      <c r="F16" s="21">
        <f t="shared" ca="1" si="1"/>
        <v>2253.468679454817</v>
      </c>
      <c r="G16" s="21">
        <f t="shared" si="1"/>
        <v>0</v>
      </c>
      <c r="H16" s="21">
        <f t="shared" si="1"/>
        <v>0</v>
      </c>
      <c r="I16" s="21">
        <f t="shared" si="1"/>
        <v>0</v>
      </c>
      <c r="J16" s="21">
        <f t="shared" si="1"/>
        <v>0</v>
      </c>
      <c r="K16" s="21">
        <f t="shared" si="1"/>
        <v>0</v>
      </c>
      <c r="L16" s="21">
        <f t="shared" ca="1" si="1"/>
        <v>0</v>
      </c>
      <c r="M16" s="21">
        <f t="shared" si="1"/>
        <v>0</v>
      </c>
      <c r="N16" s="21">
        <f t="shared" ca="1" si="1"/>
        <v>3576.6488744720696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0.20844823935544032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2713.7826608469336</v>
      </c>
      <c r="C20" s="23">
        <f t="shared" ref="C20:P20" ca="1" si="2">C16*C18</f>
        <v>0</v>
      </c>
      <c r="D20" s="23">
        <f t="shared" ca="1" si="2"/>
        <v>2019.9150202870328</v>
      </c>
      <c r="E20" s="23">
        <f t="shared" si="2"/>
        <v>26.255974703439243</v>
      </c>
      <c r="F20" s="23">
        <f t="shared" ca="1" si="2"/>
        <v>601.6761374144362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1445.7940000000001</v>
      </c>
      <c r="C26" s="39">
        <f>IF(ISERROR(B26*3.6/1000000/'E Balans VL '!Z12*100),0,B26*3.6/1000000/'E Balans VL '!Z12*100)</f>
        <v>3.1758536715243924E-2</v>
      </c>
      <c r="D26" s="233" t="s">
        <v>676</v>
      </c>
      <c r="F26" s="6"/>
    </row>
    <row r="27" spans="1:18">
      <c r="A27" s="228" t="s">
        <v>52</v>
      </c>
      <c r="B27" s="33">
        <f>IF(ISERROR(TER_horeca_ele_kWh/1000),0,TER_horeca_ele_kWh/1000)</f>
        <v>968.94219999999996</v>
      </c>
      <c r="C27" s="39">
        <f>IF(ISERROR(B27*3.6/1000000/'E Balans VL '!Z9*100),0,B27*3.6/1000000/'E Balans VL '!Z9*100)</f>
        <v>7.7864164299927263E-2</v>
      </c>
      <c r="D27" s="233" t="s">
        <v>676</v>
      </c>
      <c r="F27" s="6"/>
    </row>
    <row r="28" spans="1:18">
      <c r="A28" s="168" t="s">
        <v>51</v>
      </c>
      <c r="B28" s="33">
        <f>IF(ISERROR(TER_handel_ele_kWh/1000),0,TER_handel_ele_kWh/1000)</f>
        <v>2962.6480000000001</v>
      </c>
      <c r="C28" s="39">
        <f>IF(ISERROR(B28*3.6/1000000/'E Balans VL '!Z13*100),0,B28*3.6/1000000/'E Balans VL '!Z13*100)</f>
        <v>8.7603431610649568E-2</v>
      </c>
      <c r="D28" s="233" t="s">
        <v>676</v>
      </c>
      <c r="F28" s="6"/>
    </row>
    <row r="29" spans="1:18">
      <c r="A29" s="228" t="s">
        <v>50</v>
      </c>
      <c r="B29" s="33">
        <f>IF(ISERROR(TER_gezond_ele_kWh/1000),0,TER_gezond_ele_kWh/1000)</f>
        <v>174.6405</v>
      </c>
      <c r="C29" s="39">
        <f>IF(ISERROR(B29*3.6/1000000/'E Balans VL '!Z10*100),0,B29*3.6/1000000/'E Balans VL '!Z10*100)</f>
        <v>1.9677475529743513E-2</v>
      </c>
      <c r="D29" s="233" t="s">
        <v>676</v>
      </c>
      <c r="F29" s="6"/>
    </row>
    <row r="30" spans="1:18">
      <c r="A30" s="228" t="s">
        <v>49</v>
      </c>
      <c r="B30" s="33">
        <f>IF(ISERROR(TER_ander_ele_kWh/1000),0,TER_ander_ele_kWh/1000)</f>
        <v>4903.13</v>
      </c>
      <c r="C30" s="39">
        <f>IF(ISERROR(B30*3.6/1000000/'E Balans VL '!Z14*100),0,B30*3.6/1000000/'E Balans VL '!Z14*100)</f>
        <v>0.3708153403778589</v>
      </c>
      <c r="D30" s="233" t="s">
        <v>676</v>
      </c>
      <c r="F30" s="6"/>
    </row>
    <row r="31" spans="1:18">
      <c r="A31" s="228" t="s">
        <v>54</v>
      </c>
      <c r="B31" s="33">
        <f>IF(ISERROR(TER_onderwijs_ele_kWh/1000),0,TER_onderwijs_ele_kWh/1000)</f>
        <v>89.335470000000001</v>
      </c>
      <c r="C31" s="39">
        <f>IF(ISERROR(B31*3.6/1000000/'E Balans VL '!Z11*100),0,B31*3.6/1000000/'E Balans VL '!Z11*100)</f>
        <v>1.854396973809452E-2</v>
      </c>
      <c r="D31" s="233" t="s">
        <v>676</v>
      </c>
    </row>
    <row r="32" spans="1:18">
      <c r="A32" s="228" t="s">
        <v>249</v>
      </c>
      <c r="B32" s="33">
        <f>IF(ISERROR(TER_rest_ele_kWh/1000),0,TER_rest_ele_kWh/1000)</f>
        <v>2430.8359999999998</v>
      </c>
      <c r="C32" s="39">
        <f>IF(ISERROR(B32*3.6/1000000/'E Balans VL '!Z8*100),0,B32*3.6/1000000/'E Balans VL '!Z8*100)</f>
        <v>2.0478363287608058E-2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86269.820600000006</v>
      </c>
      <c r="C5" s="17">
        <f>IF(ISERROR('Eigen informatie GS &amp; warmtenet'!B59),0,'Eigen informatie GS &amp; warmtenet'!B59)</f>
        <v>0</v>
      </c>
      <c r="D5" s="30">
        <f>SUM(D6:D15)</f>
        <v>80964.973718012319</v>
      </c>
      <c r="E5" s="17">
        <f>SUM(E6:E15)</f>
        <v>3383.7643458600273</v>
      </c>
      <c r="F5" s="17">
        <f>SUM(F6:F15)</f>
        <v>15753.940274790111</v>
      </c>
      <c r="G5" s="18"/>
      <c r="H5" s="17"/>
      <c r="I5" s="17"/>
      <c r="J5" s="17">
        <f>SUM(J6:J15)</f>
        <v>267.82819327848136</v>
      </c>
      <c r="K5" s="17"/>
      <c r="L5" s="17"/>
      <c r="M5" s="17"/>
      <c r="N5" s="17">
        <f>SUM(N6:N15)</f>
        <v>3559.1811945187469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387.67149999999998</v>
      </c>
      <c r="C8" s="33"/>
      <c r="D8" s="37">
        <f>IF( ISERROR(IND_metaal_Gas_kWH/1000),0,IND_metaal_Gas_kWH/1000)*0.902</f>
        <v>66.385310390626529</v>
      </c>
      <c r="E8" s="33">
        <f>C30*'E Balans VL '!I18/100/3.6*1000000</f>
        <v>9.7020608238179982</v>
      </c>
      <c r="F8" s="33">
        <f>C30*'E Balans VL '!L18/100/3.6*1000000+C30*'E Balans VL '!N18/100/3.6*1000000</f>
        <v>121.49817647721352</v>
      </c>
      <c r="G8" s="34"/>
      <c r="H8" s="33"/>
      <c r="I8" s="33"/>
      <c r="J8" s="40">
        <f>C30*'E Balans VL '!D18/100/3.6*1000000+C30*'E Balans VL '!E18/100/3.6*1000000</f>
        <v>0</v>
      </c>
      <c r="K8" s="33"/>
      <c r="L8" s="33"/>
      <c r="M8" s="33"/>
      <c r="N8" s="33">
        <f>C30*'E Balans VL '!Y18/100/3.6*1000000</f>
        <v>9.7393141752746857</v>
      </c>
      <c r="O8" s="33"/>
      <c r="P8" s="33"/>
      <c r="R8" s="32"/>
    </row>
    <row r="9" spans="1:18">
      <c r="A9" s="6" t="s">
        <v>32</v>
      </c>
      <c r="B9" s="37">
        <f t="shared" si="0"/>
        <v>986.66539999999998</v>
      </c>
      <c r="C9" s="33"/>
      <c r="D9" s="37">
        <f>IF( ISERROR(IND_andere_gas_kWh/1000),0,IND_andere_gas_kWh/1000)*0.902</f>
        <v>877.85630404429992</v>
      </c>
      <c r="E9" s="33">
        <f>C31*'E Balans VL '!I19/100/3.6*1000000</f>
        <v>271.29251686376614</v>
      </c>
      <c r="F9" s="33">
        <f>C31*'E Balans VL '!L19/100/3.6*1000000+C31*'E Balans VL '!N19/100/3.6*1000000</f>
        <v>777.66402730674304</v>
      </c>
      <c r="G9" s="34"/>
      <c r="H9" s="33"/>
      <c r="I9" s="33"/>
      <c r="J9" s="40">
        <f>C31*'E Balans VL '!D19/100/3.6*1000000+C31*'E Balans VL '!E19/100/3.6*1000000</f>
        <v>0</v>
      </c>
      <c r="K9" s="33"/>
      <c r="L9" s="33"/>
      <c r="M9" s="33"/>
      <c r="N9" s="33">
        <f>C31*'E Balans VL '!Y19/100/3.6*1000000</f>
        <v>79.486386376601928</v>
      </c>
      <c r="O9" s="33"/>
      <c r="P9" s="33"/>
      <c r="R9" s="32"/>
    </row>
    <row r="10" spans="1:18">
      <c r="A10" s="6" t="s">
        <v>40</v>
      </c>
      <c r="B10" s="37">
        <f t="shared" si="0"/>
        <v>148.39770000000001</v>
      </c>
      <c r="C10" s="33"/>
      <c r="D10" s="37">
        <f>IF( ISERROR(IND_voed_gas_kWh/1000),0,IND_voed_gas_kWh/1000)*0.902</f>
        <v>208.15503294421319</v>
      </c>
      <c r="E10" s="33">
        <f>C32*'E Balans VL '!I20/100/3.6*1000000</f>
        <v>1.5128327987405872</v>
      </c>
      <c r="F10" s="33">
        <f>C32*'E Balans VL '!L20/100/3.6*1000000+C32*'E Balans VL '!N20/100/3.6*1000000</f>
        <v>280.3223271619807</v>
      </c>
      <c r="G10" s="34"/>
      <c r="H10" s="33"/>
      <c r="I10" s="33"/>
      <c r="J10" s="40">
        <f>C32*'E Balans VL '!D20/100/3.6*1000000+C32*'E Balans VL '!E20/100/3.6*1000000</f>
        <v>3.5516425204727216</v>
      </c>
      <c r="K10" s="33"/>
      <c r="L10" s="33"/>
      <c r="M10" s="33"/>
      <c r="N10" s="33">
        <f>C32*'E Balans VL '!Y20/100/3.6*1000000</f>
        <v>78.222681218996271</v>
      </c>
      <c r="O10" s="33"/>
      <c r="P10" s="33"/>
      <c r="R10" s="32"/>
    </row>
    <row r="11" spans="1:18">
      <c r="A11" s="6" t="s">
        <v>39</v>
      </c>
      <c r="B11" s="37">
        <f t="shared" si="0"/>
        <v>15505.757</v>
      </c>
      <c r="C11" s="33"/>
      <c r="D11" s="37">
        <f>IF( ISERROR(IND_textiel_gas_kWh/1000),0,IND_textiel_gas_kWh/1000)*0.902</f>
        <v>1597.2935675771919</v>
      </c>
      <c r="E11" s="33">
        <f>C33*'E Balans VL '!I21/100/3.6*1000000</f>
        <v>41.097841737712962</v>
      </c>
      <c r="F11" s="33">
        <f>C33*'E Balans VL '!L21/100/3.6*1000000+C33*'E Balans VL '!N21/100/3.6*1000000</f>
        <v>692.50310299939292</v>
      </c>
      <c r="G11" s="34"/>
      <c r="H11" s="33"/>
      <c r="I11" s="33"/>
      <c r="J11" s="40">
        <f>C33*'E Balans VL '!D21/100/3.6*1000000+C33*'E Balans VL '!E21/100/3.6*1000000</f>
        <v>0</v>
      </c>
      <c r="K11" s="33"/>
      <c r="L11" s="33"/>
      <c r="M11" s="33"/>
      <c r="N11" s="33">
        <f>C33*'E Balans VL '!Y21/100/3.6*1000000</f>
        <v>146.13067555693863</v>
      </c>
      <c r="O11" s="33"/>
      <c r="P11" s="33"/>
      <c r="R11" s="32"/>
    </row>
    <row r="12" spans="1:18">
      <c r="A12" s="6" t="s">
        <v>36</v>
      </c>
      <c r="B12" s="37">
        <f t="shared" si="0"/>
        <v>9663.85</v>
      </c>
      <c r="C12" s="33"/>
      <c r="D12" s="37">
        <f>IF( ISERROR(IND_min_gas_kWh/1000),0,IND_min_gas_kWh/1000)*0.902</f>
        <v>0</v>
      </c>
      <c r="E12" s="33">
        <f>C34*'E Balans VL '!I22/100/3.6*1000000</f>
        <v>29.267430179109684</v>
      </c>
      <c r="F12" s="33">
        <f>C34*'E Balans VL '!L22/100/3.6*1000000+C34*'E Balans VL '!N22/100/3.6*1000000</f>
        <v>302.00362086075836</v>
      </c>
      <c r="G12" s="34"/>
      <c r="H12" s="33"/>
      <c r="I12" s="33"/>
      <c r="J12" s="40">
        <f>C34*'E Balans VL '!D22/100/3.6*1000000+C34*'E Balans VL '!E22/100/3.6*1000000</f>
        <v>14.329344285843389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59577.478999999999</v>
      </c>
      <c r="C15" s="33"/>
      <c r="D15" s="37">
        <f>IF( ISERROR(IND_rest_gas_kWh/1000),0,IND_rest_gas_kWh/1000)*0.902</f>
        <v>78215.283503055995</v>
      </c>
      <c r="E15" s="33">
        <f>C37*'E Balans VL '!I15/100/3.6*1000000</f>
        <v>3030.89166345688</v>
      </c>
      <c r="F15" s="33">
        <f>C37*'E Balans VL '!L15/100/3.6*1000000+C37*'E Balans VL '!N15/100/3.6*1000000</f>
        <v>13579.949019984024</v>
      </c>
      <c r="G15" s="34"/>
      <c r="H15" s="33"/>
      <c r="I15" s="33"/>
      <c r="J15" s="40">
        <f>C37*'E Balans VL '!D15/100/3.6*1000000+C37*'E Balans VL '!E15/100/3.6*1000000</f>
        <v>249.94720647216525</v>
      </c>
      <c r="K15" s="33"/>
      <c r="L15" s="33"/>
      <c r="M15" s="33"/>
      <c r="N15" s="33">
        <f>C37*'E Balans VL '!Y15/100/3.6*1000000</f>
        <v>3245.6021371909355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86269.820600000006</v>
      </c>
      <c r="C18" s="21">
        <f>C5+C16</f>
        <v>0</v>
      </c>
      <c r="D18" s="21">
        <f>MAX((D5+D16),0)</f>
        <v>80964.973718012319</v>
      </c>
      <c r="E18" s="21">
        <f>MAX((E5+E16),0)</f>
        <v>3383.7643458600273</v>
      </c>
      <c r="F18" s="21">
        <f>MAX((F5+F16),0)</f>
        <v>15753.940274790111</v>
      </c>
      <c r="G18" s="21"/>
      <c r="H18" s="21"/>
      <c r="I18" s="21"/>
      <c r="J18" s="21">
        <f>MAX((J5+J16),0)</f>
        <v>267.82819327848136</v>
      </c>
      <c r="K18" s="21"/>
      <c r="L18" s="21">
        <f>MAX((L5+L16),0)</f>
        <v>0</v>
      </c>
      <c r="M18" s="21"/>
      <c r="N18" s="21">
        <f>MAX((N5+N16),0)</f>
        <v>3559.1811945187469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0.20844823935544032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17982.792213579698</v>
      </c>
      <c r="C22" s="23">
        <f ca="1">C18*C20</f>
        <v>0</v>
      </c>
      <c r="D22" s="23">
        <f>D18*D20</f>
        <v>16354.92469103849</v>
      </c>
      <c r="E22" s="23">
        <f>E18*E20</f>
        <v>768.11450651022619</v>
      </c>
      <c r="F22" s="23">
        <f>F18*F20</f>
        <v>4206.3020533689596</v>
      </c>
      <c r="G22" s="23"/>
      <c r="H22" s="23"/>
      <c r="I22" s="23"/>
      <c r="J22" s="23">
        <f>J18*J20</f>
        <v>94.811180420582403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387.67149999999998</v>
      </c>
      <c r="C30" s="39">
        <f>IF(ISERROR(B30*3.6/1000000/'E Balans VL '!Z18*100),0,B30*3.6/1000000/'E Balans VL '!Z18*100)</f>
        <v>5.4261090704539099E-2</v>
      </c>
      <c r="D30" s="233" t="s">
        <v>676</v>
      </c>
    </row>
    <row r="31" spans="1:18">
      <c r="A31" s="6" t="s">
        <v>32</v>
      </c>
      <c r="B31" s="37">
        <f>IF( ISERROR(IND_ander_ele_kWh/1000),0,IND_ander_ele_kWh/1000)</f>
        <v>986.66539999999998</v>
      </c>
      <c r="C31" s="39">
        <f>IF(ISERROR(B31*3.6/1000000/'E Balans VL '!Z19*100),0,B31*3.6/1000000/'E Balans VL '!Z19*100)</f>
        <v>4.3186184498131719E-2</v>
      </c>
      <c r="D31" s="233" t="s">
        <v>676</v>
      </c>
    </row>
    <row r="32" spans="1:18">
      <c r="A32" s="168" t="s">
        <v>40</v>
      </c>
      <c r="B32" s="37">
        <f>IF( ISERROR(IND_voed_ele_kWh/1000),0,IND_voed_ele_kWh/1000)</f>
        <v>148.39770000000001</v>
      </c>
      <c r="C32" s="39">
        <f>IF(ISERROR(B32*3.6/1000000/'E Balans VL '!Z20*100),0,B32*3.6/1000000/'E Balans VL '!Z20*100)</f>
        <v>3.6738342475461171E-2</v>
      </c>
      <c r="D32" s="233" t="s">
        <v>676</v>
      </c>
    </row>
    <row r="33" spans="1:5">
      <c r="A33" s="168" t="s">
        <v>39</v>
      </c>
      <c r="B33" s="37">
        <f>IF( ISERROR(IND_textiel_ele_kWh/1000),0,IND_textiel_ele_kWh/1000)</f>
        <v>15505.757</v>
      </c>
      <c r="C33" s="39">
        <f>IF(ISERROR(B33*3.6/1000000/'E Balans VL '!Z21*100),0,B33*3.6/1000000/'E Balans VL '!Z21*100)</f>
        <v>1.7472256774740329</v>
      </c>
      <c r="D33" s="233" t="s">
        <v>676</v>
      </c>
    </row>
    <row r="34" spans="1:5">
      <c r="A34" s="168" t="s">
        <v>36</v>
      </c>
      <c r="B34" s="37">
        <f>IF( ISERROR(IND_min_ele_kWh/1000),0,IND_min_ele_kWh/1000)</f>
        <v>9663.85</v>
      </c>
      <c r="C34" s="39">
        <f>IF(ISERROR(B34*3.6/1000000/'E Balans VL '!Z22*100),0,B34*3.6/1000000/'E Balans VL '!Z22*100)</f>
        <v>0.27422063661094981</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59577.478999999999</v>
      </c>
      <c r="C37" s="39">
        <f>IF(ISERROR(B37*3.6/1000000/'E Balans VL '!Z15*100),0,B37*3.6/1000000/'E Balans VL '!Z15*100)</f>
        <v>0.44175680668896339</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5892.7782719999996</v>
      </c>
      <c r="C5" s="17">
        <f>'Eigen informatie GS &amp; warmtenet'!B60</f>
        <v>0</v>
      </c>
      <c r="D5" s="30">
        <f>IF(ISERROR(SUM(LB_lb_gas_kWh,LB_rest_gas_kWh)/1000),0,SUM(LB_lb_gas_kWh,LB_rest_gas_kWh)/1000)*0.902</f>
        <v>1095.6359530401903</v>
      </c>
      <c r="E5" s="17">
        <f>B17*'E Balans VL '!I25/3.6*1000000/100</f>
        <v>54.581380477678877</v>
      </c>
      <c r="F5" s="17">
        <f>B17*('E Balans VL '!L25/3.6*1000000+'E Balans VL '!N25/3.6*1000000)/100</f>
        <v>14951.10104917281</v>
      </c>
      <c r="G5" s="18"/>
      <c r="H5" s="17"/>
      <c r="I5" s="17"/>
      <c r="J5" s="17">
        <f>('E Balans VL '!D25+'E Balans VL '!E25)/3.6*1000000*landbouw!B17/100</f>
        <v>903.42867269505291</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5892.7782719999996</v>
      </c>
      <c r="C8" s="21">
        <f>C5+C6</f>
        <v>0</v>
      </c>
      <c r="D8" s="21">
        <f>MAX((D5+D6),0)</f>
        <v>1095.6359530401903</v>
      </c>
      <c r="E8" s="21">
        <f>MAX((E5+E6),0)</f>
        <v>54.581380477678877</v>
      </c>
      <c r="F8" s="21">
        <f>MAX((F5+F6),0)</f>
        <v>14951.10104917281</v>
      </c>
      <c r="G8" s="21"/>
      <c r="H8" s="21"/>
      <c r="I8" s="21"/>
      <c r="J8" s="21">
        <f>MAX((J5+J6),0)</f>
        <v>903.42867269505291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0.20844823935544032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1228.3392557103939</v>
      </c>
      <c r="C12" s="23">
        <f ca="1">C8*C10</f>
        <v>0</v>
      </c>
      <c r="D12" s="23">
        <f>D8*D10</f>
        <v>221.31846251411847</v>
      </c>
      <c r="E12" s="23">
        <f>E8*E10</f>
        <v>12.389973368433106</v>
      </c>
      <c r="F12" s="23">
        <f>F8*F10</f>
        <v>3991.9439801291405</v>
      </c>
      <c r="G12" s="23"/>
      <c r="H12" s="23"/>
      <c r="I12" s="23"/>
      <c r="J12" s="23">
        <f>J8*J10</f>
        <v>319.81375013404869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0.83782812178180222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710.54996040980245</v>
      </c>
      <c r="C26" s="243">
        <f>B26*'GWP N2O_CH4'!B5</f>
        <v>14921.549168605852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554.82768214200314</v>
      </c>
      <c r="C27" s="243">
        <f>B27*'GWP N2O_CH4'!B5</f>
        <v>11651.381324982067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11.43157545369977</v>
      </c>
      <c r="C28" s="243">
        <f>B28*'GWP N2O_CH4'!B4</f>
        <v>3543.7883906469287</v>
      </c>
      <c r="D28" s="50"/>
    </row>
    <row r="29" spans="1:4">
      <c r="A29" s="41" t="s">
        <v>266</v>
      </c>
      <c r="B29" s="243">
        <f>B34*'ha_N2O bodem landbouw'!B4</f>
        <v>33.151894035127604</v>
      </c>
      <c r="C29" s="243">
        <f>B29*'GWP N2O_CH4'!B4</f>
        <v>10277.087150889558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7.4353857848726721E-3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6.6533179917433689E-5</v>
      </c>
      <c r="C5" s="430" t="s">
        <v>204</v>
      </c>
      <c r="D5" s="415">
        <f>SUM(D6:D11)</f>
        <v>9.6887495889165244E-5</v>
      </c>
      <c r="E5" s="415">
        <f>SUM(E6:E11)</f>
        <v>1.0511902070928216E-3</v>
      </c>
      <c r="F5" s="428" t="s">
        <v>204</v>
      </c>
      <c r="G5" s="415">
        <f>SUM(G6:G11)</f>
        <v>0.37819136742255788</v>
      </c>
      <c r="H5" s="415">
        <f>SUM(H6:H11)</f>
        <v>5.7232812060874313E-2</v>
      </c>
      <c r="I5" s="430" t="s">
        <v>204</v>
      </c>
      <c r="J5" s="430" t="s">
        <v>204</v>
      </c>
      <c r="K5" s="430" t="s">
        <v>204</v>
      </c>
      <c r="L5" s="430" t="s">
        <v>204</v>
      </c>
      <c r="M5" s="415">
        <f>SUM(M6:M11)</f>
        <v>2.3672222673380875E-2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1.7631832299139132E-5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2.6630027733959576E-5</v>
      </c>
      <c r="E6" s="858">
        <f>vkm_GW_PW*SUMIFS(TableVerdeelsleutelVkm[LPG],TableVerdeelsleutelVkm[Voertuigtype],"Lichte voertuigen")*SUMIFS(TableECFTransport[EnergieConsumptieFactor (PJ per km)],TableECFTransport[Index],CONCATENATE($A6,"_LPG_LPG"))</f>
        <v>2.6229271236941131E-4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6.0007062599445979E-2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1.5485587619499124E-2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3.9513934356221201E-3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1.2045723875833374E-6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4.6231990021316123E-2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8.7417428155008682E-7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2.6804255784732764E-3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9.347244830401089E-6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2.1296046287737143E-5</v>
      </c>
      <c r="E8" s="418">
        <f>vkm_NGW_PW*SUMIFS(TableVerdeelsleutelVkm[LPG],TableVerdeelsleutelVkm[Voertuigtype],"Lichte voertuigen")*SUMIFS(TableECFTransport[EnergieConsumptieFactor (PJ per km)],TableECFTransport[Index],CONCATENATE($A8,"_LPG_LPG"))</f>
        <v>2.000472545847876E-4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4.2477097309655973E-2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1.1962935496261885E-2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2.8276049949044792E-3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2.0352281740222536E-7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1.0036057414149516E-2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1.7827673590401158E-7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5.8186742091654057E-4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3.5533245829783864E-5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4.8961421867468518E-5</v>
      </c>
      <c r="E10" s="418">
        <f>vkm_SW_PW*SUMIFS(TableVerdeelsleutelVkm[LPG],TableVerdeelsleutelVkm[Voertuigtype],"Lichte voertuigen")*SUMIFS(TableECFTransport[EnergieConsumptieFactor (PJ per km)],TableECFTransport[Index],CONCATENATE($A10,"_LPG_LPG"))</f>
        <v>5.8885024013862277E-4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0.12385079480554743</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2.9781284873597158E-2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8.088930942216882E-3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2.6127617531240432E-6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9.5588365272442882E-2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1.9516204986975555E-6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5.5420003012475764E-3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18.481438865953802</v>
      </c>
      <c r="C14" s="21"/>
      <c r="D14" s="21">
        <f t="shared" ref="D14:M14" si="0">((D5)*10^9/3600)+D12</f>
        <v>26.913193302545903</v>
      </c>
      <c r="E14" s="21">
        <f t="shared" si="0"/>
        <v>291.99727974800601</v>
      </c>
      <c r="F14" s="21"/>
      <c r="G14" s="21">
        <f t="shared" si="0"/>
        <v>105053.15761737719</v>
      </c>
      <c r="H14" s="21">
        <f t="shared" si="0"/>
        <v>15898.003350242865</v>
      </c>
      <c r="I14" s="21"/>
      <c r="J14" s="21"/>
      <c r="K14" s="21"/>
      <c r="L14" s="21"/>
      <c r="M14" s="21">
        <f t="shared" si="0"/>
        <v>6575.617409272465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0.20844823935544032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3.8524233923632756</v>
      </c>
      <c r="C18" s="23"/>
      <c r="D18" s="23">
        <f t="shared" ref="D18:M18" si="1">D14*D16</f>
        <v>5.4364650471142726</v>
      </c>
      <c r="E18" s="23">
        <f t="shared" si="1"/>
        <v>66.283382502797366</v>
      </c>
      <c r="F18" s="23"/>
      <c r="G18" s="23">
        <f t="shared" si="1"/>
        <v>28049.193083839713</v>
      </c>
      <c r="H18" s="23">
        <f t="shared" si="1"/>
        <v>3958.6028342104732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1.8885276602346584E-5</v>
      </c>
      <c r="C50" s="313">
        <f t="shared" ref="C50:P50" si="2">SUM(C51:C52)</f>
        <v>0</v>
      </c>
      <c r="D50" s="313">
        <f t="shared" si="2"/>
        <v>0</v>
      </c>
      <c r="E50" s="313">
        <f t="shared" si="2"/>
        <v>0</v>
      </c>
      <c r="F50" s="313">
        <f t="shared" si="2"/>
        <v>0</v>
      </c>
      <c r="G50" s="313">
        <f t="shared" si="2"/>
        <v>3.5785107258914867E-3</v>
      </c>
      <c r="H50" s="313">
        <f t="shared" si="2"/>
        <v>0</v>
      </c>
      <c r="I50" s="313">
        <f t="shared" si="2"/>
        <v>0</v>
      </c>
      <c r="J50" s="313">
        <f t="shared" si="2"/>
        <v>0</v>
      </c>
      <c r="K50" s="313">
        <f t="shared" si="2"/>
        <v>0</v>
      </c>
      <c r="L50" s="313">
        <f t="shared" si="2"/>
        <v>0</v>
      </c>
      <c r="M50" s="313">
        <f t="shared" si="2"/>
        <v>2.0600783436151718E-4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1.8885276602346584E-5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3.5785107258914867E-3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2.0600783436151718E-4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5.2459101673184954</v>
      </c>
      <c r="C54" s="21">
        <f t="shared" ref="C54:P54" si="3">(C50)*10^9/3600</f>
        <v>0</v>
      </c>
      <c r="D54" s="21">
        <f t="shared" si="3"/>
        <v>0</v>
      </c>
      <c r="E54" s="21">
        <f t="shared" si="3"/>
        <v>0</v>
      </c>
      <c r="F54" s="21">
        <f t="shared" si="3"/>
        <v>0</v>
      </c>
      <c r="G54" s="21">
        <f t="shared" si="3"/>
        <v>994.0307571920797</v>
      </c>
      <c r="H54" s="21">
        <f t="shared" si="3"/>
        <v>0</v>
      </c>
      <c r="I54" s="21">
        <f t="shared" si="3"/>
        <v>0</v>
      </c>
      <c r="J54" s="21">
        <f t="shared" si="3"/>
        <v>0</v>
      </c>
      <c r="K54" s="21">
        <f t="shared" si="3"/>
        <v>0</v>
      </c>
      <c r="L54" s="21">
        <f t="shared" si="3"/>
        <v>0</v>
      </c>
      <c r="M54" s="21">
        <f t="shared" si="3"/>
        <v>57.224398433754779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0.20844823935544032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1.0935007381943438</v>
      </c>
      <c r="C58" s="23">
        <f t="shared" ref="C58:P58" ca="1" si="4">C54*C56</f>
        <v>0</v>
      </c>
      <c r="D58" s="23">
        <f t="shared" si="4"/>
        <v>0</v>
      </c>
      <c r="E58" s="23">
        <f t="shared" si="4"/>
        <v>0</v>
      </c>
      <c r="F58" s="23">
        <f t="shared" si="4"/>
        <v>0</v>
      </c>
      <c r="G58" s="23">
        <f t="shared" si="4"/>
        <v>265.4062121702853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7265.2722348242751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43.649999999999991</v>
      </c>
      <c r="C8" s="537">
        <f>B48</f>
        <v>0</v>
      </c>
      <c r="D8" s="1014"/>
      <c r="E8" s="1014">
        <f>E48</f>
        <v>0</v>
      </c>
      <c r="F8" s="1015"/>
      <c r="G8" s="538"/>
      <c r="H8" s="1014">
        <f>I48</f>
        <v>0</v>
      </c>
      <c r="I8" s="1014">
        <f>G48+F48</f>
        <v>0</v>
      </c>
      <c r="J8" s="1014">
        <f>H48+D48+C48</f>
        <v>51.35294117647058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7308.9222348242747</v>
      </c>
      <c r="C10" s="550">
        <f t="shared" ref="C10:L10" si="0">SUM(C8:C9)</f>
        <v>0</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62.357142857142847</v>
      </c>
      <c r="C17" s="562">
        <f>B49</f>
        <v>0</v>
      </c>
      <c r="D17" s="563"/>
      <c r="E17" s="563">
        <f>E49</f>
        <v>0</v>
      </c>
      <c r="F17" s="1020"/>
      <c r="G17" s="564"/>
      <c r="H17" s="562">
        <f>I49</f>
        <v>0</v>
      </c>
      <c r="I17" s="563">
        <f>G49+F49</f>
        <v>0</v>
      </c>
      <c r="J17" s="563">
        <f>H49+D49+C49</f>
        <v>73.361344537815114</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62.357142857142847</v>
      </c>
      <c r="C20" s="549">
        <f>SUM(C17:C19)</f>
        <v>0</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33037</v>
      </c>
      <c r="C28" s="763">
        <v>8980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1600</v>
      </c>
      <c r="Y28" s="619" t="s">
        <v>49</v>
      </c>
      <c r="Z28" s="621" t="s">
        <v>149</v>
      </c>
    </row>
    <row r="29" spans="1:26" s="557" customFormat="1" hidden="1">
      <c r="A29" s="575" t="s">
        <v>269</v>
      </c>
      <c r="B29" s="576"/>
      <c r="C29" s="576"/>
      <c r="D29" s="576"/>
      <c r="E29" s="576"/>
      <c r="F29" s="576"/>
      <c r="G29" s="576"/>
      <c r="H29" s="576"/>
      <c r="I29" s="576"/>
      <c r="J29" s="576"/>
      <c r="K29" s="576"/>
      <c r="L29" s="577"/>
      <c r="M29" s="577">
        <f>SUM(M28:M28)</f>
        <v>9.6999999999999993</v>
      </c>
      <c r="N29" s="577">
        <f>SUM(N28:N28)</f>
        <v>43.649999999999991</v>
      </c>
      <c r="O29" s="577">
        <f>SUM(O28:O28)</f>
        <v>62.357142857142847</v>
      </c>
      <c r="P29" s="577">
        <f>SUM(P28:P28)</f>
        <v>0</v>
      </c>
      <c r="Q29" s="577">
        <f>SUM(Q28:Q28)</f>
        <v>124.71428571428569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9.6999999999999993</v>
      </c>
      <c r="N31" s="577">
        <f ca="1">SUMIF($Z$28:AD28,"tertiair",N28:N28)</f>
        <v>43.649999999999991</v>
      </c>
      <c r="O31" s="577">
        <f ca="1">SUMIF($Z$28:AE28,"tertiair",O28:O28)</f>
        <v>62.357142857142847</v>
      </c>
      <c r="P31" s="577">
        <f ca="1">SUMIF($Z$28:AF28,"tertiair",P28:P28)</f>
        <v>0</v>
      </c>
      <c r="Q31" s="577">
        <f ca="1">SUMIF($Z$28:AG28,"tertiair",Q28:Q28)</f>
        <v>124.71428571428569</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51.35294117647058</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73.361344537815114</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2021-11-11T13:11:57Z</dcterms:modified>
</cp:coreProperties>
</file>