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0DB78BC-A0EF-4378-A915-3FBD6688708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I9" i="18"/>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6"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E8" i="48"/>
  <c r="E26" i="48" s="1"/>
  <c r="F13" i="14"/>
  <c r="F16" i="14" s="1"/>
  <c r="F27" i="14" s="1"/>
  <c r="F63" i="14" s="1"/>
  <c r="E23" i="48"/>
  <c r="E33" i="48" s="1"/>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<sst xmlns="http://schemas.openxmlformats.org/spreadsheetml/2006/main" count="2511" uniqueCount="925">
  <si>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</si>
  <si>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</si>
  <si>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</si>
  <si>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</si>
  <si>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</si>
  <si>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</si>
  <si>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</si>
  <si>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</si>
  <si>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</si>
  <si>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</si>
  <si>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</si>
  <si>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</si>
  <si>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</si>
  <si>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</si>
  <si>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</si>
  <si>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</si>
  <si>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</si>
  <si>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</si>
  <si>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</si>
  <si>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</si>
  <si>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</si>
  <si>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</si>
  <si>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</si>
  <si>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</si>
  <si>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</si>
  <si>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</si>
  <si>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</si>
  <si>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</si>
  <si>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</si>
  <si>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</si>
  <si>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</si>
  <si>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</si>
  <si>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</si>
  <si>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</si>
  <si>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</si>
  <si>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</si>
  <si>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</si>
  <si>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</si>
  <si>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</si>
  <si>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</si>
  <si>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</si>
  <si>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</si>
  <si>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</si>
  <si>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</si>
  <si>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</si>
  <si>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</si>
  <si>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</si>
  <si>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</si>
  <si>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</si>
  <si>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</si>
  <si>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</si>
  <si>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</si>
  <si>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</si>
  <si>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</si>
  <si>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</si>
  <si>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</si>
  <si>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</si>
  <si>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</si>
  <si>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</si>
  <si>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</si>
  <si>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</si>
  <si>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</si>
  <si>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</si>
  <si>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</si>
  <si>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</si>
  <si>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</si>
  <si>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</si>
  <si>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</si>
  <si>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</si>
  <si>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</si>
  <si>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</si>
  <si>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</si>
  <si>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</si>
  <si>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</si>
  <si>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</si>
  <si>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</si>
  <si>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</si>
  <si>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</si>
  <si>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</si>
  <si>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</si>
  <si>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</si>
  <si>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</si>
  <si>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</si>
  <si>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</si>
  <si>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</si>
  <si>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</si>
  <si>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</si>
  <si>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</si>
  <si>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</si>
  <si>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</si>
  <si>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</si>
  <si>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</si>
  <si>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</si>
  <si>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</si>
  <si>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</si>
  <si>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</si>
  <si>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</si>
  <si>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</si>
  <si>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</si>
  <si>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</si>
  <si>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</si>
  <si>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</si>
  <si>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</si>
  <si>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</si>
  <si>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</si>
  <si>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</si>
  <si>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</si>
  <si>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</si>
  <si>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</si>
  <si>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</si>
  <si>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</si>
  <si>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</si>
  <si>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</si>
  <si>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</si>
  <si>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</si>
  <si>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</si>
  <si>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</si>
  <si>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</si>
  <si>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</si>
  <si>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</si>
  <si>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</si>
  <si>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</si>
  <si>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</si>
  <si>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</si>
  <si>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</si>
  <si>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</si>
  <si>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</si>
  <si>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</si>
  <si>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</si>
  <si>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</si>
  <si>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</si>
  <si>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</si>
  <si>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</si>
  <si>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</si>
  <si>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</si>
  <si>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</si>
  <si>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</si>
  <si>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</si>
  <si>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</si>
  <si>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</si>
  <si>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</si>
  <si>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</si>
  <si>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</si>
  <si>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</si>
  <si>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</si>
  <si>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</si>
  <si>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</si>
  <si>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</si>
  <si>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</si>
  <si>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</si>
  <si>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</si>
  <si>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</si>
  <si>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</si>
  <si>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</si>
  <si>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</si>
  <si>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</si>
  <si>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</si>
  <si>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</si>
  <si>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</si>
  <si>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</si>
  <si>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</si>
  <si>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</si>
  <si>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</si>
  <si>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</si>
  <si>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</si>
  <si>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</si>
  <si>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</si>
  <si>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</si>
  <si>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</si>
  <si>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</si>
  <si>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</si>
  <si>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</si>
  <si>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</si>
  <si>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</si>
  <si>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</si>
  <si>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</si>
  <si>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</si>
  <si>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</si>
  <si>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</si>
  <si>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</si>
  <si>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</si>
  <si>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</si>
  <si>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</si>
  <si>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</si>
  <si>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</si>
  <si>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</si>
  <si>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</si>
  <si>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</si>
  <si>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</si>
  <si>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</si>
  <si>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</si>
  <si>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</si>
  <si>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</si>
  <si>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</si>
  <si>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</si>
  <si>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</si>
  <si>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</si>
  <si>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</si>
  <si>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</si>
  <si>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</si>
  <si>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</si>
  <si>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</si>
  <si>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</si>
  <si>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</si>
  <si>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</si>
  <si>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</si>
  <si>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</si>
  <si>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</si>
  <si>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</si>
  <si>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</si>
  <si>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</si>
  <si>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</si>
  <si>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</si>
  <si>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</si>
  <si>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</si>
  <si>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</si>
  <si>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</si>
  <si>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</si>
  <si>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</si>
  <si>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</si>
  <si>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</si>
  <si>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</si>
  <si>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</si>
  <si>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</si>
  <si>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</si>
  <si>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</si>
  <si>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</si>
  <si>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</si>
  <si>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</si>
  <si>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</si>
  <si>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</si>
  <si>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</si>
  <si>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</si>
  <si>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</si>
  <si>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</si>
  <si>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</si>
  <si>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</si>
  <si>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</si>
  <si>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</si>
  <si>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</si>
  <si>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</si>
  <si>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</si>
  <si>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</si>
  <si>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</si>
  <si>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</si>
  <si>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</si>
  <si>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</si>
  <si>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</si>
  <si>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</si>
  <si>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</si>
  <si>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</si>
  <si>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</si>
  <si>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</si>
  <si>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</si>
  <si>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</si>
  <si>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</si>
  <si>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</si>
  <si>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</si>
  <si>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</si>
  <si>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</si>
  <si>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</si>
  <si>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</si>
  <si>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</si>
  <si>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</si>
  <si>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</si>
  <si>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</si>
  <si>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</si>
  <si>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</si>
  <si>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</si>
  <si>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</si>
  <si>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</si>
  <si>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</si>
  <si>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</si>
  <si>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</si>
  <si>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</si>
  <si>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</si>
  <si>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</si>
  <si>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</si>
  <si>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</si>
  <si>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</si>
  <si>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</si>
  <si>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</si>
  <si>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</si>
  <si>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</si>
  <si>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</si>
  <si>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</si>
  <si>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</si>
  <si>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</si>
  <si>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</si>
  <si>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</si>
  <si>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</si>
  <si>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</si>
  <si>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</si>
  <si>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</si>
  <si>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</si>
  <si>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</si>
  <si>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</si>
  <si>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</si>
  <si>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</si>
  <si>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</si>
  <si>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</si>
  <si>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</si>
  <si>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</si>
  <si>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</si>
  <si>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</si>
  <si>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</si>
  <si>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</si>
  <si>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</si>
  <si>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</si>
  <si>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</si>
  <si>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</si>
  <si>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</si>
  <si>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</si>
  <si>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</si>
  <si>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</si>
  <si>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</si>
  <si>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</si>
  <si>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</si>
  <si>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</si>
  <si>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</si>
  <si>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</si>
  <si>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</si>
  <si>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</si>
  <si>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</si>
  <si>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</si>
  <si>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</si>
  <si>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</si>
  <si>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</si>
  <si>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</si>
  <si>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</si>
  <si>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</si>
  <si>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</si>
  <si>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</si>
  <si>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</si>
  <si>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</si>
  <si>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</si>
  <si>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</si>
  <si>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</si>
  <si>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</si>
  <si>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</si>
  <si>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</si>
  <si>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</si>
  <si>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</si>
  <si>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</si>
  <si>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</si>
  <si>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</si>
  <si>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</si>
  <si>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</si>
  <si>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</si>
  <si>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</si>
  <si>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</si>
  <si>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</si>
  <si>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</si>
  <si>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</si>
  <si>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</si>
  <si>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</si>
  <si>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</si>
  <si>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</si>
  <si>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</si>
  <si>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</si>
  <si>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</si>
  <si>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</si>
  <si>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</si>
  <si>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</si>
  <si>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</si>
  <si>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</si>
  <si>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</si>
  <si>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</si>
  <si>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</si>
  <si>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</si>
  <si>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</si>
  <si>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</si>
  <si>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</si>
  <si>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</si>
  <si>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</si>
  <si>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</si>
  <si>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</si>
  <si>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</si>
  <si>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</si>
  <si>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</si>
  <si>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</si>
  <si>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</si>
  <si>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</si>
  <si>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</si>
  <si>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</si>
  <si>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</si>
  <si>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</si>
  <si>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</si>
  <si>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</si>
  <si>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</si>
  <si>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</si>
  <si>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</si>
  <si>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</si>
  <si>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</si>
  <si>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</si>
  <si>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</si>
  <si>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</si>
  <si>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</si>
  <si>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</si>
  <si>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</si>
  <si>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</si>
  <si>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</si>
  <si>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</si>
  <si>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</si>
  <si>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</si>
  <si>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</si>
  <si>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</si>
  <si>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</si>
  <si>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</si>
  <si>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</si>
  <si>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</si>
  <si>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</si>
  <si>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</si>
  <si>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</si>
  <si>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</si>
  <si>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</si>
  <si>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</si>
  <si>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</si>
  <si>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</si>
  <si>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</si>
  <si>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</si>
  <si>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</si>
  <si>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</si>
  <si>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</si>
  <si>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</si>
  <si>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</si>
  <si>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</si>
  <si>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</si>
  <si>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</si>
  <si>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</si>
  <si>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</si>
  <si>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</si>
  <si>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</si>
  <si>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</si>
  <si>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</si>
  <si>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</si>
  <si>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</si>
  <si>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</si>
  <si>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</si>
  <si>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</si>
  <si>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</si>
  <si>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</si>
  <si>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</si>
  <si>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</si>
  <si>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</si>
  <si>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</si>
  <si>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</si>
  <si>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</si>
  <si>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</si>
  <si>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</si>
  <si>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</si>
  <si>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</si>
  <si>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</si>
  <si>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</si>
  <si>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</si>
  <si>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</si>
  <si>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</si>
  <si>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</si>
  <si>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</si>
  <si>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</si>
  <si>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</si>
  <si>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</si>
  <si>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</si>
  <si>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</si>
  <si>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</si>
  <si>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</si>
  <si>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</si>
  <si>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</si>
  <si>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</si>
  <si>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</si>
  <si>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</si>
  <si>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</si>
  <si>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</si>
  <si>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</si>
  <si>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</si>
  <si>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</si>
  <si>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</si>
  <si>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</si>
  <si>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</si>
  <si>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</si>
  <si>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</si>
  <si>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</si>
  <si>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</si>
  <si>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</si>
  <si>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</si>
  <si>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</si>
  <si>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</si>
  <si>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</si>
  <si>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</si>
  <si>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</si>
  <si>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</si>
  <si>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</si>
  <si>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</si>
  <si>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</si>
  <si>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</si>
  <si>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</si>
  <si>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</si>
  <si>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</si>
  <si>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</si>
  <si>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</si>
  <si>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</si>
  <si>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</si>
  <si>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</si>
  <si>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</si>
  <si>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</si>
  <si>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</si>
  <si>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</si>
  <si>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</si>
  <si>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</si>
  <si>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</si>
  <si>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</si>
  <si>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</si>
  <si>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</si>
  <si>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</si>
  <si>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</si>
  <si>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</si>
  <si>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</si>
  <si>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</si>
  <si>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</si>
  <si>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</si>
  <si>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</si>
  <si>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</si>
  <si>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</si>
  <si>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</si>
  <si>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</si>
  <si>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</si>
  <si>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</si>
  <si>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</si>
  <si>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</si>
  <si>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</si>
  <si>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</si>
  <si>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</si>
  <si>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</si>
  <si>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</si>
  <si>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</si>
  <si>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</si>
  <si>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</si>
  <si>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</si>
  <si>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</si>
  <si>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</si>
  <si>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</si>
  <si>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</si>
  <si>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</si>
  <si>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</si>
  <si>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</si>
  <si>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</si>
  <si>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</si>
  <si>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</si>
  <si>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</si>
  <si>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</si>
  <si>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</si>
  <si>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</si>
  <si>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</si>
  <si>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</si>
  <si>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</si>
  <si>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</si>
  <si>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</si>
  <si>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</si>
  <si>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</si>
  <si>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</si>
  <si>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</si>
  <si>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</si>
  <si>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</si>
  <si>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</si>
  <si>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</si>
  <si>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</si>
  <si>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</si>
  <si>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</si>
  <si>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</si>
  <si>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</si>
  <si>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</si>
  <si>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</si>
  <si>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</si>
  <si>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</si>
  <si>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</si>
  <si>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</si>
  <si>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</si>
  <si>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</si>
  <si>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</si>
  <si>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</si>
  <si>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</si>
  <si>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</si>
  <si>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</si>
  <si>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</si>
  <si>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</si>
  <si>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</si>
  <si>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</si>
  <si>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</si>
  <si>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</si>
  <si>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</si>
  <si>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</si>
  <si>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</si>
  <si>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</si>
  <si>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</si>
  <si>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</si>
  <si>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</si>
  <si>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</si>
  <si>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</si>
  <si>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</si>
  <si>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</si>
  <si>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</si>
  <si>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</si>
  <si>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</si>
  <si>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</si>
  <si>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</si>
  <si>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</si>
  <si>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</si>
  <si>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</si>
  <si>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</si>
  <si>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</si>
  <si>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</si>
  <si>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</si>
  <si>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</si>
  <si>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</si>
  <si>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</si>
  <si>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</si>
  <si>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</si>
  <si>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</si>
  <si>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</si>
  <si>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</si>
  <si>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</si>
  <si>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</si>
  <si>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</si>
  <si>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</si>
  <si>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</si>
  <si>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</si>
  <si>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</si>
  <si>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</si>
  <si>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</si>
  <si>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</si>
  <si>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</si>
  <si>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</si>
  <si>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</si>
  <si>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</si>
  <si>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</si>
  <si>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</si>
  <si>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</si>
  <si>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</si>
  <si>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</si>
  <si>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</si>
  <si>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</si>
  <si>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</si>
  <si>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</si>
  <si>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</si>
  <si>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</si>
  <si>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</si>
  <si>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</si>
  <si>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</si>
  <si>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</si>
  <si>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</si>
  <si>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</si>
  <si>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</si>
  <si>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</si>
  <si>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</si>
  <si>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</si>
  <si>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</si>
  <si>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</si>
  <si>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</si>
  <si>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</si>
  <si>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</si>
  <si>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</si>
  <si>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</si>
  <si>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</si>
  <si>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</si>
  <si>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</si>
  <si>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</si>
  <si>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</si>
  <si>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</si>
  <si>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</si>
  <si>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</si>
  <si>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</si>
  <si>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</si>
  <si>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</si>
  <si>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</si>
  <si>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</si>
  <si>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</si>
  <si>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</si>
  <si>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</si>
  <si>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</si>
  <si>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</si>
  <si>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</si>
  <si>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</si>
  <si>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</si>
  <si>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</si>
  <si>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</si>
  <si>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</si>
  <si>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</si>
  <si>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</si>
  <si>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</si>
  <si>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</si>
  <si>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</si>
  <si>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</si>
  <si>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</si>
  <si>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</si>
  <si>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</si>
  <si>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</si>
  <si>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</si>
  <si>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</si>
  <si>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</si>
  <si>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</si>
  <si>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</si>
  <si>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</si>
  <si>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</si>
  <si>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</si>
  <si>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</si>
  <si>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</si>
  <si>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</si>
  <si>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</si>
  <si>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</si>
  <si>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</si>
  <si>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</si>
  <si>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</si>
  <si>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</si>
  <si>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</si>
  <si>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</si>
  <si>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</si>
  <si>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</si>
  <si>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</si>
  <si>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</si>
  <si>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</si>
  <si>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</si>
  <si>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</si>
  <si>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</si>
  <si>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</si>
  <si>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</si>
  <si>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</si>
  <si>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</si>
  <si>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</si>
  <si>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</si>
  <si>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</si>
  <si>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</si>
  <si>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</si>
  <si>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</si>
  <si>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</si>
  <si>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</si>
  <si>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</si>
  <si>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</si>
  <si>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</si>
  <si>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</si>
  <si>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</si>
  <si>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</si>
  <si>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</si>
  <si>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</si>
  <si>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</si>
  <si>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</si>
  <si>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</si>
  <si>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</si>
  <si>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</si>
  <si>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</si>
  <si>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</si>
  <si>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</si>
  <si>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</si>
  <si>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</si>
  <si>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</si>
  <si>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</si>
  <si>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</si>
  <si>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</si>
  <si>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</si>
  <si>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</si>
  <si>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</si>
  <si>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</si>
  <si>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</si>
  <si>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</si>
  <si>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</si>
  <si>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</si>
  <si>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</si>
  <si>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</si>
  <si>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</si>
  <si>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</si>
  <si>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</si>
  <si>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</si>
  <si>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</si>
  <si>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</si>
  <si>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</si>
  <si>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</si>
  <si>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</si>
  <si>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</si>
  <si>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</si>
  <si>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</si>
  <si>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</si>
  <si>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</si>
  <si>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</si>
  <si>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</si>
  <si>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</si>
  <si>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</si>
  <si>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</si>
  <si>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</si>
  <si>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</si>
  <si>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</si>
  <si>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</si>
  <si>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</si>
  <si>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</si>
  <si>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</si>
  <si>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</si>
  <si>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</si>
  <si>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</si>
  <si>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</si>
  <si>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</si>
  <si>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</si>
  <si>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</si>
  <si>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</si>
  <si>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</si>
  <si>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</si>
  <si>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</si>
  <si>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</si>
  <si>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</si>
  <si>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</si>
  <si>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</si>
  <si>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</si>
  <si>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</si>
  <si>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</si>
  <si>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</si>
  <si>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</si>
  <si>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</si>
  <si>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</si>
  <si>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</si>
  <si>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</si>
  <si>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</si>
  <si>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</si>
  <si>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</si>
  <si>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</si>
  <si>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</si>
  <si>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</si>
  <si>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</si>
  <si>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</si>
  <si>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</si>
  <si>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</si>
  <si>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</si>
  <si>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</si>
  <si>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</si>
  <si>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</si>
  <si>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</si>
  <si>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</si>
  <si>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</si>
  <si>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</si>
  <si>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</si>
  <si>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</si>
  <si>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</si>
  <si>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</si>
  <si>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</si>
  <si>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</si>
  <si>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</si>
  <si>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</si>
  <si>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</si>
  <si>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</si>
  <si>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</si>
  <si>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</si>
  <si>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</si>
  <si>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</si>
  <si>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</si>
  <si>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</si>
  <si>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</si>
  <si>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</si>
  <si>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</si>
  <si>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</si>
  <si>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</si>
  <si>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</si>
  <si>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</si>
  <si>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</si>
  <si>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</si>
  <si>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</si>
  <si>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</si>
  <si>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</si>
  <si>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</si>
  <si>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</si>
  <si>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</si>
  <si>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</si>
  <si>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</si>
  <si>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</si>
  <si>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</si>
  <si>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</si>
  <si>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</si>
  <si>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</si>
  <si>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</si>
  <si>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</si>
  <si>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</si>
  <si>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</si>
  <si>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</si>
  <si>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</si>
  <si>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</si>
  <si>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</si>
  <si>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</si>
  <si>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</si>
  <si>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</si>
  <si>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</si>
  <si>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</si>
  <si>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</si>
  <si>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</si>
  <si>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</si>
  <si>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</si>
  <si>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</si>
  <si>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</si>
  <si>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</si>
  <si>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</si>
  <si>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</si>
  <si>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</si>
  <si>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</si>
  <si>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</si>
  <si>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</si>
  <si>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</si>
  <si>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</si>
  <si>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</si>
  <si>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</si>
  <si>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</si>
  <si>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</si>
  <si>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</si>
  <si>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</si>
  <si>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</si>
  <si>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</si>
  <si>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</si>
  <si>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</si>
  <si>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</si>
  <si>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</si>
  <si>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</si>
  <si>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</si>
  <si>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</si>
  <si>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31040</t>
  </si>
  <si>
    <t>ZEDELGEM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</si>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</sst>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7CA607A-75A2-407D-93EE-1E0775846C4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193954.15552674563</c:v>
                </c:pt>
                <c:pt idx="1">
                  <c:v>58132.428391166679</c:v>
                </c:pt>
                <c:pt idx="2">
                  <c:v>2019.5619999999999</c:v>
                </c:pt>
                <c:pt idx="3">
                  <c:v>43991.277015629006</c:v>
                </c:pt>
                <c:pt idx="4">
                  <c:v>85325.912006509781</c:v>
                </c:pt>
                <c:pt idx="5">
                  <c:v>205607.84096964519</c:v>
                </c:pt>
                <c:pt idx="6">
                  <c:v>1950.7299837494829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193954.15552674563</c:v>
                </c:pt>
                <c:pt idx="1">
                  <c:v>58132.428391166679</c:v>
                </c:pt>
                <c:pt idx="2">
                  <c:v>2019.5619999999999</c:v>
                </c:pt>
                <c:pt idx="3">
                  <c:v>43991.277015629006</c:v>
                </c:pt>
                <c:pt idx="4">
                  <c:v>85325.912006509781</c:v>
                </c:pt>
                <c:pt idx="5">
                  <c:v>205607.84096964519</c:v>
                </c:pt>
                <c:pt idx="6">
                  <c:v>1950.7299837494829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40879.463162087071</c:v>
                </c:pt>
                <c:pt idx="2">
                  <c:v>11003.717937653731</c:v>
                </c:pt>
                <c:pt idx="3">
                  <c:v>392.14144744317741</c:v>
                </c:pt>
                <c:pt idx="4">
                  <c:v>10678.143923310534</c:v>
                </c:pt>
                <c:pt idx="5">
                  <c:v>17350.063042699174</c:v>
                </c:pt>
                <c:pt idx="6">
                  <c:v>51582.089886579779</c:v>
                </c:pt>
                <c:pt idx="7">
                  <c:v>491.9284029654271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40879.463162087071</c:v>
                </c:pt>
                <c:pt idx="2">
                  <c:v>11003.717937653731</c:v>
                </c:pt>
                <c:pt idx="3">
                  <c:v>392.14144744317741</c:v>
                </c:pt>
                <c:pt idx="4">
                  <c:v>10678.143923310534</c:v>
                </c:pt>
                <c:pt idx="5">
                  <c:v>17350.063042699174</c:v>
                </c:pt>
                <c:pt idx="6">
                  <c:v>51582.089886579779</c:v>
                </c:pt>
                <c:pt idx="7">
                  <c:v>491.9284029654271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31040</v>
      </c>
      <c r="B6" s="383"/>
      <c r="C6" s="384"/>
    </row>
    <row r="7" spans="1:7" s="381" customFormat="1" ht="15.75" customHeight="1">
      <c r="A7" s="385" t="str">
        <f>txtMunicipality</f>
        <v>ZEDELGEM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26105.984799999998</v>
      </c>
      <c r="D10" s="983">
        <f ca="1">tertiair!C16</f>
        <v>0</v>
      </c>
      <c r="E10" s="983">
        <f ca="1">tertiair!D16</f>
        <v>26051.188499348104</v>
      </c>
      <c r="F10" s="983">
        <f>tertiair!E16</f>
        <v>240.53669588813113</v>
      </c>
      <c r="G10" s="983">
        <f ca="1">tertiair!F16</f>
        <v>3782.3161652731192</v>
      </c>
      <c r="H10" s="983">
        <f>tertiair!G16</f>
        <v>0</v>
      </c>
      <c r="I10" s="983">
        <f>tertiair!H16</f>
        <v>0</v>
      </c>
      <c r="J10" s="983">
        <f>tertiair!I16</f>
        <v>0</v>
      </c>
      <c r="K10" s="983">
        <f>tertiair!J16</f>
        <v>0</v>
      </c>
      <c r="L10" s="983">
        <f>tertiair!K16</f>
        <v>0</v>
      </c>
      <c r="M10" s="983">
        <f ca="1">tertiair!L16</f>
        <v>0</v>
      </c>
      <c r="N10" s="983">
        <f>tertiair!M16</f>
        <v>0</v>
      </c>
      <c r="O10" s="983">
        <f ca="1">tertiair!N16</f>
        <v>3835.3708973239932</v>
      </c>
      <c r="P10" s="983">
        <f>tertiair!O16</f>
        <v>3.1266666666666669</v>
      </c>
      <c r="Q10" s="984">
        <f>tertiair!P16</f>
        <v>133.46666666666667</v>
      </c>
      <c r="R10" s="667">
        <f ca="1">SUM(C10:Q10)</f>
        <v>60151.99039116667</v>
      </c>
      <c r="S10" s="67"/>
    </row>
    <row r="11" spans="1:19" s="440" customFormat="1">
      <c r="A11" s="776" t="s">
        <v>214</v>
      </c>
      <c r="B11" s="781"/>
      <c r="C11" s="983">
        <f>huishoudens!B8</f>
        <v>45905.504943097541</v>
      </c>
      <c r="D11" s="983">
        <f>huishoudens!C8</f>
        <v>0</v>
      </c>
      <c r="E11" s="983">
        <f>huishoudens!D8</f>
        <v>70611.961070520134</v>
      </c>
      <c r="F11" s="983">
        <f>huishoudens!E8</f>
        <v>1986.6914576911147</v>
      </c>
      <c r="G11" s="983">
        <f>huishoudens!F8</f>
        <v>62673.917399644466</v>
      </c>
      <c r="H11" s="983">
        <f>huishoudens!G8</f>
        <v>0</v>
      </c>
      <c r="I11" s="983">
        <f>huishoudens!H8</f>
        <v>0</v>
      </c>
      <c r="J11" s="983">
        <f>huishoudens!I8</f>
        <v>0</v>
      </c>
      <c r="K11" s="983">
        <f>huishoudens!J8</f>
        <v>1461.5533861639481</v>
      </c>
      <c r="L11" s="983">
        <f>huishoudens!K8</f>
        <v>0</v>
      </c>
      <c r="M11" s="983">
        <f>huishoudens!L8</f>
        <v>0</v>
      </c>
      <c r="N11" s="983">
        <f>huishoudens!M8</f>
        <v>0</v>
      </c>
      <c r="O11" s="983">
        <f>huishoudens!N8</f>
        <v>10449.2039362951</v>
      </c>
      <c r="P11" s="983">
        <f>huishoudens!O8</f>
        <v>426.79000000000008</v>
      </c>
      <c r="Q11" s="984">
        <f>huishoudens!P8</f>
        <v>438.5333333333333</v>
      </c>
      <c r="R11" s="667">
        <f>SUM(C11:Q11)</f>
        <v>193954.15552674563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21356.404500000001</v>
      </c>
      <c r="D13" s="983">
        <f>industrie!C18</f>
        <v>0</v>
      </c>
      <c r="E13" s="983">
        <f>industrie!D18</f>
        <v>52809.438705181121</v>
      </c>
      <c r="F13" s="983">
        <f>industrie!E18</f>
        <v>1517.2277867609505</v>
      </c>
      <c r="G13" s="983">
        <f>industrie!F18</f>
        <v>8115.4696976689111</v>
      </c>
      <c r="H13" s="983">
        <f>industrie!G18</f>
        <v>0</v>
      </c>
      <c r="I13" s="983">
        <f>industrie!H18</f>
        <v>0</v>
      </c>
      <c r="J13" s="983">
        <f>industrie!I18</f>
        <v>0</v>
      </c>
      <c r="K13" s="983">
        <f>industrie!J18</f>
        <v>69.235955648154786</v>
      </c>
      <c r="L13" s="983">
        <f>industrie!K18</f>
        <v>0</v>
      </c>
      <c r="M13" s="983">
        <f>industrie!L18</f>
        <v>0</v>
      </c>
      <c r="N13" s="983">
        <f>industrie!M18</f>
        <v>0</v>
      </c>
      <c r="O13" s="983">
        <f>industrie!N18</f>
        <v>1458.1353612506389</v>
      </c>
      <c r="P13" s="983">
        <f>industrie!O18</f>
        <v>0</v>
      </c>
      <c r="Q13" s="984">
        <f>industrie!P18</f>
        <v>0</v>
      </c>
      <c r="R13" s="667">
        <f>SUM(C13:Q13)</f>
        <v>85325.912006509781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93367.894243097544</v>
      </c>
      <c r="D16" s="699">
        <f t="shared" ref="D16:R16" ca="1" si="0">SUM(D9:D15)</f>
        <v>0</v>
      </c>
      <c r="E16" s="699">
        <f t="shared" ca="1" si="0"/>
        <v>149472.58827504935</v>
      </c>
      <c r="F16" s="699">
        <f t="shared" si="0"/>
        <v>3744.4559403401963</v>
      </c>
      <c r="G16" s="699">
        <f t="shared" ca="1" si="0"/>
        <v>74571.703262586496</v>
      </c>
      <c r="H16" s="699">
        <f t="shared" si="0"/>
        <v>0</v>
      </c>
      <c r="I16" s="699">
        <f t="shared" si="0"/>
        <v>0</v>
      </c>
      <c r="J16" s="699">
        <f t="shared" si="0"/>
        <v>0</v>
      </c>
      <c r="K16" s="699">
        <f t="shared" si="0"/>
        <v>1530.7893418121027</v>
      </c>
      <c r="L16" s="699">
        <f t="shared" si="0"/>
        <v>0</v>
      </c>
      <c r="M16" s="699">
        <f t="shared" ca="1" si="0"/>
        <v>0</v>
      </c>
      <c r="N16" s="699">
        <f t="shared" si="0"/>
        <v>0</v>
      </c>
      <c r="O16" s="699">
        <f t="shared" ca="1" si="0"/>
        <v>15742.710194869733</v>
      </c>
      <c r="P16" s="699">
        <f t="shared" si="0"/>
        <v>429.91666666666674</v>
      </c>
      <c r="Q16" s="699">
        <f t="shared" si="0"/>
        <v>572</v>
      </c>
      <c r="R16" s="699">
        <f t="shared" ca="1" si="0"/>
        <v>339432.05792442209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9.6860803900485539</v>
      </c>
      <c r="D19" s="983">
        <f>transport!C54</f>
        <v>0</v>
      </c>
      <c r="E19" s="983">
        <f>transport!D54</f>
        <v>0</v>
      </c>
      <c r="F19" s="983">
        <f>transport!E54</f>
        <v>0</v>
      </c>
      <c r="G19" s="983">
        <f>transport!F54</f>
        <v>0</v>
      </c>
      <c r="H19" s="983">
        <f>transport!G54</f>
        <v>1835.384426581767</v>
      </c>
      <c r="I19" s="983">
        <f>transport!H54</f>
        <v>0</v>
      </c>
      <c r="J19" s="983">
        <f>transport!I54</f>
        <v>0</v>
      </c>
      <c r="K19" s="983">
        <f>transport!J54</f>
        <v>0</v>
      </c>
      <c r="L19" s="983">
        <f>transport!K54</f>
        <v>0</v>
      </c>
      <c r="M19" s="983">
        <f>transport!L54</f>
        <v>0</v>
      </c>
      <c r="N19" s="983">
        <f>transport!M54</f>
        <v>105.65947677766728</v>
      </c>
      <c r="O19" s="983">
        <f>transport!N54</f>
        <v>0</v>
      </c>
      <c r="P19" s="983">
        <f>transport!O54</f>
        <v>0</v>
      </c>
      <c r="Q19" s="984">
        <f>transport!P54</f>
        <v>0</v>
      </c>
      <c r="R19" s="667">
        <f>SUM(C19:Q19)</f>
        <v>1950.7299837494829</v>
      </c>
      <c r="S19" s="67"/>
    </row>
    <row r="20" spans="1:19" s="440" customFormat="1">
      <c r="A20" s="776" t="s">
        <v>296</v>
      </c>
      <c r="B20" s="781"/>
      <c r="C20" s="983">
        <f>transport!B14</f>
        <v>30.404022531429852</v>
      </c>
      <c r="D20" s="983">
        <f>transport!C14</f>
        <v>0</v>
      </c>
      <c r="E20" s="983">
        <f>transport!D14</f>
        <v>44.578487507739482</v>
      </c>
      <c r="F20" s="983">
        <f>transport!E14</f>
        <v>477.85840581018937</v>
      </c>
      <c r="G20" s="983">
        <f>transport!F14</f>
        <v>0</v>
      </c>
      <c r="H20" s="983">
        <f>transport!G14</f>
        <v>168231.82858287726</v>
      </c>
      <c r="I20" s="983">
        <f>transport!H14</f>
        <v>26268.31062941032</v>
      </c>
      <c r="J20" s="983">
        <f>transport!I14</f>
        <v>0</v>
      </c>
      <c r="K20" s="983">
        <f>transport!J14</f>
        <v>0</v>
      </c>
      <c r="L20" s="983">
        <f>transport!K14</f>
        <v>0</v>
      </c>
      <c r="M20" s="983">
        <f>transport!L14</f>
        <v>0</v>
      </c>
      <c r="N20" s="983">
        <f>transport!M14</f>
        <v>10554.860841508254</v>
      </c>
      <c r="O20" s="983">
        <f>transport!N14</f>
        <v>0</v>
      </c>
      <c r="P20" s="983">
        <f>transport!O14</f>
        <v>0</v>
      </c>
      <c r="Q20" s="984">
        <f>transport!P14</f>
        <v>0</v>
      </c>
      <c r="R20" s="667">
        <f>SUM(C20:Q20)</f>
        <v>205607.84096964519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40.090102921478405</v>
      </c>
      <c r="D22" s="779">
        <f t="shared" ref="D22:R22" si="1">SUM(D18:D21)</f>
        <v>0</v>
      </c>
      <c r="E22" s="779">
        <f t="shared" si="1"/>
        <v>44.578487507739482</v>
      </c>
      <c r="F22" s="779">
        <f t="shared" si="1"/>
        <v>477.85840581018937</v>
      </c>
      <c r="G22" s="779">
        <f t="shared" si="1"/>
        <v>0</v>
      </c>
      <c r="H22" s="779">
        <f t="shared" si="1"/>
        <v>170067.21300945902</v>
      </c>
      <c r="I22" s="779">
        <f t="shared" si="1"/>
        <v>26268.31062941032</v>
      </c>
      <c r="J22" s="779">
        <f t="shared" si="1"/>
        <v>0</v>
      </c>
      <c r="K22" s="779">
        <f t="shared" si="1"/>
        <v>0</v>
      </c>
      <c r="L22" s="779">
        <f t="shared" si="1"/>
        <v>0</v>
      </c>
      <c r="M22" s="779">
        <f t="shared" si="1"/>
        <v>0</v>
      </c>
      <c r="N22" s="779">
        <f t="shared" si="1"/>
        <v>10660.520318285922</v>
      </c>
      <c r="O22" s="779">
        <f t="shared" si="1"/>
        <v>0</v>
      </c>
      <c r="P22" s="779">
        <f t="shared" si="1"/>
        <v>0</v>
      </c>
      <c r="Q22" s="779">
        <f t="shared" si="1"/>
        <v>0</v>
      </c>
      <c r="R22" s="779">
        <f t="shared" si="1"/>
        <v>207558.57095339466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4590.7923000000001</v>
      </c>
      <c r="D24" s="983">
        <f>+landbouw!C8</f>
        <v>27006.428571428572</v>
      </c>
      <c r="E24" s="983">
        <f>+landbouw!D8</f>
        <v>0</v>
      </c>
      <c r="F24" s="983">
        <f>+landbouw!E8</f>
        <v>42.521841083162762</v>
      </c>
      <c r="G24" s="983">
        <f>+landbouw!F8</f>
        <v>11647.714610135674</v>
      </c>
      <c r="H24" s="983">
        <f>+landbouw!G8</f>
        <v>0</v>
      </c>
      <c r="I24" s="983">
        <f>+landbouw!H8</f>
        <v>0</v>
      </c>
      <c r="J24" s="983">
        <f>+landbouw!I8</f>
        <v>0</v>
      </c>
      <c r="K24" s="983">
        <f>+landbouw!J8</f>
        <v>703.81969298159743</v>
      </c>
      <c r="L24" s="983">
        <f>+landbouw!K8</f>
        <v>0</v>
      </c>
      <c r="M24" s="983">
        <f>+landbouw!L8</f>
        <v>0</v>
      </c>
      <c r="N24" s="983">
        <f>+landbouw!M8</f>
        <v>0</v>
      </c>
      <c r="O24" s="983">
        <f>+landbouw!N8</f>
        <v>0</v>
      </c>
      <c r="P24" s="983">
        <f>+landbouw!O8</f>
        <v>0</v>
      </c>
      <c r="Q24" s="984">
        <f>+landbouw!P8</f>
        <v>0</v>
      </c>
      <c r="R24" s="667">
        <f>SUM(C24:Q24)</f>
        <v>43991.277015629006</v>
      </c>
      <c r="S24" s="67"/>
    </row>
    <row r="25" spans="1:19" s="440" customFormat="1" ht="15" thickBot="1">
      <c r="A25" s="798" t="s">
        <v>829</v>
      </c>
      <c r="B25" s="986"/>
      <c r="C25" s="987">
        <f>IF(Onbekend_ele_kWh="---",0,Onbekend_ele_kWh)/1000+IF(REST_rest_ele_kWh="---",0,REST_rest_ele_kWh)/1000</f>
        <v>1288.471</v>
      </c>
      <c r="D25" s="987"/>
      <c r="E25" s="987">
        <f>IF(onbekend_gas_kWh="---",0,onbekend_gas_kWh)/1000+IF(REST_rest_gas_kWh="---",0,REST_rest_gas_kWh)/1000</f>
        <v>1969.9304729031498</v>
      </c>
      <c r="F25" s="987"/>
      <c r="G25" s="987"/>
      <c r="H25" s="987"/>
      <c r="I25" s="987"/>
      <c r="J25" s="987"/>
      <c r="K25" s="987"/>
      <c r="L25" s="987"/>
      <c r="M25" s="987"/>
      <c r="N25" s="987"/>
      <c r="O25" s="987"/>
      <c r="P25" s="987"/>
      <c r="Q25" s="988"/>
      <c r="R25" s="667">
        <f>SUM(C25:Q25)</f>
        <v>3258.4014729031496</v>
      </c>
      <c r="S25" s="67"/>
    </row>
    <row r="26" spans="1:19" s="440" customFormat="1" ht="15.75" thickBot="1">
      <c r="A26" s="672" t="s">
        <v>830</v>
      </c>
      <c r="B26" s="784"/>
      <c r="C26" s="779">
        <f>SUM(C24:C25)</f>
        <v>5879.2633000000005</v>
      </c>
      <c r="D26" s="779">
        <f t="shared" ref="D26:R26" si="2">SUM(D24:D25)</f>
        <v>27006.428571428572</v>
      </c>
      <c r="E26" s="779">
        <f t="shared" si="2"/>
        <v>1969.9304729031498</v>
      </c>
      <c r="F26" s="779">
        <f t="shared" si="2"/>
        <v>42.521841083162762</v>
      </c>
      <c r="G26" s="779">
        <f t="shared" si="2"/>
        <v>11647.714610135674</v>
      </c>
      <c r="H26" s="779">
        <f t="shared" si="2"/>
        <v>0</v>
      </c>
      <c r="I26" s="779">
        <f t="shared" si="2"/>
        <v>0</v>
      </c>
      <c r="J26" s="779">
        <f t="shared" si="2"/>
        <v>0</v>
      </c>
      <c r="K26" s="779">
        <f t="shared" si="2"/>
        <v>703.81969298159743</v>
      </c>
      <c r="L26" s="779">
        <f t="shared" si="2"/>
        <v>0</v>
      </c>
      <c r="M26" s="779">
        <f t="shared" si="2"/>
        <v>0</v>
      </c>
      <c r="N26" s="779">
        <f t="shared" si="2"/>
        <v>0</v>
      </c>
      <c r="O26" s="779">
        <f t="shared" si="2"/>
        <v>0</v>
      </c>
      <c r="P26" s="779">
        <f t="shared" si="2"/>
        <v>0</v>
      </c>
      <c r="Q26" s="779">
        <f t="shared" si="2"/>
        <v>0</v>
      </c>
      <c r="R26" s="779">
        <f t="shared" si="2"/>
        <v>47249.678488532154</v>
      </c>
      <c r="S26" s="67"/>
    </row>
    <row r="27" spans="1:19" s="440" customFormat="1" ht="17.25" thickTop="1" thickBot="1">
      <c r="A27" s="673" t="s">
        <v>109</v>
      </c>
      <c r="B27" s="772"/>
      <c r="C27" s="674">
        <f ca="1">C22+C16+C26</f>
        <v>99287.247646019023</v>
      </c>
      <c r="D27" s="674">
        <f t="shared" ref="D27:R27" ca="1" si="3">D22+D16+D26</f>
        <v>27006.428571428572</v>
      </c>
      <c r="E27" s="674">
        <f t="shared" ca="1" si="3"/>
        <v>151487.09723546024</v>
      </c>
      <c r="F27" s="674">
        <f t="shared" si="3"/>
        <v>4264.836187233549</v>
      </c>
      <c r="G27" s="674">
        <f t="shared" ca="1" si="3"/>
        <v>86219.417872722173</v>
      </c>
      <c r="H27" s="674">
        <f t="shared" si="3"/>
        <v>170067.21300945902</v>
      </c>
      <c r="I27" s="674">
        <f t="shared" si="3"/>
        <v>26268.31062941032</v>
      </c>
      <c r="J27" s="674">
        <f t="shared" si="3"/>
        <v>0</v>
      </c>
      <c r="K27" s="674">
        <f t="shared" si="3"/>
        <v>2234.6090347937002</v>
      </c>
      <c r="L27" s="674">
        <f t="shared" si="3"/>
        <v>0</v>
      </c>
      <c r="M27" s="674">
        <f t="shared" ca="1" si="3"/>
        <v>0</v>
      </c>
      <c r="N27" s="674">
        <f t="shared" si="3"/>
        <v>10660.520318285922</v>
      </c>
      <c r="O27" s="674">
        <f t="shared" ca="1" si="3"/>
        <v>15742.710194869733</v>
      </c>
      <c r="P27" s="674">
        <f t="shared" si="3"/>
        <v>429.91666666666674</v>
      </c>
      <c r="Q27" s="674">
        <f t="shared" si="3"/>
        <v>572</v>
      </c>
      <c r="R27" s="674">
        <f t="shared" ca="1" si="3"/>
        <v>594240.30736634892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5069.0390621340621</v>
      </c>
      <c r="D40" s="983">
        <f ca="1">tertiair!C20</f>
        <v>0</v>
      </c>
      <c r="E40" s="983">
        <f ca="1">tertiair!D20</f>
        <v>5262.3400768683168</v>
      </c>
      <c r="F40" s="983">
        <f>tertiair!E20</f>
        <v>54.60182996660577</v>
      </c>
      <c r="G40" s="983">
        <f ca="1">tertiair!F20</f>
        <v>1009.8784161279228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11395.85938509691</v>
      </c>
    </row>
    <row r="41" spans="1:18">
      <c r="A41" s="789" t="s">
        <v>214</v>
      </c>
      <c r="B41" s="796"/>
      <c r="C41" s="983">
        <f ca="1">huishoudens!B12</f>
        <v>8913.5422205390114</v>
      </c>
      <c r="D41" s="983">
        <f ca="1">huishoudens!C12</f>
        <v>0</v>
      </c>
      <c r="E41" s="983">
        <f>huishoudens!D12</f>
        <v>14263.616136245068</v>
      </c>
      <c r="F41" s="983">
        <f>huishoudens!E12</f>
        <v>450.97896089588306</v>
      </c>
      <c r="G41" s="983">
        <f>huishoudens!F12</f>
        <v>16733.935945705074</v>
      </c>
      <c r="H41" s="983">
        <f>huishoudens!G12</f>
        <v>0</v>
      </c>
      <c r="I41" s="983">
        <f>huishoudens!H12</f>
        <v>0</v>
      </c>
      <c r="J41" s="983">
        <f>huishoudens!I12</f>
        <v>0</v>
      </c>
      <c r="K41" s="983">
        <f>huishoudens!J12</f>
        <v>517.38989870203761</v>
      </c>
      <c r="L41" s="983">
        <f>huishoudens!K12</f>
        <v>0</v>
      </c>
      <c r="M41" s="983">
        <f>huishoudens!L12</f>
        <v>0</v>
      </c>
      <c r="N41" s="983">
        <f>huishoudens!M12</f>
        <v>0</v>
      </c>
      <c r="O41" s="983">
        <f>huishoudens!N12</f>
        <v>0</v>
      </c>
      <c r="P41" s="983">
        <f>huishoudens!O12</f>
        <v>0</v>
      </c>
      <c r="Q41" s="741">
        <f>huishoudens!P12</f>
        <v>0</v>
      </c>
      <c r="R41" s="817">
        <f t="shared" ca="1" si="4"/>
        <v>40879.463162087071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4146.8057790808052</v>
      </c>
      <c r="D43" s="983">
        <f ca="1">industrie!C22</f>
        <v>0</v>
      </c>
      <c r="E43" s="983">
        <f>industrie!D22</f>
        <v>10667.506618446587</v>
      </c>
      <c r="F43" s="983">
        <f>industrie!E22</f>
        <v>344.41070759473575</v>
      </c>
      <c r="G43" s="983">
        <f>industrie!F22</f>
        <v>2166.8304092775993</v>
      </c>
      <c r="H43" s="983">
        <f>industrie!G22</f>
        <v>0</v>
      </c>
      <c r="I43" s="983">
        <f>industrie!H22</f>
        <v>0</v>
      </c>
      <c r="J43" s="983">
        <f>industrie!I22</f>
        <v>0</v>
      </c>
      <c r="K43" s="983">
        <f>industrie!J22</f>
        <v>24.509528299446792</v>
      </c>
      <c r="L43" s="983">
        <f>industrie!K22</f>
        <v>0</v>
      </c>
      <c r="M43" s="983">
        <f>industrie!L22</f>
        <v>0</v>
      </c>
      <c r="N43" s="983">
        <f>industrie!M22</f>
        <v>0</v>
      </c>
      <c r="O43" s="983">
        <f>industrie!N22</f>
        <v>0</v>
      </c>
      <c r="P43" s="983">
        <f>industrie!O22</f>
        <v>0</v>
      </c>
      <c r="Q43" s="741">
        <f>industrie!P22</f>
        <v>0</v>
      </c>
      <c r="R43" s="816">
        <f t="shared" ca="1" si="4"/>
        <v>17350.063042699174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18129.387061753878</v>
      </c>
      <c r="D46" s="699">
        <f t="shared" ref="D46:Q46" ca="1" si="5">SUM(D39:D45)</f>
        <v>0</v>
      </c>
      <c r="E46" s="699">
        <f t="shared" ca="1" si="5"/>
        <v>30193.462831559973</v>
      </c>
      <c r="F46" s="699">
        <f t="shared" si="5"/>
        <v>849.99149845722457</v>
      </c>
      <c r="G46" s="699">
        <f t="shared" ca="1" si="5"/>
        <v>19910.644771110594</v>
      </c>
      <c r="H46" s="699">
        <f t="shared" si="5"/>
        <v>0</v>
      </c>
      <c r="I46" s="699">
        <f t="shared" si="5"/>
        <v>0</v>
      </c>
      <c r="J46" s="699">
        <f t="shared" si="5"/>
        <v>0</v>
      </c>
      <c r="K46" s="699">
        <f t="shared" si="5"/>
        <v>541.89942700148436</v>
      </c>
      <c r="L46" s="699">
        <f t="shared" si="5"/>
        <v>0</v>
      </c>
      <c r="M46" s="699">
        <f t="shared" ca="1" si="5"/>
        <v>0</v>
      </c>
      <c r="N46" s="699">
        <f t="shared" si="5"/>
        <v>0</v>
      </c>
      <c r="O46" s="699">
        <f t="shared" ca="1" si="5"/>
        <v>0</v>
      </c>
      <c r="P46" s="699">
        <f t="shared" si="5"/>
        <v>0</v>
      </c>
      <c r="Q46" s="699">
        <f t="shared" si="5"/>
        <v>0</v>
      </c>
      <c r="R46" s="699">
        <f ca="1">SUM(R39:R45)</f>
        <v>69625.385589883153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1.8807610680952684</v>
      </c>
      <c r="D49" s="983">
        <f ca="1">transport!C58</f>
        <v>0</v>
      </c>
      <c r="E49" s="983">
        <f>transport!D58</f>
        <v>0</v>
      </c>
      <c r="F49" s="983">
        <f>transport!E58</f>
        <v>0</v>
      </c>
      <c r="G49" s="983">
        <f>transport!F58</f>
        <v>0</v>
      </c>
      <c r="H49" s="983">
        <f>transport!G58</f>
        <v>490.0476418973318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491.9284029654271</v>
      </c>
    </row>
    <row r="50" spans="1:18">
      <c r="A50" s="792" t="s">
        <v>296</v>
      </c>
      <c r="B50" s="802"/>
      <c r="C50" s="670">
        <f ca="1">transport!B18</f>
        <v>5.9035956328995507</v>
      </c>
      <c r="D50" s="670">
        <f>transport!C18</f>
        <v>0</v>
      </c>
      <c r="E50" s="670">
        <f>transport!D18</f>
        <v>9.0048544765633753</v>
      </c>
      <c r="F50" s="670">
        <f>transport!E18</f>
        <v>108.47385811891299</v>
      </c>
      <c r="G50" s="670">
        <f>transport!F18</f>
        <v>0</v>
      </c>
      <c r="H50" s="670">
        <f>transport!G18</f>
        <v>44917.898231628234</v>
      </c>
      <c r="I50" s="670">
        <f>transport!H18</f>
        <v>6540.8093467231693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51582.089886579779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7.7843567009948194</v>
      </c>
      <c r="D52" s="699">
        <f t="shared" ref="D52:Q52" ca="1" si="6">SUM(D48:D51)</f>
        <v>0</v>
      </c>
      <c r="E52" s="699">
        <f t="shared" si="6"/>
        <v>9.0048544765633753</v>
      </c>
      <c r="F52" s="699">
        <f t="shared" si="6"/>
        <v>108.47385811891299</v>
      </c>
      <c r="G52" s="699">
        <f t="shared" si="6"/>
        <v>0</v>
      </c>
      <c r="H52" s="699">
        <f t="shared" si="6"/>
        <v>45407.945873525568</v>
      </c>
      <c r="I52" s="699">
        <f t="shared" si="6"/>
        <v>6540.8093467231693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52074.018289545209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891.40117383521465</v>
      </c>
      <c r="D54" s="670">
        <f ca="1">+landbouw!C12</f>
        <v>6417.9983193277312</v>
      </c>
      <c r="E54" s="670">
        <f>+landbouw!D12</f>
        <v>0</v>
      </c>
      <c r="F54" s="670">
        <f>+landbouw!E12</f>
        <v>9.6524579258779468</v>
      </c>
      <c r="G54" s="670">
        <f>+landbouw!F12</f>
        <v>3109.9398009062252</v>
      </c>
      <c r="H54" s="670">
        <f>+landbouw!G12</f>
        <v>0</v>
      </c>
      <c r="I54" s="670">
        <f>+landbouw!H12</f>
        <v>0</v>
      </c>
      <c r="J54" s="670">
        <f>+landbouw!I12</f>
        <v>0</v>
      </c>
      <c r="K54" s="670">
        <f>+landbouw!J12</f>
        <v>249.15217131548548</v>
      </c>
      <c r="L54" s="670">
        <f>+landbouw!K12</f>
        <v>0</v>
      </c>
      <c r="M54" s="670">
        <f>+landbouw!L12</f>
        <v>0</v>
      </c>
      <c r="N54" s="670">
        <f>+landbouw!M12</f>
        <v>0</v>
      </c>
      <c r="O54" s="670">
        <f>+landbouw!N12</f>
        <v>0</v>
      </c>
      <c r="P54" s="670">
        <f>+landbouw!O12</f>
        <v>0</v>
      </c>
      <c r="Q54" s="671">
        <f>+landbouw!P12</f>
        <v>0</v>
      </c>
      <c r="R54" s="698">
        <f ca="1">SUM(C54:Q54)</f>
        <v>10678.143923310534</v>
      </c>
    </row>
    <row r="55" spans="1:18" ht="15" thickBot="1">
      <c r="A55" s="792" t="s">
        <v>829</v>
      </c>
      <c r="B55" s="802"/>
      <c r="C55" s="670">
        <f ca="1">C25*'EF ele_warmte'!B12</f>
        <v>250.18438796558775</v>
      </c>
      <c r="D55" s="670"/>
      <c r="E55" s="670">
        <f>E25*EF_CO2_aardgas</f>
        <v>397.92595552643627</v>
      </c>
      <c r="F55" s="670"/>
      <c r="G55" s="670"/>
      <c r="H55" s="670"/>
      <c r="I55" s="670"/>
      <c r="J55" s="670"/>
      <c r="K55" s="670"/>
      <c r="L55" s="670"/>
      <c r="M55" s="670"/>
      <c r="N55" s="670"/>
      <c r="O55" s="670"/>
      <c r="P55" s="670"/>
      <c r="Q55" s="671"/>
      <c r="R55" s="698">
        <f ca="1">SUM(C55:Q55)</f>
        <v>648.11034349202396</v>
      </c>
    </row>
    <row r="56" spans="1:18" ht="15.75" thickBot="1">
      <c r="A56" s="790" t="s">
        <v>830</v>
      </c>
      <c r="B56" s="803"/>
      <c r="C56" s="699">
        <f ca="1">SUM(C54:C55)</f>
        <v>1141.5855618008025</v>
      </c>
      <c r="D56" s="699">
        <f t="shared" ref="D56:Q56" ca="1" si="7">SUM(D54:D55)</f>
        <v>6417.9983193277312</v>
      </c>
      <c r="E56" s="699">
        <f t="shared" si="7"/>
        <v>397.92595552643627</v>
      </c>
      <c r="F56" s="699">
        <f t="shared" si="7"/>
        <v>9.6524579258779468</v>
      </c>
      <c r="G56" s="699">
        <f t="shared" si="7"/>
        <v>3109.9398009062252</v>
      </c>
      <c r="H56" s="699">
        <f t="shared" si="7"/>
        <v>0</v>
      </c>
      <c r="I56" s="699">
        <f t="shared" si="7"/>
        <v>0</v>
      </c>
      <c r="J56" s="699">
        <f t="shared" si="7"/>
        <v>0</v>
      </c>
      <c r="K56" s="699">
        <f t="shared" si="7"/>
        <v>249.15217131548548</v>
      </c>
      <c r="L56" s="699">
        <f t="shared" si="7"/>
        <v>0</v>
      </c>
      <c r="M56" s="699">
        <f t="shared" si="7"/>
        <v>0</v>
      </c>
      <c r="N56" s="699">
        <f t="shared" si="7"/>
        <v>0</v>
      </c>
      <c r="O56" s="699">
        <f t="shared" si="7"/>
        <v>0</v>
      </c>
      <c r="P56" s="699">
        <f t="shared" si="7"/>
        <v>0</v>
      </c>
      <c r="Q56" s="700">
        <f t="shared" si="7"/>
        <v>0</v>
      </c>
      <c r="R56" s="701">
        <f ca="1">SUM(R54:R55)</f>
        <v>11326.254266802558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19278.756980255675</v>
      </c>
      <c r="D61" s="707">
        <f t="shared" ref="D61:Q61" ca="1" si="8">D46+D52+D56</f>
        <v>6417.9983193277312</v>
      </c>
      <c r="E61" s="707">
        <f t="shared" ca="1" si="8"/>
        <v>30600.393641562972</v>
      </c>
      <c r="F61" s="707">
        <f t="shared" si="8"/>
        <v>968.11781450201545</v>
      </c>
      <c r="G61" s="707">
        <f t="shared" ca="1" si="8"/>
        <v>23020.584572016818</v>
      </c>
      <c r="H61" s="707">
        <f t="shared" si="8"/>
        <v>45407.945873525568</v>
      </c>
      <c r="I61" s="707">
        <f t="shared" si="8"/>
        <v>6540.8093467231693</v>
      </c>
      <c r="J61" s="707">
        <f t="shared" si="8"/>
        <v>0</v>
      </c>
      <c r="K61" s="707">
        <f t="shared" si="8"/>
        <v>791.05159831696983</v>
      </c>
      <c r="L61" s="707">
        <f t="shared" si="8"/>
        <v>0</v>
      </c>
      <c r="M61" s="707">
        <f t="shared" ca="1" si="8"/>
        <v>0</v>
      </c>
      <c r="N61" s="707">
        <f t="shared" si="8"/>
        <v>0</v>
      </c>
      <c r="O61" s="707">
        <f t="shared" ca="1" si="8"/>
        <v>0</v>
      </c>
      <c r="P61" s="707">
        <f t="shared" si="8"/>
        <v>0</v>
      </c>
      <c r="Q61" s="707">
        <f t="shared" si="8"/>
        <v>0</v>
      </c>
      <c r="R61" s="707">
        <f ca="1">R46+R52+R56</f>
        <v>133025.65814623094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0.19417153196741543</v>
      </c>
      <c r="D63" s="748">
        <f t="shared" ca="1" si="9"/>
        <v>0.23764705882352941</v>
      </c>
      <c r="E63" s="994">
        <f t="shared" ca="1" si="9"/>
        <v>0.20200000000000001</v>
      </c>
      <c r="F63" s="748">
        <f t="shared" si="9"/>
        <v>0.22699999999999995</v>
      </c>
      <c r="G63" s="748">
        <f t="shared" ca="1" si="9"/>
        <v>0.26699999999999996</v>
      </c>
      <c r="H63" s="748">
        <f t="shared" si="9"/>
        <v>0.26700000000000007</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3153.4931303428648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10323.561498815248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18904.5</v>
      </c>
      <c r="D76" s="1004">
        <f>'lokale energieproductie'!C8</f>
        <v>22240.588235294119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4492.5988235294126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13477.054629158112</v>
      </c>
      <c r="C78" s="722">
        <f>SUM(C72:C77)</f>
        <v>18904.5</v>
      </c>
      <c r="D78" s="723">
        <f t="shared" ref="D78:H78" si="10">SUM(D76:D77)</f>
        <v>22240.588235294119</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4492.5988235294126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27006.428571428572</v>
      </c>
      <c r="D87" s="744">
        <f>'lokale energieproductie'!C17</f>
        <v>31772.268907563026</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6417.9983193277312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27006.428571428572</v>
      </c>
      <c r="D90" s="722">
        <f t="shared" ref="D90:H90" si="12">SUM(D87:D89)</f>
        <v>31772.268907563026</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6417.9983193277312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45905.504943097541</v>
      </c>
      <c r="C4" s="444">
        <f>huishoudens!C8</f>
        <v>0</v>
      </c>
      <c r="D4" s="444">
        <f>huishoudens!D8</f>
        <v>70611.961070520134</v>
      </c>
      <c r="E4" s="444">
        <f>huishoudens!E8</f>
        <v>1986.6914576911147</v>
      </c>
      <c r="F4" s="444">
        <f>huishoudens!F8</f>
        <v>62673.917399644466</v>
      </c>
      <c r="G4" s="444">
        <f>huishoudens!G8</f>
        <v>0</v>
      </c>
      <c r="H4" s="444">
        <f>huishoudens!H8</f>
        <v>0</v>
      </c>
      <c r="I4" s="444">
        <f>huishoudens!I8</f>
        <v>0</v>
      </c>
      <c r="J4" s="444">
        <f>huishoudens!J8</f>
        <v>1461.5533861639481</v>
      </c>
      <c r="K4" s="444">
        <f>huishoudens!K8</f>
        <v>0</v>
      </c>
      <c r="L4" s="444">
        <f>huishoudens!L8</f>
        <v>0</v>
      </c>
      <c r="M4" s="444">
        <f>huishoudens!M8</f>
        <v>0</v>
      </c>
      <c r="N4" s="444">
        <f>huishoudens!N8</f>
        <v>10449.2039362951</v>
      </c>
      <c r="O4" s="444">
        <f>huishoudens!O8</f>
        <v>426.79000000000008</v>
      </c>
      <c r="P4" s="445">
        <f>huishoudens!P8</f>
        <v>438.5333333333333</v>
      </c>
      <c r="Q4" s="446">
        <f>SUM(B4:P4)</f>
        <v>193954.15552674563</v>
      </c>
    </row>
    <row r="5" spans="1:17">
      <c r="A5" s="443" t="s">
        <v>149</v>
      </c>
      <c r="B5" s="444">
        <f ca="1">tertiair!B16</f>
        <v>24086.4228</v>
      </c>
      <c r="C5" s="444">
        <f ca="1">tertiair!C16</f>
        <v>0</v>
      </c>
      <c r="D5" s="444">
        <f ca="1">tertiair!D16</f>
        <v>26051.188499348104</v>
      </c>
      <c r="E5" s="444">
        <f>tertiair!E16</f>
        <v>240.53669588813113</v>
      </c>
      <c r="F5" s="444">
        <f ca="1">tertiair!F16</f>
        <v>3782.3161652731192</v>
      </c>
      <c r="G5" s="444">
        <f>tertiair!G16</f>
        <v>0</v>
      </c>
      <c r="H5" s="444">
        <f>tertiair!H16</f>
        <v>0</v>
      </c>
      <c r="I5" s="444">
        <f>tertiair!I16</f>
        <v>0</v>
      </c>
      <c r="J5" s="444">
        <f>tertiair!J16</f>
        <v>0</v>
      </c>
      <c r="K5" s="444">
        <f>tertiair!K16</f>
        <v>0</v>
      </c>
      <c r="L5" s="444">
        <f ca="1">tertiair!L16</f>
        <v>0</v>
      </c>
      <c r="M5" s="444">
        <f>tertiair!M16</f>
        <v>0</v>
      </c>
      <c r="N5" s="444">
        <f ca="1">tertiair!N16</f>
        <v>3835.3708973239932</v>
      </c>
      <c r="O5" s="444">
        <f>tertiair!O16</f>
        <v>3.1266666666666669</v>
      </c>
      <c r="P5" s="445">
        <f>tertiair!P16</f>
        <v>133.46666666666667</v>
      </c>
      <c r="Q5" s="443">
        <f t="shared" ref="Q5:Q14" ca="1" si="0">SUM(B5:P5)</f>
        <v>58132.428391166679</v>
      </c>
    </row>
    <row r="6" spans="1:17">
      <c r="A6" s="443" t="s">
        <v>187</v>
      </c>
      <c r="B6" s="444">
        <f>'openbare verlichting'!B8</f>
        <v>2019.5619999999999</v>
      </c>
      <c r="C6" s="444"/>
      <c r="D6" s="444"/>
      <c r="E6" s="444"/>
      <c r="F6" s="444"/>
      <c r="G6" s="444"/>
      <c r="H6" s="444"/>
      <c r="I6" s="444"/>
      <c r="J6" s="444"/>
      <c r="K6" s="444"/>
      <c r="L6" s="444"/>
      <c r="M6" s="444"/>
      <c r="N6" s="444"/>
      <c r="O6" s="444"/>
      <c r="P6" s="445"/>
      <c r="Q6" s="443">
        <f t="shared" si="0"/>
        <v>2019.5619999999999</v>
      </c>
    </row>
    <row r="7" spans="1:17">
      <c r="A7" s="443" t="s">
        <v>105</v>
      </c>
      <c r="B7" s="444">
        <f>landbouw!B8</f>
        <v>4590.7923000000001</v>
      </c>
      <c r="C7" s="444">
        <f>landbouw!C8</f>
        <v>27006.428571428572</v>
      </c>
      <c r="D7" s="444">
        <f>landbouw!D8</f>
        <v>0</v>
      </c>
      <c r="E7" s="444">
        <f>landbouw!E8</f>
        <v>42.521841083162762</v>
      </c>
      <c r="F7" s="444">
        <f>landbouw!F8</f>
        <v>11647.714610135674</v>
      </c>
      <c r="G7" s="444">
        <f>landbouw!G8</f>
        <v>0</v>
      </c>
      <c r="H7" s="444">
        <f>landbouw!H8</f>
        <v>0</v>
      </c>
      <c r="I7" s="444">
        <f>landbouw!I8</f>
        <v>0</v>
      </c>
      <c r="J7" s="444">
        <f>landbouw!J8</f>
        <v>703.81969298159743</v>
      </c>
      <c r="K7" s="444">
        <f>landbouw!K8</f>
        <v>0</v>
      </c>
      <c r="L7" s="444">
        <f>landbouw!L8</f>
        <v>0</v>
      </c>
      <c r="M7" s="444">
        <f>landbouw!M8</f>
        <v>0</v>
      </c>
      <c r="N7" s="444">
        <f>landbouw!N8</f>
        <v>0</v>
      </c>
      <c r="O7" s="444">
        <f>landbouw!O8</f>
        <v>0</v>
      </c>
      <c r="P7" s="445">
        <f>landbouw!P8</f>
        <v>0</v>
      </c>
      <c r="Q7" s="443">
        <f t="shared" si="0"/>
        <v>43991.277015629006</v>
      </c>
    </row>
    <row r="8" spans="1:17">
      <c r="A8" s="443" t="s">
        <v>637</v>
      </c>
      <c r="B8" s="444">
        <f>industrie!B18</f>
        <v>21356.404500000001</v>
      </c>
      <c r="C8" s="444">
        <f>industrie!C18</f>
        <v>0</v>
      </c>
      <c r="D8" s="444">
        <f>industrie!D18</f>
        <v>52809.438705181121</v>
      </c>
      <c r="E8" s="444">
        <f>industrie!E18</f>
        <v>1517.2277867609505</v>
      </c>
      <c r="F8" s="444">
        <f>industrie!F18</f>
        <v>8115.4696976689111</v>
      </c>
      <c r="G8" s="444">
        <f>industrie!G18</f>
        <v>0</v>
      </c>
      <c r="H8" s="444">
        <f>industrie!H18</f>
        <v>0</v>
      </c>
      <c r="I8" s="444">
        <f>industrie!I18</f>
        <v>0</v>
      </c>
      <c r="J8" s="444">
        <f>industrie!J18</f>
        <v>69.235955648154786</v>
      </c>
      <c r="K8" s="444">
        <f>industrie!K18</f>
        <v>0</v>
      </c>
      <c r="L8" s="444">
        <f>industrie!L18</f>
        <v>0</v>
      </c>
      <c r="M8" s="444">
        <f>industrie!M18</f>
        <v>0</v>
      </c>
      <c r="N8" s="444">
        <f>industrie!N18</f>
        <v>1458.1353612506389</v>
      </c>
      <c r="O8" s="444">
        <f>industrie!O18</f>
        <v>0</v>
      </c>
      <c r="P8" s="445">
        <f>industrie!P18</f>
        <v>0</v>
      </c>
      <c r="Q8" s="443">
        <f t="shared" si="0"/>
        <v>85325.912006509781</v>
      </c>
    </row>
    <row r="9" spans="1:17" s="449" customFormat="1">
      <c r="A9" s="447" t="s">
        <v>558</v>
      </c>
      <c r="B9" s="448">
        <f>transport!B14</f>
        <v>30.404022531429852</v>
      </c>
      <c r="C9" s="448">
        <f>transport!C14</f>
        <v>0</v>
      </c>
      <c r="D9" s="448">
        <f>transport!D14</f>
        <v>44.578487507739482</v>
      </c>
      <c r="E9" s="448">
        <f>transport!E14</f>
        <v>477.85840581018937</v>
      </c>
      <c r="F9" s="448">
        <f>transport!F14</f>
        <v>0</v>
      </c>
      <c r="G9" s="448">
        <f>transport!G14</f>
        <v>168231.82858287726</v>
      </c>
      <c r="H9" s="448">
        <f>transport!H14</f>
        <v>26268.31062941032</v>
      </c>
      <c r="I9" s="448">
        <f>transport!I14</f>
        <v>0</v>
      </c>
      <c r="J9" s="448">
        <f>transport!J14</f>
        <v>0</v>
      </c>
      <c r="K9" s="448">
        <f>transport!K14</f>
        <v>0</v>
      </c>
      <c r="L9" s="448">
        <f>transport!L14</f>
        <v>0</v>
      </c>
      <c r="M9" s="448">
        <f>transport!M14</f>
        <v>10554.860841508254</v>
      </c>
      <c r="N9" s="448">
        <f>transport!N14</f>
        <v>0</v>
      </c>
      <c r="O9" s="448">
        <f>transport!O14</f>
        <v>0</v>
      </c>
      <c r="P9" s="448">
        <f>transport!P14</f>
        <v>0</v>
      </c>
      <c r="Q9" s="447">
        <f>SUM(B9:P9)</f>
        <v>205607.84096964519</v>
      </c>
    </row>
    <row r="10" spans="1:17">
      <c r="A10" s="443" t="s">
        <v>548</v>
      </c>
      <c r="B10" s="444">
        <f>transport!B54</f>
        <v>9.6860803900485539</v>
      </c>
      <c r="C10" s="444">
        <f>transport!C54</f>
        <v>0</v>
      </c>
      <c r="D10" s="444">
        <f>transport!D54</f>
        <v>0</v>
      </c>
      <c r="E10" s="444">
        <f>transport!E54</f>
        <v>0</v>
      </c>
      <c r="F10" s="444">
        <f>transport!F54</f>
        <v>0</v>
      </c>
      <c r="G10" s="444">
        <f>transport!G54</f>
        <v>1835.384426581767</v>
      </c>
      <c r="H10" s="444">
        <f>transport!H54</f>
        <v>0</v>
      </c>
      <c r="I10" s="444">
        <f>transport!I54</f>
        <v>0</v>
      </c>
      <c r="J10" s="444">
        <f>transport!J54</f>
        <v>0</v>
      </c>
      <c r="K10" s="444">
        <f>transport!K54</f>
        <v>0</v>
      </c>
      <c r="L10" s="444">
        <f>transport!L54</f>
        <v>0</v>
      </c>
      <c r="M10" s="444">
        <f>transport!M54</f>
        <v>105.65947677766728</v>
      </c>
      <c r="N10" s="444">
        <f>transport!N54</f>
        <v>0</v>
      </c>
      <c r="O10" s="444">
        <f>transport!O54</f>
        <v>0</v>
      </c>
      <c r="P10" s="445">
        <f>transport!P54</f>
        <v>0</v>
      </c>
      <c r="Q10" s="443">
        <f t="shared" si="0"/>
        <v>1950.7299837494829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1288.471</v>
      </c>
      <c r="C14" s="451"/>
      <c r="D14" s="451">
        <f>'SEAP template'!E25</f>
        <v>1969.9304729031498</v>
      </c>
      <c r="E14" s="451"/>
      <c r="F14" s="451"/>
      <c r="G14" s="451"/>
      <c r="H14" s="451"/>
      <c r="I14" s="451"/>
      <c r="J14" s="451"/>
      <c r="K14" s="451"/>
      <c r="L14" s="451"/>
      <c r="M14" s="451"/>
      <c r="N14" s="451"/>
      <c r="O14" s="451"/>
      <c r="P14" s="452"/>
      <c r="Q14" s="443">
        <f t="shared" si="0"/>
        <v>3258.4014729031496</v>
      </c>
    </row>
    <row r="15" spans="1:17" s="453" customFormat="1">
      <c r="A15" s="1009" t="s">
        <v>552</v>
      </c>
      <c r="B15" s="949">
        <f ca="1">SUM(B4:B14)</f>
        <v>99287.247646019023</v>
      </c>
      <c r="C15" s="949">
        <f t="shared" ref="C15:Q15" ca="1" si="1">SUM(C4:C14)</f>
        <v>27006.428571428572</v>
      </c>
      <c r="D15" s="949">
        <f t="shared" ca="1" si="1"/>
        <v>151487.09723546024</v>
      </c>
      <c r="E15" s="949">
        <f t="shared" si="1"/>
        <v>4264.8361872335481</v>
      </c>
      <c r="F15" s="949">
        <f t="shared" ca="1" si="1"/>
        <v>86219.417872722173</v>
      </c>
      <c r="G15" s="949">
        <f t="shared" si="1"/>
        <v>170067.21300945902</v>
      </c>
      <c r="H15" s="949">
        <f t="shared" si="1"/>
        <v>26268.31062941032</v>
      </c>
      <c r="I15" s="949">
        <f t="shared" si="1"/>
        <v>0</v>
      </c>
      <c r="J15" s="949">
        <f t="shared" si="1"/>
        <v>2234.6090347937002</v>
      </c>
      <c r="K15" s="949">
        <f t="shared" si="1"/>
        <v>0</v>
      </c>
      <c r="L15" s="949">
        <f t="shared" ca="1" si="1"/>
        <v>0</v>
      </c>
      <c r="M15" s="949">
        <f t="shared" si="1"/>
        <v>10660.520318285922</v>
      </c>
      <c r="N15" s="949">
        <f t="shared" ca="1" si="1"/>
        <v>15742.710194869733</v>
      </c>
      <c r="O15" s="949">
        <f t="shared" si="1"/>
        <v>429.91666666666674</v>
      </c>
      <c r="P15" s="949">
        <f t="shared" si="1"/>
        <v>572</v>
      </c>
      <c r="Q15" s="949">
        <f t="shared" ca="1" si="1"/>
        <v>594240.30736634892</v>
      </c>
    </row>
    <row r="17" spans="1:17">
      <c r="A17" s="454" t="s">
        <v>553</v>
      </c>
      <c r="B17" s="753">
        <f ca="1">huishoudens!B10</f>
        <v>0.19417153196741543</v>
      </c>
      <c r="C17" s="753">
        <f ca="1">huishoudens!C10</f>
        <v>0.23764705882352941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8913.5422205390114</v>
      </c>
      <c r="C22" s="444">
        <f t="shared" ref="C22:C32" ca="1" si="3">C4*$C$17</f>
        <v>0</v>
      </c>
      <c r="D22" s="444">
        <f t="shared" ref="D22:D32" si="4">D4*$D$17</f>
        <v>14263.616136245068</v>
      </c>
      <c r="E22" s="444">
        <f t="shared" ref="E22:E32" si="5">E4*$E$17</f>
        <v>450.97896089588306</v>
      </c>
      <c r="F22" s="444">
        <f t="shared" ref="F22:F32" si="6">F4*$F$17</f>
        <v>16733.935945705074</v>
      </c>
      <c r="G22" s="444">
        <f t="shared" ref="G22:G32" si="7">G4*$G$17</f>
        <v>0</v>
      </c>
      <c r="H22" s="444">
        <f t="shared" ref="H22:H32" si="8">H4*$H$17</f>
        <v>0</v>
      </c>
      <c r="I22" s="444">
        <f t="shared" ref="I22:I32" si="9">I4*$I$17</f>
        <v>0</v>
      </c>
      <c r="J22" s="444">
        <f t="shared" ref="J22:J32" si="10">J4*$J$17</f>
        <v>517.38989870203761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40879.463162087071</v>
      </c>
    </row>
    <row r="23" spans="1:17">
      <c r="A23" s="443" t="s">
        <v>149</v>
      </c>
      <c r="B23" s="444">
        <f t="shared" ca="1" si="2"/>
        <v>4676.8976146908844</v>
      </c>
      <c r="C23" s="444">
        <f t="shared" ca="1" si="3"/>
        <v>0</v>
      </c>
      <c r="D23" s="444">
        <f t="shared" ca="1" si="4"/>
        <v>5262.3400768683168</v>
      </c>
      <c r="E23" s="444">
        <f t="shared" si="5"/>
        <v>54.60182996660577</v>
      </c>
      <c r="F23" s="444">
        <f t="shared" ca="1" si="6"/>
        <v>1009.8784161279228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11003.717937653731</v>
      </c>
    </row>
    <row r="24" spans="1:17">
      <c r="A24" s="443" t="s">
        <v>187</v>
      </c>
      <c r="B24" s="444">
        <f t="shared" ca="1" si="2"/>
        <v>392.14144744317741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392.14144744317741</v>
      </c>
    </row>
    <row r="25" spans="1:17">
      <c r="A25" s="443" t="s">
        <v>105</v>
      </c>
      <c r="B25" s="444">
        <f t="shared" ca="1" si="2"/>
        <v>891.40117383521465</v>
      </c>
      <c r="C25" s="444">
        <f t="shared" ca="1" si="3"/>
        <v>6417.9983193277312</v>
      </c>
      <c r="D25" s="444">
        <f t="shared" si="4"/>
        <v>0</v>
      </c>
      <c r="E25" s="444">
        <f t="shared" si="5"/>
        <v>9.6524579258779468</v>
      </c>
      <c r="F25" s="444">
        <f t="shared" si="6"/>
        <v>3109.9398009062252</v>
      </c>
      <c r="G25" s="444">
        <f t="shared" si="7"/>
        <v>0</v>
      </c>
      <c r="H25" s="444">
        <f t="shared" si="8"/>
        <v>0</v>
      </c>
      <c r="I25" s="444">
        <f t="shared" si="9"/>
        <v>0</v>
      </c>
      <c r="J25" s="444">
        <f t="shared" si="10"/>
        <v>249.15217131548548</v>
      </c>
      <c r="K25" s="444">
        <f t="shared" si="11"/>
        <v>0</v>
      </c>
      <c r="L25" s="444">
        <f t="shared" si="12"/>
        <v>0</v>
      </c>
      <c r="M25" s="444">
        <f t="shared" si="13"/>
        <v>0</v>
      </c>
      <c r="N25" s="444">
        <f t="shared" si="14"/>
        <v>0</v>
      </c>
      <c r="O25" s="444">
        <f t="shared" si="15"/>
        <v>0</v>
      </c>
      <c r="P25" s="445">
        <f t="shared" si="16"/>
        <v>0</v>
      </c>
      <c r="Q25" s="443">
        <f t="shared" ca="1" si="17"/>
        <v>10678.143923310534</v>
      </c>
    </row>
    <row r="26" spans="1:17">
      <c r="A26" s="443" t="s">
        <v>637</v>
      </c>
      <c r="B26" s="444">
        <f t="shared" ca="1" si="2"/>
        <v>4146.8057790808052</v>
      </c>
      <c r="C26" s="444">
        <f t="shared" ca="1" si="3"/>
        <v>0</v>
      </c>
      <c r="D26" s="444">
        <f t="shared" si="4"/>
        <v>10667.506618446587</v>
      </c>
      <c r="E26" s="444">
        <f t="shared" si="5"/>
        <v>344.41070759473575</v>
      </c>
      <c r="F26" s="444">
        <f t="shared" si="6"/>
        <v>2166.8304092775993</v>
      </c>
      <c r="G26" s="444">
        <f t="shared" si="7"/>
        <v>0</v>
      </c>
      <c r="H26" s="444">
        <f t="shared" si="8"/>
        <v>0</v>
      </c>
      <c r="I26" s="444">
        <f t="shared" si="9"/>
        <v>0</v>
      </c>
      <c r="J26" s="444">
        <f t="shared" si="10"/>
        <v>24.509528299446792</v>
      </c>
      <c r="K26" s="444">
        <f t="shared" si="11"/>
        <v>0</v>
      </c>
      <c r="L26" s="444">
        <f t="shared" si="12"/>
        <v>0</v>
      </c>
      <c r="M26" s="444">
        <f t="shared" si="13"/>
        <v>0</v>
      </c>
      <c r="N26" s="444">
        <f t="shared" si="14"/>
        <v>0</v>
      </c>
      <c r="O26" s="444">
        <f t="shared" si="15"/>
        <v>0</v>
      </c>
      <c r="P26" s="445">
        <f t="shared" si="16"/>
        <v>0</v>
      </c>
      <c r="Q26" s="443">
        <f t="shared" ca="1" si="17"/>
        <v>17350.063042699174</v>
      </c>
    </row>
    <row r="27" spans="1:17" s="449" customFormat="1">
      <c r="A27" s="447" t="s">
        <v>558</v>
      </c>
      <c r="B27" s="747">
        <f t="shared" ca="1" si="2"/>
        <v>5.9035956328995507</v>
      </c>
      <c r="C27" s="448">
        <f t="shared" ca="1" si="3"/>
        <v>0</v>
      </c>
      <c r="D27" s="448">
        <f t="shared" si="4"/>
        <v>9.0048544765633753</v>
      </c>
      <c r="E27" s="448">
        <f t="shared" si="5"/>
        <v>108.47385811891299</v>
      </c>
      <c r="F27" s="448">
        <f t="shared" si="6"/>
        <v>0</v>
      </c>
      <c r="G27" s="448">
        <f t="shared" si="7"/>
        <v>44917.898231628234</v>
      </c>
      <c r="H27" s="448">
        <f t="shared" si="8"/>
        <v>6540.8093467231693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51582.089886579779</v>
      </c>
    </row>
    <row r="28" spans="1:17">
      <c r="A28" s="443" t="s">
        <v>548</v>
      </c>
      <c r="B28" s="444">
        <f t="shared" ca="1" si="2"/>
        <v>1.8807610680952684</v>
      </c>
      <c r="C28" s="444">
        <f t="shared" ca="1" si="3"/>
        <v>0</v>
      </c>
      <c r="D28" s="444">
        <f t="shared" si="4"/>
        <v>0</v>
      </c>
      <c r="E28" s="444">
        <f t="shared" si="5"/>
        <v>0</v>
      </c>
      <c r="F28" s="444">
        <f t="shared" si="6"/>
        <v>0</v>
      </c>
      <c r="G28" s="444">
        <f t="shared" si="7"/>
        <v>490.0476418973318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491.9284029654271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250.18438796558775</v>
      </c>
      <c r="C32" s="444">
        <f t="shared" ca="1" si="3"/>
        <v>0</v>
      </c>
      <c r="D32" s="444">
        <f t="shared" si="4"/>
        <v>397.92595552643627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648.11034349202396</v>
      </c>
    </row>
    <row r="33" spans="1:17" s="453" customFormat="1">
      <c r="A33" s="1009" t="s">
        <v>552</v>
      </c>
      <c r="B33" s="949">
        <f ca="1">SUM(B22:B32)</f>
        <v>19278.756980255672</v>
      </c>
      <c r="C33" s="949">
        <f t="shared" ref="C33:Q33" ca="1" si="18">SUM(C22:C32)</f>
        <v>6417.9983193277312</v>
      </c>
      <c r="D33" s="949">
        <f t="shared" ca="1" si="18"/>
        <v>30600.393641562972</v>
      </c>
      <c r="E33" s="949">
        <f t="shared" si="18"/>
        <v>968.11781450201545</v>
      </c>
      <c r="F33" s="949">
        <f t="shared" ca="1" si="18"/>
        <v>23020.584572016818</v>
      </c>
      <c r="G33" s="949">
        <f t="shared" si="18"/>
        <v>45407.945873525568</v>
      </c>
      <c r="H33" s="949">
        <f t="shared" si="18"/>
        <v>6540.8093467231693</v>
      </c>
      <c r="I33" s="949">
        <f t="shared" si="18"/>
        <v>0</v>
      </c>
      <c r="J33" s="949">
        <f t="shared" si="18"/>
        <v>791.05159831696983</v>
      </c>
      <c r="K33" s="949">
        <f t="shared" si="18"/>
        <v>0</v>
      </c>
      <c r="L33" s="949">
        <f t="shared" ca="1" si="18"/>
        <v>0</v>
      </c>
      <c r="M33" s="949">
        <f t="shared" si="18"/>
        <v>0</v>
      </c>
      <c r="N33" s="949">
        <f t="shared" ca="1" si="18"/>
        <v>0</v>
      </c>
      <c r="O33" s="949">
        <f t="shared" si="18"/>
        <v>0</v>
      </c>
      <c r="P33" s="949">
        <f t="shared" si="18"/>
        <v>0</v>
      </c>
      <c r="Q33" s="949">
        <f t="shared" ca="1" si="18"/>
        <v>133025.65814623094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3153.4931303428648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10323.561498815248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18904.5</v>
      </c>
      <c r="D8" s="1026">
        <f>'SEAP template'!D76</f>
        <v>22240.588235294119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4492.5988235294126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13477.054629158112</v>
      </c>
      <c r="C10" s="1030">
        <f>SUM(C4:C9)</f>
        <v>18904.5</v>
      </c>
      <c r="D10" s="1030">
        <f t="shared" ref="D10:H10" si="0">SUM(D8:D9)</f>
        <v>22240.588235294119</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4492.5988235294126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0.19417153196741543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27006.428571428572</v>
      </c>
      <c r="D17" s="1027">
        <f>'SEAP template'!D87</f>
        <v>31772.268907563026</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6417.9983193277312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27006.428571428572</v>
      </c>
      <c r="D20" s="1030">
        <f t="shared" ref="D20:H20" si="2">SUM(D17:D19)</f>
        <v>31772.268907563026</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6417.9983193277312</v>
      </c>
    </row>
    <row r="22" spans="1:16">
      <c r="A22" s="454" t="s">
        <v>853</v>
      </c>
      <c r="B22" s="753" t="s">
        <v>847</v>
      </c>
      <c r="C22" s="753">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0.19417153196741543</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0.19417153196741543</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0.19417153196741543</v>
      </c>
      <c r="C29" s="492">
        <f ca="1">'EF ele_warmte'!B22</f>
        <v>0.23764705882352941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8950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3538</v>
      </c>
      <c r="C14" s="324"/>
      <c r="D14" s="324"/>
      <c r="E14" s="324"/>
      <c r="F14" s="324"/>
    </row>
    <row r="15" spans="1:6">
      <c r="A15" s="1302" t="s">
        <v>177</v>
      </c>
      <c r="B15" s="1303">
        <v>916</v>
      </c>
      <c r="C15" s="324"/>
      <c r="D15" s="324"/>
      <c r="E15" s="324"/>
      <c r="F15" s="324"/>
    </row>
    <row r="16" spans="1:6">
      <c r="A16" s="1302" t="s">
        <v>6</v>
      </c>
      <c r="B16" s="1303">
        <v>1410</v>
      </c>
      <c r="C16" s="324"/>
      <c r="D16" s="324"/>
      <c r="E16" s="324"/>
      <c r="F16" s="324"/>
    </row>
    <row r="17" spans="1:6">
      <c r="A17" s="1302" t="s">
        <v>7</v>
      </c>
      <c r="B17" s="1303">
        <v>1842</v>
      </c>
      <c r="C17" s="324"/>
      <c r="D17" s="324"/>
      <c r="E17" s="324"/>
      <c r="F17" s="324"/>
    </row>
    <row r="18" spans="1:6">
      <c r="A18" s="1302" t="s">
        <v>8</v>
      </c>
      <c r="B18" s="1303">
        <v>2441</v>
      </c>
      <c r="C18" s="324"/>
      <c r="D18" s="324"/>
      <c r="E18" s="324"/>
      <c r="F18" s="324"/>
    </row>
    <row r="19" spans="1:6">
      <c r="A19" s="1302" t="s">
        <v>9</v>
      </c>
      <c r="B19" s="1303">
        <v>2166</v>
      </c>
      <c r="C19" s="324"/>
      <c r="D19" s="324"/>
      <c r="E19" s="324"/>
      <c r="F19" s="324"/>
    </row>
    <row r="20" spans="1:6">
      <c r="A20" s="1302" t="s">
        <v>10</v>
      </c>
      <c r="B20" s="1303">
        <v>1743</v>
      </c>
      <c r="C20" s="324"/>
      <c r="D20" s="324"/>
      <c r="E20" s="324"/>
      <c r="F20" s="324"/>
    </row>
    <row r="21" spans="1:6">
      <c r="A21" s="1302" t="s">
        <v>11</v>
      </c>
      <c r="B21" s="1303">
        <v>20990</v>
      </c>
      <c r="C21" s="324"/>
      <c r="D21" s="324"/>
      <c r="E21" s="324"/>
      <c r="F21" s="324"/>
    </row>
    <row r="22" spans="1:6">
      <c r="A22" s="1302" t="s">
        <v>12</v>
      </c>
      <c r="B22" s="1303">
        <v>53500</v>
      </c>
      <c r="C22" s="324"/>
      <c r="D22" s="324"/>
      <c r="E22" s="324"/>
      <c r="F22" s="324"/>
    </row>
    <row r="23" spans="1:6">
      <c r="A23" s="1302" t="s">
        <v>13</v>
      </c>
      <c r="B23" s="1303">
        <v>1246</v>
      </c>
      <c r="C23" s="324"/>
      <c r="D23" s="324"/>
      <c r="E23" s="324"/>
      <c r="F23" s="324"/>
    </row>
    <row r="24" spans="1:6">
      <c r="A24" s="1302" t="s">
        <v>14</v>
      </c>
      <c r="B24" s="1303">
        <v>39</v>
      </c>
      <c r="C24" s="324"/>
      <c r="D24" s="324"/>
      <c r="E24" s="324"/>
      <c r="F24" s="324"/>
    </row>
    <row r="25" spans="1:6">
      <c r="A25" s="1302" t="s">
        <v>15</v>
      </c>
      <c r="B25" s="1303">
        <v>4780</v>
      </c>
      <c r="C25" s="324"/>
      <c r="D25" s="324"/>
      <c r="E25" s="324"/>
      <c r="F25" s="324"/>
    </row>
    <row r="26" spans="1:6">
      <c r="A26" s="1302" t="s">
        <v>16</v>
      </c>
      <c r="B26" s="1303">
        <v>396</v>
      </c>
      <c r="C26" s="324"/>
      <c r="D26" s="324"/>
      <c r="E26" s="324"/>
      <c r="F26" s="324"/>
    </row>
    <row r="27" spans="1:6">
      <c r="A27" s="1302" t="s">
        <v>17</v>
      </c>
      <c r="B27" s="1303">
        <v>0</v>
      </c>
      <c r="C27" s="324"/>
      <c r="D27" s="324"/>
      <c r="E27" s="324"/>
      <c r="F27" s="324"/>
    </row>
    <row r="28" spans="1:6">
      <c r="A28" s="1302" t="s">
        <v>18</v>
      </c>
      <c r="B28" s="1304">
        <v>105051</v>
      </c>
      <c r="C28" s="324"/>
      <c r="D28" s="324"/>
      <c r="E28" s="324"/>
      <c r="F28" s="324"/>
    </row>
    <row r="29" spans="1:6">
      <c r="A29" s="1302" t="s">
        <v>918</v>
      </c>
      <c r="B29" s="1304">
        <v>229</v>
      </c>
      <c r="C29" s="324"/>
      <c r="D29" s="324"/>
      <c r="E29" s="324"/>
      <c r="F29" s="324"/>
    </row>
    <row r="30" spans="1:6">
      <c r="A30" s="1297" t="s">
        <v>919</v>
      </c>
      <c r="B30" s="1305">
        <v>62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4</v>
      </c>
      <c r="F38" s="1303">
        <v>84392.86</v>
      </c>
    </row>
    <row r="39" spans="1:6">
      <c r="A39" s="1302" t="s">
        <v>29</v>
      </c>
      <c r="B39" s="1302" t="s">
        <v>30</v>
      </c>
      <c r="C39" s="1303">
        <v>5242</v>
      </c>
      <c r="D39" s="1303">
        <v>78283770.5881598</v>
      </c>
      <c r="E39" s="1303">
        <v>8501</v>
      </c>
      <c r="F39" s="1303">
        <v>40336307</v>
      </c>
    </row>
    <row r="40" spans="1:6">
      <c r="A40" s="1302" t="s">
        <v>29</v>
      </c>
      <c r="B40" s="1302" t="s">
        <v>28</v>
      </c>
      <c r="C40" s="1303">
        <v>0</v>
      </c>
      <c r="D40" s="1303">
        <v>0</v>
      </c>
      <c r="E40" s="1303">
        <v>2</v>
      </c>
      <c r="F40" s="1303">
        <v>45072.88</v>
      </c>
    </row>
    <row r="41" spans="1:6">
      <c r="A41" s="1302" t="s">
        <v>31</v>
      </c>
      <c r="B41" s="1302" t="s">
        <v>32</v>
      </c>
      <c r="C41" s="1303">
        <v>96</v>
      </c>
      <c r="D41" s="1303">
        <v>2156151.3053911701</v>
      </c>
      <c r="E41" s="1303">
        <v>233</v>
      </c>
      <c r="F41" s="1303">
        <v>2777513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25</v>
      </c>
      <c r="D44" s="1303">
        <v>50929822.270935401</v>
      </c>
      <c r="E44" s="1303">
        <v>58</v>
      </c>
      <c r="F44" s="1303">
        <v>5392748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8</v>
      </c>
      <c r="D47" s="1303">
        <v>264786.21963422903</v>
      </c>
      <c r="E47" s="1303">
        <v>12</v>
      </c>
      <c r="F47" s="1303">
        <v>410397.6</v>
      </c>
    </row>
    <row r="48" spans="1:6">
      <c r="A48" s="1302" t="s">
        <v>31</v>
      </c>
      <c r="B48" s="1302" t="s">
        <v>28</v>
      </c>
      <c r="C48" s="1303">
        <v>35</v>
      </c>
      <c r="D48" s="1303">
        <v>3870958.6615563901</v>
      </c>
      <c r="E48" s="1303">
        <v>55</v>
      </c>
      <c r="F48" s="1303">
        <v>11983491</v>
      </c>
    </row>
    <row r="49" spans="1:6">
      <c r="A49" s="1302" t="s">
        <v>31</v>
      </c>
      <c r="B49" s="1302" t="s">
        <v>39</v>
      </c>
      <c r="C49" s="1303">
        <v>0</v>
      </c>
      <c r="D49" s="1303">
        <v>0</v>
      </c>
      <c r="E49" s="1303">
        <v>0</v>
      </c>
      <c r="F49" s="1303">
        <v>0</v>
      </c>
    </row>
    <row r="50" spans="1:6">
      <c r="A50" s="1302" t="s">
        <v>31</v>
      </c>
      <c r="B50" s="1302" t="s">
        <v>40</v>
      </c>
      <c r="C50" s="1303">
        <v>10</v>
      </c>
      <c r="D50" s="1303">
        <v>1325331.1047678599</v>
      </c>
      <c r="E50" s="1303">
        <v>15</v>
      </c>
      <c r="F50" s="1303">
        <v>792254.9</v>
      </c>
    </row>
    <row r="51" spans="1:6">
      <c r="A51" s="1302" t="s">
        <v>41</v>
      </c>
      <c r="B51" s="1302" t="s">
        <v>42</v>
      </c>
      <c r="C51" s="1303">
        <v>3</v>
      </c>
      <c r="D51" s="1303">
        <v>51019070.600677401</v>
      </c>
      <c r="E51" s="1303">
        <v>156</v>
      </c>
      <c r="F51" s="1303">
        <v>4389486</v>
      </c>
    </row>
    <row r="52" spans="1:6">
      <c r="A52" s="1302" t="s">
        <v>41</v>
      </c>
      <c r="B52" s="1302" t="s">
        <v>28</v>
      </c>
      <c r="C52" s="1303">
        <v>12</v>
      </c>
      <c r="D52" s="1303">
        <v>578975.35758730303</v>
      </c>
      <c r="E52" s="1303">
        <v>17</v>
      </c>
      <c r="F52" s="1303">
        <v>201306.3</v>
      </c>
    </row>
    <row r="53" spans="1:6">
      <c r="A53" s="1302" t="s">
        <v>43</v>
      </c>
      <c r="B53" s="1302" t="s">
        <v>44</v>
      </c>
      <c r="C53" s="1303">
        <v>114</v>
      </c>
      <c r="D53" s="1303">
        <v>1969930.4729031499</v>
      </c>
      <c r="E53" s="1303">
        <v>286</v>
      </c>
      <c r="F53" s="1303">
        <v>1288471</v>
      </c>
    </row>
    <row r="54" spans="1:6">
      <c r="A54" s="1302" t="s">
        <v>45</v>
      </c>
      <c r="B54" s="1302" t="s">
        <v>46</v>
      </c>
      <c r="C54" s="1303">
        <v>0</v>
      </c>
      <c r="D54" s="1303">
        <v>0</v>
      </c>
      <c r="E54" s="1303">
        <v>2</v>
      </c>
      <c r="F54" s="1303">
        <v>2019562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72</v>
      </c>
      <c r="D57" s="1303">
        <v>9941885.1757181492</v>
      </c>
      <c r="E57" s="1303">
        <v>164</v>
      </c>
      <c r="F57" s="1303">
        <v>4706058</v>
      </c>
    </row>
    <row r="58" spans="1:6">
      <c r="A58" s="1302" t="s">
        <v>48</v>
      </c>
      <c r="B58" s="1302" t="s">
        <v>50</v>
      </c>
      <c r="C58" s="1303">
        <v>26</v>
      </c>
      <c r="D58" s="1303">
        <v>812263.22312208998</v>
      </c>
      <c r="E58" s="1303">
        <v>36</v>
      </c>
      <c r="F58" s="1303">
        <v>300537.5</v>
      </c>
    </row>
    <row r="59" spans="1:6">
      <c r="A59" s="1302" t="s">
        <v>48</v>
      </c>
      <c r="B59" s="1302" t="s">
        <v>51</v>
      </c>
      <c r="C59" s="1303">
        <v>83</v>
      </c>
      <c r="D59" s="1303">
        <v>3745737.1420273501</v>
      </c>
      <c r="E59" s="1303">
        <v>237</v>
      </c>
      <c r="F59" s="1303">
        <v>7457931</v>
      </c>
    </row>
    <row r="60" spans="1:6">
      <c r="A60" s="1302" t="s">
        <v>48</v>
      </c>
      <c r="B60" s="1302" t="s">
        <v>52</v>
      </c>
      <c r="C60" s="1303">
        <v>70</v>
      </c>
      <c r="D60" s="1303">
        <v>3653984.299716</v>
      </c>
      <c r="E60" s="1303">
        <v>93</v>
      </c>
      <c r="F60" s="1303">
        <v>2079376</v>
      </c>
    </row>
    <row r="61" spans="1:6">
      <c r="A61" s="1302" t="s">
        <v>48</v>
      </c>
      <c r="B61" s="1302" t="s">
        <v>53</v>
      </c>
      <c r="C61" s="1303">
        <v>141</v>
      </c>
      <c r="D61" s="1303">
        <v>3246367.1929947902</v>
      </c>
      <c r="E61" s="1303">
        <v>315</v>
      </c>
      <c r="F61" s="1303">
        <v>4462627</v>
      </c>
    </row>
    <row r="62" spans="1:6">
      <c r="A62" s="1302" t="s">
        <v>48</v>
      </c>
      <c r="B62" s="1302" t="s">
        <v>54</v>
      </c>
      <c r="C62" s="1303">
        <v>8</v>
      </c>
      <c r="D62" s="1303">
        <v>1360503.8613743</v>
      </c>
      <c r="E62" s="1303">
        <v>12</v>
      </c>
      <c r="F62" s="1303">
        <v>248890.3</v>
      </c>
    </row>
    <row r="63" spans="1:6">
      <c r="A63" s="1302" t="s">
        <v>48</v>
      </c>
      <c r="B63" s="1302" t="s">
        <v>28</v>
      </c>
      <c r="C63" s="1303">
        <v>132</v>
      </c>
      <c r="D63" s="1303">
        <v>6120842.8072070796</v>
      </c>
      <c r="E63" s="1303">
        <v>153</v>
      </c>
      <c r="F63" s="1303">
        <v>4831003</v>
      </c>
    </row>
    <row r="64" spans="1:6">
      <c r="A64" s="1302" t="s">
        <v>55</v>
      </c>
      <c r="B64" s="1302" t="s">
        <v>56</v>
      </c>
      <c r="C64" s="1303">
        <v>0</v>
      </c>
      <c r="D64" s="1303">
        <v>0</v>
      </c>
      <c r="E64" s="1303">
        <v>0</v>
      </c>
      <c r="F64" s="1303">
        <v>0</v>
      </c>
    </row>
    <row r="65" spans="1:6">
      <c r="A65" s="1302" t="s">
        <v>55</v>
      </c>
      <c r="B65" s="1302" t="s">
        <v>28</v>
      </c>
      <c r="C65" s="1303">
        <v>3</v>
      </c>
      <c r="D65" s="1303">
        <v>79062.813075904196</v>
      </c>
      <c r="E65" s="1303">
        <v>3</v>
      </c>
      <c r="F65" s="1303">
        <v>20869.97</v>
      </c>
    </row>
    <row r="66" spans="1:6">
      <c r="A66" s="1302" t="s">
        <v>55</v>
      </c>
      <c r="B66" s="1302" t="s">
        <v>57</v>
      </c>
      <c r="C66" s="1303">
        <v>0</v>
      </c>
      <c r="D66" s="1303">
        <v>0</v>
      </c>
      <c r="E66" s="1303">
        <v>6</v>
      </c>
      <c r="F66" s="1303">
        <v>61029</v>
      </c>
    </row>
    <row r="67" spans="1:6">
      <c r="A67" s="1302" t="s">
        <v>55</v>
      </c>
      <c r="B67" s="1302" t="s">
        <v>58</v>
      </c>
      <c r="C67" s="1303">
        <v>0</v>
      </c>
      <c r="D67" s="1303">
        <v>0</v>
      </c>
      <c r="E67" s="1303">
        <v>0</v>
      </c>
      <c r="F67" s="1303">
        <v>0</v>
      </c>
    </row>
    <row r="68" spans="1:6">
      <c r="A68" s="1297" t="s">
        <v>55</v>
      </c>
      <c r="B68" s="1297" t="s">
        <v>59</v>
      </c>
      <c r="C68" s="1305">
        <v>8</v>
      </c>
      <c r="D68" s="1305">
        <v>171809.581600303</v>
      </c>
      <c r="E68" s="1305">
        <v>18</v>
      </c>
      <c r="F68" s="1305">
        <v>463680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78638525</v>
      </c>
      <c r="E73" s="442"/>
      <c r="F73" s="324"/>
    </row>
    <row r="74" spans="1:6">
      <c r="A74" s="1302" t="s">
        <v>63</v>
      </c>
      <c r="B74" s="1302" t="s">
        <v>695</v>
      </c>
      <c r="C74" s="1315" t="s">
        <v>697</v>
      </c>
      <c r="D74" s="1303">
        <v>8894635.5804410707</v>
      </c>
      <c r="E74" s="442"/>
      <c r="F74" s="324"/>
    </row>
    <row r="75" spans="1:6">
      <c r="A75" s="1302" t="s">
        <v>64</v>
      </c>
      <c r="B75" s="1302" t="s">
        <v>694</v>
      </c>
      <c r="C75" s="1315" t="s">
        <v>698</v>
      </c>
      <c r="D75" s="1303">
        <v>27608397</v>
      </c>
      <c r="E75" s="442"/>
      <c r="F75" s="324"/>
    </row>
    <row r="76" spans="1:6">
      <c r="A76" s="1302" t="s">
        <v>64</v>
      </c>
      <c r="B76" s="1302" t="s">
        <v>695</v>
      </c>
      <c r="C76" s="1315" t="s">
        <v>699</v>
      </c>
      <c r="D76" s="1303">
        <v>1084109.5804410707</v>
      </c>
      <c r="E76" s="442"/>
      <c r="F76" s="324"/>
    </row>
    <row r="77" spans="1:6">
      <c r="A77" s="1302" t="s">
        <v>65</v>
      </c>
      <c r="B77" s="1302" t="s">
        <v>694</v>
      </c>
      <c r="C77" s="1315" t="s">
        <v>700</v>
      </c>
      <c r="D77" s="1303">
        <v>99312803</v>
      </c>
      <c r="E77" s="442"/>
      <c r="F77" s="324"/>
    </row>
    <row r="78" spans="1:6">
      <c r="A78" s="1297" t="s">
        <v>65</v>
      </c>
      <c r="B78" s="1297" t="s">
        <v>695</v>
      </c>
      <c r="C78" s="1297" t="s">
        <v>701</v>
      </c>
      <c r="D78" s="1305">
        <v>15340244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523932.83911785833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3153.4931303428648</v>
      </c>
      <c r="C90" s="324"/>
      <c r="D90" s="324"/>
      <c r="E90" s="324"/>
      <c r="F90" s="324"/>
    </row>
    <row r="91" spans="1:6">
      <c r="A91" s="1302" t="s">
        <v>67</v>
      </c>
      <c r="B91" s="1303">
        <v>5524.1250630975383</v>
      </c>
      <c r="C91" s="324"/>
      <c r="D91" s="324"/>
      <c r="E91" s="324"/>
      <c r="F91" s="324"/>
    </row>
    <row r="92" spans="1:6">
      <c r="A92" s="1297" t="s">
        <v>68</v>
      </c>
      <c r="B92" s="1298">
        <v>4799.4364357177101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3156</v>
      </c>
      <c r="C97" s="324"/>
      <c r="D97" s="324"/>
      <c r="E97" s="324"/>
      <c r="F97" s="324"/>
    </row>
    <row r="98" spans="1:6">
      <c r="A98" s="1302" t="s">
        <v>71</v>
      </c>
      <c r="B98" s="1303">
        <v>0</v>
      </c>
      <c r="C98" s="324"/>
      <c r="D98" s="324"/>
      <c r="E98" s="324"/>
      <c r="F98" s="324"/>
    </row>
    <row r="99" spans="1:6">
      <c r="A99" s="1302" t="s">
        <v>72</v>
      </c>
      <c r="B99" s="1303">
        <v>227</v>
      </c>
      <c r="C99" s="324"/>
      <c r="D99" s="324"/>
      <c r="E99" s="324"/>
      <c r="F99" s="324"/>
    </row>
    <row r="100" spans="1:6">
      <c r="A100" s="1302" t="s">
        <v>73</v>
      </c>
      <c r="B100" s="1303">
        <v>950</v>
      </c>
      <c r="C100" s="324"/>
      <c r="D100" s="324"/>
      <c r="E100" s="324"/>
      <c r="F100" s="324"/>
    </row>
    <row r="101" spans="1:6">
      <c r="A101" s="1302" t="s">
        <v>74</v>
      </c>
      <c r="B101" s="1303">
        <v>226</v>
      </c>
      <c r="C101" s="324"/>
      <c r="D101" s="324"/>
      <c r="E101" s="324"/>
      <c r="F101" s="324"/>
    </row>
    <row r="102" spans="1:6">
      <c r="A102" s="1302" t="s">
        <v>75</v>
      </c>
      <c r="B102" s="1303">
        <v>152</v>
      </c>
      <c r="C102" s="324"/>
      <c r="D102" s="324"/>
      <c r="E102" s="324"/>
      <c r="F102" s="324"/>
    </row>
    <row r="103" spans="1:6">
      <c r="A103" s="1302" t="s">
        <v>76</v>
      </c>
      <c r="B103" s="1303">
        <v>284</v>
      </c>
      <c r="C103" s="324"/>
      <c r="D103" s="324"/>
      <c r="E103" s="324"/>
      <c r="F103" s="324"/>
    </row>
    <row r="104" spans="1:6">
      <c r="A104" s="1302" t="s">
        <v>77</v>
      </c>
      <c r="B104" s="1303">
        <v>3125</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4</v>
      </c>
      <c r="C121" s="1303">
        <v>0</v>
      </c>
      <c r="D121" s="324"/>
      <c r="E121" s="324"/>
      <c r="F121" s="324"/>
    </row>
    <row r="122" spans="1:6">
      <c r="A122" s="1302" t="s">
        <v>86</v>
      </c>
      <c r="B122" s="1303">
        <v>0</v>
      </c>
      <c r="C122" s="1303">
        <v>0</v>
      </c>
      <c r="D122" s="324"/>
      <c r="E122" s="324"/>
      <c r="F122" s="324"/>
    </row>
    <row r="123" spans="1:6">
      <c r="A123" s="1302" t="s">
        <v>87</v>
      </c>
      <c r="B123" s="1303">
        <v>12</v>
      </c>
      <c r="C123" s="1303">
        <v>16</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256</v>
      </c>
      <c r="C129" s="324"/>
      <c r="D129" s="324"/>
      <c r="E129" s="324"/>
      <c r="F129" s="324"/>
    </row>
    <row r="130" spans="1:6">
      <c r="A130" s="1302" t="s">
        <v>284</v>
      </c>
      <c r="B130" s="1303">
        <v>2</v>
      </c>
      <c r="C130" s="324"/>
      <c r="D130" s="324"/>
      <c r="E130" s="324"/>
      <c r="F130" s="324"/>
    </row>
    <row r="131" spans="1:6">
      <c r="A131" s="1302" t="s">
        <v>285</v>
      </c>
      <c r="B131" s="1303">
        <v>3</v>
      </c>
      <c r="C131" s="324"/>
      <c r="D131" s="324"/>
      <c r="E131" s="324"/>
      <c r="F131" s="324"/>
    </row>
    <row r="132" spans="1:6">
      <c r="A132" s="1297" t="s">
        <v>286</v>
      </c>
      <c r="B132" s="1298">
        <v>11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99287.247646019023</v>
      </c>
      <c r="C3" s="43" t="s">
        <v>163</v>
      </c>
      <c r="D3" s="43"/>
      <c r="E3" s="154"/>
      <c r="F3" s="43"/>
      <c r="G3" s="43"/>
      <c r="H3" s="43"/>
      <c r="I3" s="43"/>
      <c r="J3" s="43"/>
      <c r="K3" s="96"/>
    </row>
    <row r="4" spans="1:11">
      <c r="A4" s="351" t="s">
        <v>164</v>
      </c>
      <c r="B4" s="49">
        <f>IF(ISERROR('SEAP template'!B78+'SEAP template'!C78),0,'SEAP template'!B78+'SEAP template'!C78)</f>
        <v>32381.554629158112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4492.5988235294126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0.19417153196741543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6417.9983193277312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27006.428571428572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2019.5619999999999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2019.5619999999999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0.19417153196741543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392.14144744317741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40381.37988</v>
      </c>
      <c r="C5" s="17">
        <f>IF(ISERROR('Eigen informatie GS &amp; warmtenet'!B57),0,'Eigen informatie GS &amp; warmtenet'!B57)</f>
        <v>0</v>
      </c>
      <c r="D5" s="30">
        <f>(SUM(HH_hh_gas_kWh,HH_rest_gas_kWh)/1000)*0.902</f>
        <v>70611.961070520134</v>
      </c>
      <c r="E5" s="17">
        <f>B32*B41</f>
        <v>1986.6914576911147</v>
      </c>
      <c r="F5" s="17">
        <f>B36*B45</f>
        <v>62673.917399644466</v>
      </c>
      <c r="G5" s="18"/>
      <c r="H5" s="17"/>
      <c r="I5" s="17"/>
      <c r="J5" s="17">
        <f>B35*B44+C35*C44</f>
        <v>1461.5533861639481</v>
      </c>
      <c r="K5" s="17"/>
      <c r="L5" s="17"/>
      <c r="M5" s="17"/>
      <c r="N5" s="17">
        <f>B34*B43+C34*C43</f>
        <v>10449.2039362951</v>
      </c>
      <c r="O5" s="17">
        <f>B52*B53*B54</f>
        <v>426.79000000000008</v>
      </c>
      <c r="P5" s="17">
        <f>B60*B61*B62/1000-B60*B61*B62/1000/B63</f>
        <v>438.5333333333333</v>
      </c>
    </row>
    <row r="6" spans="1:16">
      <c r="A6" s="16" t="s">
        <v>618</v>
      </c>
      <c r="B6" s="755">
        <f>kWh_PV_kleiner_dan_10kW</f>
        <v>5524.1250630975383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45905.504943097541</v>
      </c>
      <c r="C8" s="21">
        <f>C5</f>
        <v>0</v>
      </c>
      <c r="D8" s="21">
        <f>D5</f>
        <v>70611.961070520134</v>
      </c>
      <c r="E8" s="21">
        <f>E5</f>
        <v>1986.6914576911147</v>
      </c>
      <c r="F8" s="21">
        <f>F5</f>
        <v>62673.917399644466</v>
      </c>
      <c r="G8" s="21"/>
      <c r="H8" s="21"/>
      <c r="I8" s="21"/>
      <c r="J8" s="21">
        <f>J5</f>
        <v>1461.5533861639481</v>
      </c>
      <c r="K8" s="21"/>
      <c r="L8" s="21">
        <f>L5</f>
        <v>0</v>
      </c>
      <c r="M8" s="21">
        <f>M5</f>
        <v>0</v>
      </c>
      <c r="N8" s="21">
        <f>N5</f>
        <v>10449.2039362951</v>
      </c>
      <c r="O8" s="21">
        <f>O5</f>
        <v>426.79000000000008</v>
      </c>
      <c r="P8" s="21">
        <f>P5</f>
        <v>438.5333333333333</v>
      </c>
    </row>
    <row r="9" spans="1:16">
      <c r="B9" s="19"/>
      <c r="C9" s="19"/>
      <c r="D9" s="254"/>
      <c r="E9" s="19"/>
      <c r="F9" s="19"/>
      <c r="G9" s="19"/>
      <c r="H9" s="19"/>
      <c r="I9" s="19"/>
      <c r="J9" s="19"/>
      <c r="K9" s="19"/>
      <c r="L9" s="19"/>
      <c r="M9" s="19"/>
      <c r="N9" s="19"/>
      <c r="O9" s="19"/>
      <c r="P9" s="19"/>
    </row>
    <row r="10" spans="1:16">
      <c r="A10" s="24" t="s">
        <v>207</v>
      </c>
      <c r="B10" s="25">
        <f ca="1">'EF ele_warmte'!B12</f>
        <v>0.19417153196741543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8913.5422205390114</v>
      </c>
      <c r="C12" s="23">
        <f ca="1">C10*C8</f>
        <v>0</v>
      </c>
      <c r="D12" s="23">
        <f>D8*D10</f>
        <v>14263.616136245068</v>
      </c>
      <c r="E12" s="23">
        <f>E10*E8</f>
        <v>450.97896089588306</v>
      </c>
      <c r="F12" s="23">
        <f>F10*F8</f>
        <v>16733.935945705074</v>
      </c>
      <c r="G12" s="23"/>
      <c r="H12" s="23"/>
      <c r="I12" s="23"/>
      <c r="J12" s="23">
        <f>J10*J8</f>
        <v>517.38989870203761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8950</v>
      </c>
      <c r="C26" s="36"/>
      <c r="D26" s="225"/>
    </row>
    <row r="27" spans="1:5" s="15" customFormat="1">
      <c r="A27" s="227" t="s">
        <v>721</v>
      </c>
      <c r="B27" s="37">
        <f>SUM(HH_hh_gas_aantal,HH_rest_gas_aantal)</f>
        <v>5242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4979.8999999999996</v>
      </c>
      <c r="C31" s="34" t="s">
        <v>104</v>
      </c>
      <c r="D31" s="171"/>
    </row>
    <row r="32" spans="1:5">
      <c r="A32" s="168" t="s">
        <v>72</v>
      </c>
      <c r="B32" s="33">
        <f>IF((B21*($B$26-($B$27-0.05*$B$27)-$B$60))&lt;0,0,B21*($B$26-($B$27-0.05*$B$27)-$B$60))</f>
        <v>24.887335636634724</v>
      </c>
      <c r="C32" s="34" t="s">
        <v>104</v>
      </c>
      <c r="D32" s="171"/>
    </row>
    <row r="33" spans="1:6">
      <c r="A33" s="168" t="s">
        <v>73</v>
      </c>
      <c r="B33" s="33">
        <f>IF((B22*($B$26-($B$27-0.05*$B$27)-$B$60))&lt;0,0,B22*($B$26-($B$27-0.05*$B$27)-$B$60))</f>
        <v>866.66743545267343</v>
      </c>
      <c r="C33" s="34" t="s">
        <v>104</v>
      </c>
      <c r="D33" s="171"/>
    </row>
    <row r="34" spans="1:6">
      <c r="A34" s="168" t="s">
        <v>74</v>
      </c>
      <c r="B34" s="33">
        <f>IF((B24*($B$26-($B$27-0.05*$B$27)-$B$60))&lt;0,0,B24*($B$26-($B$27-0.05*$B$27)-$B$60))</f>
        <v>172.02965186503013</v>
      </c>
      <c r="C34" s="33">
        <f>B26*C24</f>
        <v>1831.1671576992658</v>
      </c>
      <c r="D34" s="230"/>
    </row>
    <row r="35" spans="1:6">
      <c r="A35" s="168" t="s">
        <v>76</v>
      </c>
      <c r="B35" s="33">
        <f>IF((B19*($B$26-($B$27-0.05*$B$27)-$B$60))&lt;0,0,B19*($B$26-($B$27-0.05*$B$27)-$B$60))</f>
        <v>84.046268189849485</v>
      </c>
      <c r="C35" s="33">
        <f>B35/2</f>
        <v>42.023134094924742</v>
      </c>
      <c r="D35" s="230"/>
    </row>
    <row r="36" spans="1:6">
      <c r="A36" s="168" t="s">
        <v>77</v>
      </c>
      <c r="B36" s="33">
        <f>IF((B18*($B$26-($B$27-0.05*$B$27)-$B$60))&lt;0,0,B18*($B$26-($B$27-0.05*$B$27)-$B$60))</f>
        <v>2799.4693088558138</v>
      </c>
      <c r="C36" s="34" t="s">
        <v>104</v>
      </c>
      <c r="D36" s="171"/>
    </row>
    <row r="37" spans="1:6">
      <c r="A37" s="168" t="s">
        <v>78</v>
      </c>
      <c r="B37" s="33">
        <f>B60</f>
        <v>23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273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24086.4228</v>
      </c>
      <c r="C5" s="17">
        <f>IF(ISERROR('Eigen informatie GS &amp; warmtenet'!B58),0,'Eigen informatie GS &amp; warmtenet'!B58)</f>
        <v>0</v>
      </c>
      <c r="D5" s="30">
        <f>SUM(D6:D12)</f>
        <v>26051.188499348104</v>
      </c>
      <c r="E5" s="17">
        <f>SUM(E6:E12)</f>
        <v>240.53669588813113</v>
      </c>
      <c r="F5" s="17">
        <f>SUM(F6:F12)</f>
        <v>3782.3161652731192</v>
      </c>
      <c r="G5" s="18"/>
      <c r="H5" s="17"/>
      <c r="I5" s="17"/>
      <c r="J5" s="17">
        <f>SUM(J6:J12)</f>
        <v>0</v>
      </c>
      <c r="K5" s="17"/>
      <c r="L5" s="17"/>
      <c r="M5" s="17"/>
      <c r="N5" s="17">
        <f>SUM(N6:N12)</f>
        <v>3835.3708973239932</v>
      </c>
      <c r="O5" s="17">
        <f>B38*B39*B40</f>
        <v>3.1266666666666669</v>
      </c>
      <c r="P5" s="17">
        <f>B46*B47*B48/1000-B46*B47*B48/1000/B49</f>
        <v>133.46666666666667</v>
      </c>
      <c r="R5" s="32"/>
    </row>
    <row r="6" spans="1:18">
      <c r="A6" s="32" t="s">
        <v>53</v>
      </c>
      <c r="B6" s="37">
        <f>B26</f>
        <v>4462.6270000000004</v>
      </c>
      <c r="C6" s="33"/>
      <c r="D6" s="37">
        <f>IF(ISERROR(TER_kantoor_gas_kWh/1000),0,TER_kantoor_gas_kWh/1000)*0.902</f>
        <v>2928.2232080813005</v>
      </c>
      <c r="E6" s="33">
        <f>$C$26*'E Balans VL '!I12/100/3.6*1000000</f>
        <v>12.928885179221055</v>
      </c>
      <c r="F6" s="33">
        <f>$C$26*('E Balans VL '!L12+'E Balans VL '!N12)/100/3.6*1000000</f>
        <v>505.07105710426453</v>
      </c>
      <c r="G6" s="34"/>
      <c r="H6" s="33"/>
      <c r="I6" s="33"/>
      <c r="J6" s="33">
        <f>$C$26*('E Balans VL '!D12+'E Balans VL '!E12)/100/3.6*1000000</f>
        <v>0</v>
      </c>
      <c r="K6" s="33"/>
      <c r="L6" s="33"/>
      <c r="M6" s="33"/>
      <c r="N6" s="33">
        <f>$C$26*'E Balans VL '!Y12/100/3.6*1000000</f>
        <v>44.667608059611865</v>
      </c>
      <c r="O6" s="33"/>
      <c r="P6" s="33"/>
      <c r="R6" s="32"/>
    </row>
    <row r="7" spans="1:18">
      <c r="A7" s="32" t="s">
        <v>52</v>
      </c>
      <c r="B7" s="37">
        <f t="shared" ref="B7:B12" si="0">B27</f>
        <v>2079.3760000000002</v>
      </c>
      <c r="C7" s="33"/>
      <c r="D7" s="37">
        <f>IF(ISERROR(TER_horeca_gas_kWh/1000),0,TER_horeca_gas_kWh/1000)*0.902</f>
        <v>3295.8938383438322</v>
      </c>
      <c r="E7" s="33">
        <f>$C$27*'E Balans VL '!I9/100/3.6*1000000</f>
        <v>87.286394818277216</v>
      </c>
      <c r="F7" s="33">
        <f>$C$27*('E Balans VL '!L9+'E Balans VL '!N9)/100/3.6*1000000</f>
        <v>446.79657522099365</v>
      </c>
      <c r="G7" s="34"/>
      <c r="H7" s="33"/>
      <c r="I7" s="33"/>
      <c r="J7" s="33">
        <f>$C$27*('E Balans VL '!D9+'E Balans VL '!E9)/100/3.6*1000000</f>
        <v>0</v>
      </c>
      <c r="K7" s="33"/>
      <c r="L7" s="33"/>
      <c r="M7" s="33"/>
      <c r="N7" s="33">
        <f>$C$27*'E Balans VL '!Y9/100/3.6*1000000</f>
        <v>0.53583701039718423</v>
      </c>
      <c r="O7" s="33"/>
      <c r="P7" s="33"/>
      <c r="R7" s="32"/>
    </row>
    <row r="8" spans="1:18">
      <c r="A8" s="6" t="s">
        <v>51</v>
      </c>
      <c r="B8" s="37">
        <f t="shared" si="0"/>
        <v>7457.9309999999996</v>
      </c>
      <c r="C8" s="33"/>
      <c r="D8" s="37">
        <f>IF(ISERROR(TER_handel_gas_kWh/1000),0,TER_handel_gas_kWh/1000)*0.902</f>
        <v>3378.6549021086698</v>
      </c>
      <c r="E8" s="33">
        <f>$C$28*'E Balans VL '!I13/100/3.6*1000000</f>
        <v>80.104385999525775</v>
      </c>
      <c r="F8" s="33">
        <f>$C$28*('E Balans VL '!L13+'E Balans VL '!N13)/100/3.6*1000000</f>
        <v>965.49075427460889</v>
      </c>
      <c r="G8" s="34"/>
      <c r="H8" s="33"/>
      <c r="I8" s="33"/>
      <c r="J8" s="33">
        <f>$C$28*('E Balans VL '!D13+'E Balans VL '!E13)/100/3.6*1000000</f>
        <v>0</v>
      </c>
      <c r="K8" s="33"/>
      <c r="L8" s="33"/>
      <c r="M8" s="33"/>
      <c r="N8" s="33">
        <f>$C$28*'E Balans VL '!Y13/100/3.6*1000000</f>
        <v>60.499143492738369</v>
      </c>
      <c r="O8" s="33"/>
      <c r="P8" s="33"/>
      <c r="R8" s="32"/>
    </row>
    <row r="9" spans="1:18">
      <c r="A9" s="32" t="s">
        <v>50</v>
      </c>
      <c r="B9" s="37">
        <f t="shared" si="0"/>
        <v>300.53750000000002</v>
      </c>
      <c r="C9" s="33"/>
      <c r="D9" s="37">
        <f>IF(ISERROR(TER_gezond_gas_kWh/1000),0,TER_gezond_gas_kWh/1000)*0.902</f>
        <v>732.66142725612519</v>
      </c>
      <c r="E9" s="33">
        <f>$C$29*'E Balans VL '!I10/100/3.6*1000000</f>
        <v>0.23924728824473401</v>
      </c>
      <c r="F9" s="33">
        <f>$C$29*('E Balans VL '!L10+'E Balans VL '!N10)/100/3.6*1000000</f>
        <v>36.534676283065004</v>
      </c>
      <c r="G9" s="34"/>
      <c r="H9" s="33"/>
      <c r="I9" s="33"/>
      <c r="J9" s="33">
        <f>$C$29*('E Balans VL '!D10+'E Balans VL '!E10)/100/3.6*1000000</f>
        <v>0</v>
      </c>
      <c r="K9" s="33"/>
      <c r="L9" s="33"/>
      <c r="M9" s="33"/>
      <c r="N9" s="33">
        <f>$C$29*'E Balans VL '!Y10/100/3.6*1000000</f>
        <v>2.4276623028208473</v>
      </c>
      <c r="O9" s="33"/>
      <c r="P9" s="33"/>
      <c r="R9" s="32"/>
    </row>
    <row r="10" spans="1:18">
      <c r="A10" s="32" t="s">
        <v>49</v>
      </c>
      <c r="B10" s="37">
        <f t="shared" si="0"/>
        <v>4706.058</v>
      </c>
      <c r="C10" s="33"/>
      <c r="D10" s="37">
        <f>IF(ISERROR(TER_ander_gas_kWh/1000),0,TER_ander_gas_kWh/1000)*0.902</f>
        <v>8967.5804284977712</v>
      </c>
      <c r="E10" s="33">
        <f>$C$30*'E Balans VL '!I14/100/3.6*1000000</f>
        <v>16.127907990596597</v>
      </c>
      <c r="F10" s="33">
        <f>$C$30*('E Balans VL '!L14+'E Balans VL '!N14)/100/3.6*1000000</f>
        <v>1051.1421255293019</v>
      </c>
      <c r="G10" s="34"/>
      <c r="H10" s="33"/>
      <c r="I10" s="33"/>
      <c r="J10" s="33">
        <f>$C$30*('E Balans VL '!D14+'E Balans VL '!E14)/100/3.6*1000000</f>
        <v>0</v>
      </c>
      <c r="K10" s="33"/>
      <c r="L10" s="33"/>
      <c r="M10" s="33"/>
      <c r="N10" s="33">
        <f>$C$30*'E Balans VL '!Y14/100/3.6*1000000</f>
        <v>3314.9729638923181</v>
      </c>
      <c r="O10" s="33"/>
      <c r="P10" s="33"/>
      <c r="R10" s="32"/>
    </row>
    <row r="11" spans="1:18">
      <c r="A11" s="32" t="s">
        <v>54</v>
      </c>
      <c r="B11" s="37">
        <f t="shared" si="0"/>
        <v>248.8903</v>
      </c>
      <c r="C11" s="33"/>
      <c r="D11" s="37">
        <f>IF(ISERROR(TER_onderwijs_gas_kWh/1000),0,TER_onderwijs_gas_kWh/1000)*0.902</f>
        <v>1227.1744829596187</v>
      </c>
      <c r="E11" s="33">
        <f>$C$31*'E Balans VL '!I11/100/3.6*1000000</f>
        <v>0.17205019917202219</v>
      </c>
      <c r="F11" s="33">
        <f>$C$31*('E Balans VL '!L11+'E Balans VL '!N11)/100/3.6*1000000</f>
        <v>65.152250767336852</v>
      </c>
      <c r="G11" s="34"/>
      <c r="H11" s="33"/>
      <c r="I11" s="33"/>
      <c r="J11" s="33">
        <f>$C$31*('E Balans VL '!D11+'E Balans VL '!E11)/100/3.6*1000000</f>
        <v>0</v>
      </c>
      <c r="K11" s="33"/>
      <c r="L11" s="33"/>
      <c r="M11" s="33"/>
      <c r="N11" s="33">
        <f>$C$31*'E Balans VL '!Y11/100/3.6*1000000</f>
        <v>0.24774909482792926</v>
      </c>
      <c r="O11" s="33"/>
      <c r="P11" s="33"/>
      <c r="R11" s="32"/>
    </row>
    <row r="12" spans="1:18">
      <c r="A12" s="32" t="s">
        <v>249</v>
      </c>
      <c r="B12" s="37">
        <f t="shared" si="0"/>
        <v>4831.0029999999997</v>
      </c>
      <c r="C12" s="33"/>
      <c r="D12" s="37">
        <f>IF(ISERROR(TER_rest_gas_kWh/1000),0,TER_rest_gas_kWh/1000)*0.902</f>
        <v>5521.0002121007856</v>
      </c>
      <c r="E12" s="33">
        <f>$C$32*'E Balans VL '!I8/100/3.6*1000000</f>
        <v>43.677824413093724</v>
      </c>
      <c r="F12" s="33">
        <f>$C$32*('E Balans VL '!L8+'E Balans VL '!N8)/100/3.6*1000000</f>
        <v>712.12872609354883</v>
      </c>
      <c r="G12" s="34"/>
      <c r="H12" s="33"/>
      <c r="I12" s="33"/>
      <c r="J12" s="33">
        <f>$C$32*('E Balans VL '!D8+'E Balans VL '!E8)/100/3.6*1000000</f>
        <v>0</v>
      </c>
      <c r="K12" s="33"/>
      <c r="L12" s="33"/>
      <c r="M12" s="33"/>
      <c r="N12" s="33">
        <f>$C$32*'E Balans VL '!Y8/100/3.6*1000000</f>
        <v>412.01993347127899</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24086.4228</v>
      </c>
      <c r="C16" s="21">
        <f t="shared" ca="1" si="1"/>
        <v>0</v>
      </c>
      <c r="D16" s="21">
        <f t="shared" ca="1" si="1"/>
        <v>26051.188499348104</v>
      </c>
      <c r="E16" s="21">
        <f t="shared" si="1"/>
        <v>240.53669588813113</v>
      </c>
      <c r="F16" s="21">
        <f t="shared" ca="1" si="1"/>
        <v>3782.3161652731192</v>
      </c>
      <c r="G16" s="21">
        <f t="shared" si="1"/>
        <v>0</v>
      </c>
      <c r="H16" s="21">
        <f t="shared" si="1"/>
        <v>0</v>
      </c>
      <c r="I16" s="21">
        <f t="shared" si="1"/>
        <v>0</v>
      </c>
      <c r="J16" s="21">
        <f t="shared" si="1"/>
        <v>0</v>
      </c>
      <c r="K16" s="21">
        <f t="shared" si="1"/>
        <v>0</v>
      </c>
      <c r="L16" s="21">
        <f t="shared" ca="1" si="1"/>
        <v>0</v>
      </c>
      <c r="M16" s="21">
        <f t="shared" si="1"/>
        <v>0</v>
      </c>
      <c r="N16" s="21">
        <f t="shared" ca="1" si="1"/>
        <v>3835.3708973239932</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0.19417153196741543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4676.8976146908844</v>
      </c>
      <c r="C20" s="23">
        <f t="shared" ref="C20:P20" ca="1" si="2">C16*C18</f>
        <v>0</v>
      </c>
      <c r="D20" s="23">
        <f t="shared" ca="1" si="2"/>
        <v>5262.3400768683168</v>
      </c>
      <c r="E20" s="23">
        <f t="shared" si="2"/>
        <v>54.60182996660577</v>
      </c>
      <c r="F20" s="23">
        <f t="shared" ca="1" si="2"/>
        <v>1009.8784161279228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4462.6270000000004</v>
      </c>
      <c r="C26" s="39">
        <f>IF(ISERROR(B26*3.6/1000000/'E Balans VL '!Z12*100),0,B26*3.6/1000000/'E Balans VL '!Z12*100)</f>
        <v>9.802676136845144E-2</v>
      </c>
      <c r="D26" s="233" t="s">
        <v>676</v>
      </c>
      <c r="F26" s="6"/>
    </row>
    <row r="27" spans="1:18">
      <c r="A27" s="228" t="s">
        <v>52</v>
      </c>
      <c r="B27" s="33">
        <f>IF(ISERROR(TER_horeca_ele_kWh/1000),0,TER_horeca_ele_kWh/1000)</f>
        <v>2079.3760000000002</v>
      </c>
      <c r="C27" s="39">
        <f>IF(ISERROR(B27*3.6/1000000/'E Balans VL '!Z9*100),0,B27*3.6/1000000/'E Balans VL '!Z9*100)</f>
        <v>0.16709858906478176</v>
      </c>
      <c r="D27" s="233" t="s">
        <v>676</v>
      </c>
      <c r="F27" s="6"/>
    </row>
    <row r="28" spans="1:18">
      <c r="A28" s="168" t="s">
        <v>51</v>
      </c>
      <c r="B28" s="33">
        <f>IF(ISERROR(TER_handel_ele_kWh/1000),0,TER_handel_ele_kWh/1000)</f>
        <v>7457.9309999999996</v>
      </c>
      <c r="C28" s="39">
        <f>IF(ISERROR(B28*3.6/1000000/'E Balans VL '!Z13*100),0,B28*3.6/1000000/'E Balans VL '!Z13*100)</f>
        <v>0.22052580945000666</v>
      </c>
      <c r="D28" s="233" t="s">
        <v>676</v>
      </c>
      <c r="F28" s="6"/>
    </row>
    <row r="29" spans="1:18">
      <c r="A29" s="228" t="s">
        <v>50</v>
      </c>
      <c r="B29" s="33">
        <f>IF(ISERROR(TER_gezond_ele_kWh/1000),0,TER_gezond_ele_kWh/1000)</f>
        <v>300.53750000000002</v>
      </c>
      <c r="C29" s="39">
        <f>IF(ISERROR(B29*3.6/1000000/'E Balans VL '!Z10*100),0,B29*3.6/1000000/'E Balans VL '!Z10*100)</f>
        <v>3.3862817055724706E-2</v>
      </c>
      <c r="D29" s="233" t="s">
        <v>676</v>
      </c>
      <c r="F29" s="6"/>
    </row>
    <row r="30" spans="1:18">
      <c r="A30" s="228" t="s">
        <v>49</v>
      </c>
      <c r="B30" s="33">
        <f>IF(ISERROR(TER_ander_ele_kWh/1000),0,TER_ander_ele_kWh/1000)</f>
        <v>4706.058</v>
      </c>
      <c r="C30" s="39">
        <f>IF(ISERROR(B30*3.6/1000000/'E Balans VL '!Z14*100),0,B30*3.6/1000000/'E Balans VL '!Z14*100)</f>
        <v>0.35591112189722601</v>
      </c>
      <c r="D30" s="233" t="s">
        <v>676</v>
      </c>
      <c r="F30" s="6"/>
    </row>
    <row r="31" spans="1:18">
      <c r="A31" s="228" t="s">
        <v>54</v>
      </c>
      <c r="B31" s="33">
        <f>IF(ISERROR(TER_onderwijs_ele_kWh/1000),0,TER_onderwijs_ele_kWh/1000)</f>
        <v>248.8903</v>
      </c>
      <c r="C31" s="39">
        <f>IF(ISERROR(B31*3.6/1000000/'E Balans VL '!Z11*100),0,B31*3.6/1000000/'E Balans VL '!Z11*100)</f>
        <v>5.1663848539726345E-2</v>
      </c>
      <c r="D31" s="233" t="s">
        <v>676</v>
      </c>
    </row>
    <row r="32" spans="1:18">
      <c r="A32" s="228" t="s">
        <v>249</v>
      </c>
      <c r="B32" s="33">
        <f>IF(ISERROR(TER_rest_ele_kWh/1000),0,TER_rest_ele_kWh/1000)</f>
        <v>4831.0029999999997</v>
      </c>
      <c r="C32" s="39">
        <f>IF(ISERROR(B32*3.6/1000000/'E Balans VL '!Z8*100),0,B32*3.6/1000000/'E Balans VL '!Z8*100)</f>
        <v>4.0698358292177834E-2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21356.404500000001</v>
      </c>
      <c r="C5" s="17">
        <f>IF(ISERROR('Eigen informatie GS &amp; warmtenet'!B59),0,'Eigen informatie GS &amp; warmtenet'!B59)</f>
        <v>0</v>
      </c>
      <c r="D5" s="30">
        <f>SUM(D6:D15)</f>
        <v>52809.438705181121</v>
      </c>
      <c r="E5" s="17">
        <f>SUM(E6:E15)</f>
        <v>1517.2277867609505</v>
      </c>
      <c r="F5" s="17">
        <f>SUM(F6:F15)</f>
        <v>8115.4696976689111</v>
      </c>
      <c r="G5" s="18"/>
      <c r="H5" s="17"/>
      <c r="I5" s="17"/>
      <c r="J5" s="17">
        <f>SUM(J6:J15)</f>
        <v>69.235955648154786</v>
      </c>
      <c r="K5" s="17"/>
      <c r="L5" s="17"/>
      <c r="M5" s="17"/>
      <c r="N5" s="17">
        <f>SUM(N6:N15)</f>
        <v>1458.1353612506389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5392.7479999999996</v>
      </c>
      <c r="C8" s="33"/>
      <c r="D8" s="37">
        <f>IF( ISERROR(IND_metaal_Gas_kWH/1000),0,IND_metaal_Gas_kWH/1000)*0.902</f>
        <v>45938.699688383735</v>
      </c>
      <c r="E8" s="33">
        <f>C30*'E Balans VL '!I18/100/3.6*1000000</f>
        <v>134.96160822635366</v>
      </c>
      <c r="F8" s="33">
        <f>C30*'E Balans VL '!L18/100/3.6*1000000+C30*'E Balans VL '!N18/100/3.6*1000000</f>
        <v>1690.1140481081022</v>
      </c>
      <c r="G8" s="34"/>
      <c r="H8" s="33"/>
      <c r="I8" s="33"/>
      <c r="J8" s="40">
        <f>C30*'E Balans VL '!D18/100/3.6*1000000+C30*'E Balans VL '!E18/100/3.6*1000000</f>
        <v>0</v>
      </c>
      <c r="K8" s="33"/>
      <c r="L8" s="33"/>
      <c r="M8" s="33"/>
      <c r="N8" s="33">
        <f>C30*'E Balans VL '!Y18/100/3.6*1000000</f>
        <v>135.4798251614684</v>
      </c>
      <c r="O8" s="33"/>
      <c r="P8" s="33"/>
      <c r="R8" s="32"/>
    </row>
    <row r="9" spans="1:18">
      <c r="A9" s="6" t="s">
        <v>32</v>
      </c>
      <c r="B9" s="37">
        <f t="shared" si="0"/>
        <v>2777.5129999999999</v>
      </c>
      <c r="C9" s="33"/>
      <c r="D9" s="37">
        <f>IF( ISERROR(IND_andere_gas_kWh/1000),0,IND_andere_gas_kWh/1000)*0.902</f>
        <v>1944.8484774628353</v>
      </c>
      <c r="E9" s="33">
        <f>C31*'E Balans VL '!I19/100/3.6*1000000</f>
        <v>763.70215514989115</v>
      </c>
      <c r="F9" s="33">
        <f>C31*'E Balans VL '!L19/100/3.6*1000000+C31*'E Balans VL '!N19/100/3.6*1000000</f>
        <v>2189.1635659635308</v>
      </c>
      <c r="G9" s="34"/>
      <c r="H9" s="33"/>
      <c r="I9" s="33"/>
      <c r="J9" s="40">
        <f>C31*'E Balans VL '!D19/100/3.6*1000000+C31*'E Balans VL '!E19/100/3.6*1000000</f>
        <v>0</v>
      </c>
      <c r="K9" s="33"/>
      <c r="L9" s="33"/>
      <c r="M9" s="33"/>
      <c r="N9" s="33">
        <f>C31*'E Balans VL '!Y19/100/3.6*1000000</f>
        <v>223.75819754501853</v>
      </c>
      <c r="O9" s="33"/>
      <c r="P9" s="33"/>
      <c r="R9" s="32"/>
    </row>
    <row r="10" spans="1:18">
      <c r="A10" s="6" t="s">
        <v>40</v>
      </c>
      <c r="B10" s="37">
        <f t="shared" si="0"/>
        <v>792.25490000000002</v>
      </c>
      <c r="C10" s="33"/>
      <c r="D10" s="37">
        <f>IF( ISERROR(IND_voed_gas_kWh/1000),0,IND_voed_gas_kWh/1000)*0.902</f>
        <v>1195.4486565006096</v>
      </c>
      <c r="E10" s="33">
        <f>C32*'E Balans VL '!I20/100/3.6*1000000</f>
        <v>8.0766022497851626</v>
      </c>
      <c r="F10" s="33">
        <f>C32*'E Balans VL '!L20/100/3.6*1000000+C32*'E Balans VL '!N20/100/3.6*1000000</f>
        <v>1496.5645510239185</v>
      </c>
      <c r="G10" s="34"/>
      <c r="H10" s="33"/>
      <c r="I10" s="33"/>
      <c r="J10" s="40">
        <f>C32*'E Balans VL '!D20/100/3.6*1000000+C32*'E Balans VL '!E20/100/3.6*1000000</f>
        <v>18.961252026769035</v>
      </c>
      <c r="K10" s="33"/>
      <c r="L10" s="33"/>
      <c r="M10" s="33"/>
      <c r="N10" s="33">
        <f>C32*'E Balans VL '!Y20/100/3.6*1000000</f>
        <v>417.60958887427336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410.39759999999995</v>
      </c>
      <c r="C13" s="33"/>
      <c r="D13" s="37">
        <f>IF( ISERROR(IND_papier_gas_kWh/1000),0,IND_papier_gas_kWh/1000)*0.902</f>
        <v>238.8371701100746</v>
      </c>
      <c r="E13" s="33">
        <f>C35*'E Balans VL '!I23/100/3.6*1000000</f>
        <v>0.84996113077096735</v>
      </c>
      <c r="F13" s="33">
        <f>C35*'E Balans VL '!L23/100/3.6*1000000+C35*'E Balans VL '!N23/100/3.6*1000000</f>
        <v>8.1390642305254168</v>
      </c>
      <c r="G13" s="34"/>
      <c r="H13" s="33"/>
      <c r="I13" s="33"/>
      <c r="J13" s="40">
        <f>C35*'E Balans VL '!D23/100/3.6*1000000+C35*'E Balans VL '!E23/100/3.6*1000000</f>
        <v>0</v>
      </c>
      <c r="K13" s="33"/>
      <c r="L13" s="33"/>
      <c r="M13" s="33"/>
      <c r="N13" s="33">
        <f>C35*'E Balans VL '!Y23/100/3.6*1000000</f>
        <v>28.463147933904747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11983.491</v>
      </c>
      <c r="C15" s="33"/>
      <c r="D15" s="37">
        <f>IF( ISERROR(IND_rest_gas_kWh/1000),0,IND_rest_gas_kWh/1000)*0.902</f>
        <v>3491.6047127238639</v>
      </c>
      <c r="E15" s="33">
        <f>C37*'E Balans VL '!I15/100/3.6*1000000</f>
        <v>609.63746000414937</v>
      </c>
      <c r="F15" s="33">
        <f>C37*'E Balans VL '!L15/100/3.6*1000000+C37*'E Balans VL '!N15/100/3.6*1000000</f>
        <v>2731.4884683428345</v>
      </c>
      <c r="G15" s="34"/>
      <c r="H15" s="33"/>
      <c r="I15" s="33"/>
      <c r="J15" s="40">
        <f>C37*'E Balans VL '!D15/100/3.6*1000000+C37*'E Balans VL '!E15/100/3.6*1000000</f>
        <v>50.274703621385747</v>
      </c>
      <c r="K15" s="33"/>
      <c r="L15" s="33"/>
      <c r="M15" s="33"/>
      <c r="N15" s="33">
        <f>C37*'E Balans VL '!Y15/100/3.6*1000000</f>
        <v>652.82460173597383</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21356.404500000001</v>
      </c>
      <c r="C18" s="21">
        <f>C5+C16</f>
        <v>0</v>
      </c>
      <c r="D18" s="21">
        <f>MAX((D5+D16),0)</f>
        <v>52809.438705181121</v>
      </c>
      <c r="E18" s="21">
        <f>MAX((E5+E16),0)</f>
        <v>1517.2277867609505</v>
      </c>
      <c r="F18" s="21">
        <f>MAX((F5+F16),0)</f>
        <v>8115.4696976689111</v>
      </c>
      <c r="G18" s="21"/>
      <c r="H18" s="21"/>
      <c r="I18" s="21"/>
      <c r="J18" s="21">
        <f>MAX((J5+J16),0)</f>
        <v>69.235955648154786</v>
      </c>
      <c r="K18" s="21"/>
      <c r="L18" s="21">
        <f>MAX((L5+L16),0)</f>
        <v>0</v>
      </c>
      <c r="M18" s="21"/>
      <c r="N18" s="21">
        <f>MAX((N5+N16),0)</f>
        <v>1458.1353612506389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0.19417153196741543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4146.8057790808052</v>
      </c>
      <c r="C22" s="23">
        <f ca="1">C18*C20</f>
        <v>0</v>
      </c>
      <c r="D22" s="23">
        <f>D18*D20</f>
        <v>10667.506618446587</v>
      </c>
      <c r="E22" s="23">
        <f>E18*E20</f>
        <v>344.41070759473575</v>
      </c>
      <c r="F22" s="23">
        <f>F18*F20</f>
        <v>2166.8304092775993</v>
      </c>
      <c r="G22" s="23"/>
      <c r="H22" s="23"/>
      <c r="I22" s="23"/>
      <c r="J22" s="23">
        <f>J18*J20</f>
        <v>24.509528299446792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5392.7479999999996</v>
      </c>
      <c r="C30" s="39">
        <f>IF(ISERROR(B30*3.6/1000000/'E Balans VL '!Z18*100),0,B30*3.6/1000000/'E Balans VL '!Z18*100)</f>
        <v>0.75480500468752998</v>
      </c>
      <c r="D30" s="233" t="s">
        <v>676</v>
      </c>
    </row>
    <row r="31" spans="1:18">
      <c r="A31" s="6" t="s">
        <v>32</v>
      </c>
      <c r="B31" s="37">
        <f>IF( ISERROR(IND_ander_ele_kWh/1000),0,IND_ander_ele_kWh/1000)</f>
        <v>2777.5129999999999</v>
      </c>
      <c r="C31" s="39">
        <f>IF(ISERROR(B31*3.6/1000000/'E Balans VL '!Z19*100),0,B31*3.6/1000000/'E Balans VL '!Z19*100)</f>
        <v>0.12157129343337601</v>
      </c>
      <c r="D31" s="233" t="s">
        <v>676</v>
      </c>
    </row>
    <row r="32" spans="1:18">
      <c r="A32" s="168" t="s">
        <v>40</v>
      </c>
      <c r="B32" s="37">
        <f>IF( ISERROR(IND_voed_ele_kWh/1000),0,IND_voed_ele_kWh/1000)</f>
        <v>792.25490000000002</v>
      </c>
      <c r="C32" s="39">
        <f>IF(ISERROR(B32*3.6/1000000/'E Balans VL '!Z20*100),0,B32*3.6/1000000/'E Balans VL '!Z20*100)</f>
        <v>0.19613600375249909</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410.39759999999995</v>
      </c>
      <c r="C35" s="39">
        <f>IF(ISERROR(B35*3.6/1000000/'E Balans VL '!Z22*100),0,B35*3.6/1000000/'E Balans VL '!Z22*100)</f>
        <v>1.1645409555778072E-2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11983.491</v>
      </c>
      <c r="C37" s="39">
        <f>IF(ISERROR(B37*3.6/1000000/'E Balans VL '!Z15*100),0,B37*3.6/1000000/'E Balans VL '!Z15*100)</f>
        <v>8.8855534104521822E-2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4590.7923000000001</v>
      </c>
      <c r="C5" s="17">
        <f>'Eigen informatie GS &amp; warmtenet'!B60</f>
        <v>0</v>
      </c>
      <c r="D5" s="30">
        <f>IF(ISERROR(SUM(LB_lb_gas_kWh,LB_rest_gas_kWh)/1000),0,SUM(LB_lb_gas_kWh,LB_rest_gas_kWh)/1000)*0.902</f>
        <v>46541.43745435476</v>
      </c>
      <c r="E5" s="17">
        <f>B17*'E Balans VL '!I25/3.6*1000000/100</f>
        <v>42.521841083162762</v>
      </c>
      <c r="F5" s="17">
        <f>B17*('E Balans VL '!L25/3.6*1000000+'E Balans VL '!N25/3.6*1000000)/100</f>
        <v>11647.714610135674</v>
      </c>
      <c r="G5" s="18"/>
      <c r="H5" s="17"/>
      <c r="I5" s="17"/>
      <c r="J5" s="17">
        <f>('E Balans VL '!D25+'E Balans VL '!E25)/3.6*1000000*landbouw!B17/100</f>
        <v>703.81969298159743</v>
      </c>
      <c r="K5" s="17"/>
      <c r="L5" s="17">
        <f>L6*(-1)</f>
        <v>0</v>
      </c>
      <c r="M5" s="17"/>
      <c r="N5" s="17">
        <f>N6*(-1)</f>
        <v>0</v>
      </c>
      <c r="O5" s="17"/>
      <c r="P5" s="17"/>
      <c r="R5" s="32"/>
    </row>
    <row r="6" spans="1:18">
      <c r="A6" s="16" t="s">
        <v>481</v>
      </c>
      <c r="B6" s="17" t="s">
        <v>204</v>
      </c>
      <c r="C6" s="17">
        <f>'lokale energieproductie'!O40+'lokale energieproductie'!O33</f>
        <v>27006.428571428572</v>
      </c>
      <c r="D6" s="302">
        <f>('lokale energieproductie'!P33+'lokale energieproductie'!P40)*(-1)</f>
        <v>-54012.857142857145</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4590.7923000000001</v>
      </c>
      <c r="C8" s="21">
        <f>C5+C6</f>
        <v>27006.428571428572</v>
      </c>
      <c r="D8" s="21">
        <f>MAX((D5+D6),0)</f>
        <v>0</v>
      </c>
      <c r="E8" s="21">
        <f>MAX((E5+E6),0)</f>
        <v>42.521841083162762</v>
      </c>
      <c r="F8" s="21">
        <f>MAX((F5+F6),0)</f>
        <v>11647.714610135674</v>
      </c>
      <c r="G8" s="21"/>
      <c r="H8" s="21"/>
      <c r="I8" s="21"/>
      <c r="J8" s="21">
        <f>MAX((J5+J6),0)</f>
        <v>703.81969298159743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0.19417153196741543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891.40117383521465</v>
      </c>
      <c r="C12" s="23">
        <f ca="1">C8*C10</f>
        <v>6417.9983193277312</v>
      </c>
      <c r="D12" s="23">
        <f>D8*D10</f>
        <v>0</v>
      </c>
      <c r="E12" s="23">
        <f>E8*E10</f>
        <v>9.6524579258779468</v>
      </c>
      <c r="F12" s="23">
        <f>F8*F10</f>
        <v>3109.9398009062252</v>
      </c>
      <c r="G12" s="23"/>
      <c r="H12" s="23"/>
      <c r="I12" s="23"/>
      <c r="J12" s="23">
        <f>J8*J10</f>
        <v>249.15217131548548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0.65271332343783106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684.68587805169386</v>
      </c>
      <c r="C26" s="243">
        <f>B26*'GWP N2O_CH4'!B5</f>
        <v>14378.40343908557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431.33189260709588</v>
      </c>
      <c r="C27" s="243">
        <f>B27*'GWP N2O_CH4'!B5</f>
        <v>9057.9697447490144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12.179971507090846</v>
      </c>
      <c r="C28" s="243">
        <f>B28*'GWP N2O_CH4'!B4</f>
        <v>3775.7911671981624</v>
      </c>
      <c r="D28" s="50"/>
    </row>
    <row r="29" spans="1:4">
      <c r="A29" s="41" t="s">
        <v>266</v>
      </c>
      <c r="B29" s="243">
        <f>B34*'ha_N2O bodem landbouw'!B4</f>
        <v>23.420806928171217</v>
      </c>
      <c r="C29" s="243">
        <f>B29*'GWP N2O_CH4'!B4</f>
        <v>7260.4501477330768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5.2528743823641198E-3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1.0945448111314748E-4</v>
      </c>
      <c r="C5" s="430" t="s">
        <v>204</v>
      </c>
      <c r="D5" s="415">
        <f>SUM(D6:D11)</f>
        <v>1.6048255502786214E-4</v>
      </c>
      <c r="E5" s="415">
        <f>SUM(E6:E11)</f>
        <v>1.7202902609166817E-3</v>
      </c>
      <c r="F5" s="428" t="s">
        <v>204</v>
      </c>
      <c r="G5" s="415">
        <f>SUM(G6:G11)</f>
        <v>0.60563458289835814</v>
      </c>
      <c r="H5" s="415">
        <f>SUM(H6:H11)</f>
        <v>9.4565918265877152E-2</v>
      </c>
      <c r="I5" s="430" t="s">
        <v>204</v>
      </c>
      <c r="J5" s="430" t="s">
        <v>204</v>
      </c>
      <c r="K5" s="430" t="s">
        <v>204</v>
      </c>
      <c r="L5" s="430" t="s">
        <v>204</v>
      </c>
      <c r="M5" s="415">
        <f>SUM(M6:M11)</f>
        <v>3.799749902942972E-2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3.6885347792446681E-5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5.5709345349068351E-5</v>
      </c>
      <c r="E6" s="858">
        <f>vkm_GW_PW*SUMIFS(TableVerdeelsleutelVkm[LPG],TableVerdeelsleutelVkm[Voertuigtype],"Lichte voertuigen")*SUMIFS(TableECFTransport[EnergieConsumptieFactor (PJ per km)],TableECFTransport[Index],CONCATENATE($A6,"_LPG_LPG"))</f>
        <v>5.4870972880352792E-4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0.1255332591889359</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3.239545813644789E-2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8.2662152557354332E-3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2.1681777786669414E-6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8.3215566337921237E-2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1.5734755930621957E-6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4.8246491755267532E-3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1.4753184981205157E-5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3.3612526038628627E-5</v>
      </c>
      <c r="E8" s="418">
        <f>vkm_NGW_PW*SUMIFS(TableVerdeelsleutelVkm[LPG],TableVerdeelsleutelVkm[Voertuigtype],"Lichte voertuigen")*SUMIFS(TableECFTransport[EnergieConsumptieFactor (PJ per km)],TableECFTransport[Index],CONCATENATE($A8,"_LPG_LPG"))</f>
        <v>3.1574375181365306E-4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6.7043549777984796E-2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1.8881649458945826E-2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4.4629385771438506E-3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2.6426516080332895E-7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1.3031366017010847E-2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2.3148426737851896E-7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7.5552849315580742E-4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5.1644130598289028E-5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7.1160683640165179E-5</v>
      </c>
      <c r="E10" s="418">
        <f>vkm_SW_PW*SUMIFS(TableVerdeelsleutelVkm[LPG],TableVerdeelsleutelVkm[Voertuigtype],"Lichte voertuigen")*SUMIFS(TableECFTransport[EnergieConsumptieFactor (PJ per km)],TableECFTransport[Index],CONCATENATE($A10,"_LPG_LPG"))</f>
        <v>8.558367802995008E-4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0.18000513244073918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4.328421255869988E-2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1.1756477524781494E-2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3.7393748017363458E-6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0.1368057091357662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2.7931519231157733E-6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7.9316900030863818E-3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30.404022531429852</v>
      </c>
      <c r="C14" s="21"/>
      <c r="D14" s="21">
        <f t="shared" ref="D14:M14" si="0">((D5)*10^9/3600)+D12</f>
        <v>44.578487507739482</v>
      </c>
      <c r="E14" s="21">
        <f t="shared" si="0"/>
        <v>477.85840581018937</v>
      </c>
      <c r="F14" s="21"/>
      <c r="G14" s="21">
        <f t="shared" si="0"/>
        <v>168231.82858287726</v>
      </c>
      <c r="H14" s="21">
        <f t="shared" si="0"/>
        <v>26268.31062941032</v>
      </c>
      <c r="I14" s="21"/>
      <c r="J14" s="21"/>
      <c r="K14" s="21"/>
      <c r="L14" s="21"/>
      <c r="M14" s="21">
        <f t="shared" si="0"/>
        <v>10554.860841508254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0.19417153196741543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5.9035956328995507</v>
      </c>
      <c r="C18" s="23"/>
      <c r="D18" s="23">
        <f t="shared" ref="D18:M18" si="1">D14*D16</f>
        <v>9.0048544765633753</v>
      </c>
      <c r="E18" s="23">
        <f t="shared" si="1"/>
        <v>108.47385811891299</v>
      </c>
      <c r="F18" s="23"/>
      <c r="G18" s="23">
        <f t="shared" si="1"/>
        <v>44917.898231628234</v>
      </c>
      <c r="H18" s="23">
        <f t="shared" si="1"/>
        <v>6540.8093467231693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3.4869889404174794E-5</v>
      </c>
      <c r="C50" s="313">
        <f t="shared" ref="C50:P50" si="2">SUM(C51:C52)</f>
        <v>0</v>
      </c>
      <c r="D50" s="313">
        <f t="shared" si="2"/>
        <v>0</v>
      </c>
      <c r="E50" s="313">
        <f t="shared" si="2"/>
        <v>0</v>
      </c>
      <c r="F50" s="313">
        <f t="shared" si="2"/>
        <v>0</v>
      </c>
      <c r="G50" s="313">
        <f t="shared" si="2"/>
        <v>6.6073839356943611E-3</v>
      </c>
      <c r="H50" s="313">
        <f t="shared" si="2"/>
        <v>0</v>
      </c>
      <c r="I50" s="313">
        <f t="shared" si="2"/>
        <v>0</v>
      </c>
      <c r="J50" s="313">
        <f t="shared" si="2"/>
        <v>0</v>
      </c>
      <c r="K50" s="313">
        <f t="shared" si="2"/>
        <v>0</v>
      </c>
      <c r="L50" s="313">
        <f t="shared" si="2"/>
        <v>0</v>
      </c>
      <c r="M50" s="313">
        <f t="shared" si="2"/>
        <v>3.803741163996022E-4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3.4869889404174794E-5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6.6073839356943611E-3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3.803741163996022E-4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9.6860803900485539</v>
      </c>
      <c r="C54" s="21">
        <f t="shared" ref="C54:P54" si="3">(C50)*10^9/3600</f>
        <v>0</v>
      </c>
      <c r="D54" s="21">
        <f t="shared" si="3"/>
        <v>0</v>
      </c>
      <c r="E54" s="21">
        <f t="shared" si="3"/>
        <v>0</v>
      </c>
      <c r="F54" s="21">
        <f t="shared" si="3"/>
        <v>0</v>
      </c>
      <c r="G54" s="21">
        <f t="shared" si="3"/>
        <v>1835.384426581767</v>
      </c>
      <c r="H54" s="21">
        <f t="shared" si="3"/>
        <v>0</v>
      </c>
      <c r="I54" s="21">
        <f t="shared" si="3"/>
        <v>0</v>
      </c>
      <c r="J54" s="21">
        <f t="shared" si="3"/>
        <v>0</v>
      </c>
      <c r="K54" s="21">
        <f t="shared" si="3"/>
        <v>0</v>
      </c>
      <c r="L54" s="21">
        <f t="shared" si="3"/>
        <v>0</v>
      </c>
      <c r="M54" s="21">
        <f t="shared" si="3"/>
        <v>105.65947677766728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0.19417153196741543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1.8807610680952684</v>
      </c>
      <c r="C58" s="23">
        <f t="shared" ref="C58:P58" ca="1" si="4">C54*C56</f>
        <v>0</v>
      </c>
      <c r="D58" s="23">
        <f t="shared" si="4"/>
        <v>0</v>
      </c>
      <c r="E58" s="23">
        <f t="shared" si="4"/>
        <v>0</v>
      </c>
      <c r="F58" s="23">
        <f t="shared" si="4"/>
        <v>0</v>
      </c>
      <c r="G58" s="23">
        <f t="shared" si="4"/>
        <v>490.0476418973318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3153.4931303428648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10323.561498815248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18904.5</v>
      </c>
      <c r="C8" s="537">
        <f>B49</f>
        <v>22240.588235294119</v>
      </c>
      <c r="D8" s="1014"/>
      <c r="E8" s="1014">
        <f>E49</f>
        <v>0</v>
      </c>
      <c r="F8" s="1015"/>
      <c r="G8" s="538"/>
      <c r="H8" s="1014">
        <f>I49</f>
        <v>0</v>
      </c>
      <c r="I8" s="1014">
        <f>G49+F49</f>
        <v>0</v>
      </c>
      <c r="J8" s="1014">
        <f>H49+D49+C49</f>
        <v>0</v>
      </c>
      <c r="K8" s="1014"/>
      <c r="L8" s="1014"/>
      <c r="M8" s="1014"/>
      <c r="N8" s="539"/>
      <c r="O8" s="540">
        <f>C8*$C$12+D8*$D$12+E8*$E$12+F8*$F$12+G8*$G$12+H8*$H$12+I8*$I$12+J8*$J$12</f>
        <v>4492.5988235294126</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32381.554629158112</v>
      </c>
      <c r="C10" s="550">
        <f t="shared" ref="C10:L10" si="0">SUM(C8:C9)</f>
        <v>22240.588235294119</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4492.5988235294126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27006.428571428572</v>
      </c>
      <c r="C17" s="562">
        <f>B50</f>
        <v>31772.268907563026</v>
      </c>
      <c r="D17" s="563"/>
      <c r="E17" s="563">
        <f>E50</f>
        <v>0</v>
      </c>
      <c r="F17" s="1020"/>
      <c r="G17" s="564"/>
      <c r="H17" s="562">
        <f>I50</f>
        <v>0</v>
      </c>
      <c r="I17" s="563">
        <f>G50+F50</f>
        <v>0</v>
      </c>
      <c r="J17" s="563">
        <f>H50+D50+C50</f>
        <v>0</v>
      </c>
      <c r="K17" s="563"/>
      <c r="L17" s="563"/>
      <c r="M17" s="563"/>
      <c r="N17" s="1021"/>
      <c r="O17" s="565">
        <f>C17*$C$22+E17*$E$22+H17*$H$22+I17*$I$22+J17*$J$22+D17*$D$22+F17*$F$22+G17*$G$22+K17*$K$22+L17*$L$22</f>
        <v>6417.9983193277312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27006.428571428572</v>
      </c>
      <c r="C20" s="549">
        <f>SUM(C17:C19)</f>
        <v>31772.268907563026</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6417.9983193277312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31040</v>
      </c>
      <c r="C28" s="763">
        <v>8210</v>
      </c>
      <c r="D28" s="620"/>
      <c r="E28" s="619"/>
      <c r="F28" s="619"/>
      <c r="G28" s="619" t="s">
        <v>922</v>
      </c>
      <c r="H28" s="619" t="s">
        <v>923</v>
      </c>
      <c r="I28" s="619"/>
      <c r="J28" s="762"/>
      <c r="K28" s="762"/>
      <c r="L28" s="619" t="s">
        <v>924</v>
      </c>
      <c r="M28" s="619">
        <v>1156</v>
      </c>
      <c r="N28" s="619">
        <v>5202</v>
      </c>
      <c r="O28" s="619">
        <v>7431.4285714285716</v>
      </c>
      <c r="P28" s="619">
        <v>14862.857142857143</v>
      </c>
      <c r="Q28" s="619">
        <v>0</v>
      </c>
      <c r="R28" s="619">
        <v>0</v>
      </c>
      <c r="S28" s="619">
        <v>0</v>
      </c>
      <c r="T28" s="619">
        <v>0</v>
      </c>
      <c r="U28" s="619">
        <v>0</v>
      </c>
      <c r="V28" s="619">
        <v>0</v>
      </c>
      <c r="W28" s="619">
        <v>0</v>
      </c>
      <c r="X28" s="619">
        <v>10</v>
      </c>
      <c r="Y28" s="619" t="s">
        <v>105</v>
      </c>
      <c r="Z28" s="621" t="s">
        <v>105</v>
      </c>
    </row>
    <row r="29" spans="1:26" s="573" customFormat="1" ht="25.5" hidden="1">
      <c r="A29" s="572"/>
      <c r="B29" s="763">
        <v>31040</v>
      </c>
      <c r="C29" s="763">
        <v>8210</v>
      </c>
      <c r="D29" s="620"/>
      <c r="E29" s="619"/>
      <c r="F29" s="619"/>
      <c r="G29" s="619" t="s">
        <v>922</v>
      </c>
      <c r="H29" s="619" t="s">
        <v>923</v>
      </c>
      <c r="I29" s="619"/>
      <c r="J29" s="762"/>
      <c r="K29" s="762"/>
      <c r="L29" s="619" t="s">
        <v>924</v>
      </c>
      <c r="M29" s="619">
        <v>3045</v>
      </c>
      <c r="N29" s="619">
        <v>13702.5</v>
      </c>
      <c r="O29" s="619">
        <v>19575</v>
      </c>
      <c r="P29" s="619">
        <v>39150</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4201</v>
      </c>
      <c r="N30" s="577">
        <f>SUM(N28:N29)</f>
        <v>18904.5</v>
      </c>
      <c r="O30" s="577">
        <f>SUM(O28:O29)</f>
        <v>27006.428571428572</v>
      </c>
      <c r="P30" s="577">
        <f>SUM(P28:P29)</f>
        <v>54012.857142857145</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4201</v>
      </c>
      <c r="N33" s="582">
        <f>SUMIF($Z$28:$Z$29,"landbouw",N28:N29)</f>
        <v>18904.5</v>
      </c>
      <c r="O33" s="582">
        <f>SUMIF($Z$28:$Z$29,"landbouw",O28:O29)</f>
        <v>27006.428571428572</v>
      </c>
      <c r="P33" s="582">
        <f>SUMIF($Z$28:$Z$29,"landbouw",P28:P29)</f>
        <v>54012.857142857145</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22240.588235294119</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31772.268907563026</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2021-11-11T13:11:32Z</dcterms:modified>
</cp:coreProperties>
</file>