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C782D760-5F70-422A-9B9A-1186BE47CBA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1" i="18" l="1"/>
  <c r="H17" i="18" s="1"/>
  <c r="Q14" i="48"/>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<sst xmlns="http://schemas.openxmlformats.org/spreadsheetml/2006/main" count="2516" uniqueCount="925">
  <si>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</si>
  <si>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</si>
  <si>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</si>
  <si>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</si>
  <si>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</si>
  <si>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</si>
  <si>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</si>
  <si>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</si>
  <si>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</si>
  <si>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</si>
  <si>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</si>
  <si>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</si>
  <si>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</si>
  <si>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</si>
  <si>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</si>
  <si>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</si>
  <si>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</si>
  <si>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</si>
  <si>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</si>
  <si>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</si>
  <si>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</si>
  <si>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</si>
  <si>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</si>
  <si>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</si>
  <si>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</si>
  <si>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</si>
  <si>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</si>
  <si>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</si>
  <si>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</si>
  <si>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</si>
  <si>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</si>
  <si>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</si>
  <si>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</si>
  <si>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</si>
  <si>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</si>
  <si>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</si>
  <si>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</si>
  <si>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</si>
  <si>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</si>
  <si>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</si>
  <si>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</si>
  <si>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</si>
  <si>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</si>
  <si>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</si>
  <si>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</si>
  <si>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</si>
  <si>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</si>
  <si>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</si>
  <si>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</si>
  <si>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</si>
  <si>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</si>
  <si>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</si>
  <si>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</si>
  <si>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</si>
  <si>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</si>
  <si>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</si>
  <si>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</si>
  <si>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</si>
  <si>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</si>
  <si>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</si>
  <si>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</si>
  <si>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</si>
  <si>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</si>
  <si>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</si>
  <si>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</si>
  <si>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</si>
  <si>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</si>
  <si>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</si>
  <si>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</si>
  <si>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</si>
  <si>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</si>
  <si>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</si>
  <si>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</si>
  <si>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</si>
  <si>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</si>
  <si>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</si>
  <si>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</si>
  <si>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</si>
  <si>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</si>
  <si>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</si>
  <si>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</si>
  <si>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</si>
  <si>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</si>
  <si>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</si>
  <si>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</si>
  <si>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</si>
  <si>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</si>
  <si>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</si>
  <si>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</si>
  <si>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</si>
  <si>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</si>
  <si>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</si>
  <si>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</si>
  <si>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</si>
  <si>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</si>
  <si>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</si>
  <si>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</si>
  <si>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</si>
  <si>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</si>
  <si>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</si>
  <si>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</si>
  <si>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</si>
  <si>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</si>
  <si>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</si>
  <si>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</si>
  <si>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</si>
  <si>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</si>
  <si>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</si>
  <si>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</si>
  <si>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</si>
  <si>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</si>
  <si>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</si>
  <si>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</si>
  <si>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</si>
  <si>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</si>
  <si>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</si>
  <si>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</si>
  <si>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</si>
  <si>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</si>
  <si>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</si>
  <si>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</si>
  <si>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</si>
  <si>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</si>
  <si>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</si>
  <si>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</si>
  <si>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</si>
  <si>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</si>
  <si>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</si>
  <si>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</si>
  <si>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</si>
  <si>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</si>
  <si>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</si>
  <si>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</si>
  <si>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</si>
  <si>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</si>
  <si>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</si>
  <si>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</si>
  <si>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</si>
  <si>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</si>
  <si>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</si>
  <si>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</si>
  <si>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</si>
  <si>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</si>
  <si>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</si>
  <si>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</si>
  <si>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</si>
  <si>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</si>
  <si>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</si>
  <si>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</si>
  <si>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</si>
  <si>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</si>
  <si>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</si>
  <si>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</si>
  <si>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</si>
  <si>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</si>
  <si>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</si>
  <si>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</si>
  <si>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</si>
  <si>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</si>
  <si>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</si>
  <si>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</si>
  <si>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</si>
  <si>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</si>
  <si>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</si>
  <si>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</si>
  <si>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</si>
  <si>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</si>
  <si>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</si>
  <si>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</si>
  <si>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</si>
  <si>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</si>
  <si>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</si>
  <si>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</si>
  <si>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</si>
  <si>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</si>
  <si>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</si>
  <si>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</si>
  <si>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</si>
  <si>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</si>
  <si>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</si>
  <si>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</si>
  <si>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</si>
  <si>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</si>
  <si>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</si>
  <si>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</si>
  <si>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</si>
  <si>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</si>
  <si>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</si>
  <si>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</si>
  <si>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</si>
  <si>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</si>
  <si>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</si>
  <si>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</si>
  <si>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</si>
  <si>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</si>
  <si>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</si>
  <si>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</si>
  <si>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</si>
  <si>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</si>
  <si>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</si>
  <si>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</si>
  <si>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</si>
  <si>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</si>
  <si>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</si>
  <si>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</si>
  <si>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</si>
  <si>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</si>
  <si>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</si>
  <si>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</si>
  <si>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</si>
  <si>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</si>
  <si>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</si>
  <si>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</si>
  <si>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</si>
  <si>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</si>
  <si>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</si>
  <si>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</si>
  <si>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</si>
  <si>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</si>
  <si>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</si>
  <si>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</si>
  <si>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</si>
  <si>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</si>
  <si>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</si>
  <si>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</si>
  <si>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</si>
  <si>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</si>
  <si>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</si>
  <si>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</si>
  <si>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</si>
  <si>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</si>
  <si>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</si>
  <si>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</si>
  <si>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</si>
  <si>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</si>
  <si>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</si>
  <si>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</si>
  <si>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</si>
  <si>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</si>
  <si>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</si>
  <si>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</si>
  <si>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</si>
  <si>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</si>
  <si>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</si>
  <si>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</si>
  <si>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</si>
  <si>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</si>
  <si>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</si>
  <si>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</si>
  <si>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</si>
  <si>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</si>
  <si>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</si>
  <si>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</si>
  <si>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</si>
  <si>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</si>
  <si>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</si>
  <si>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</si>
  <si>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</si>
  <si>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</si>
  <si>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</si>
  <si>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</si>
  <si>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</si>
  <si>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</si>
  <si>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</si>
  <si>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</si>
  <si>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</si>
  <si>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</si>
  <si>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</si>
  <si>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</si>
  <si>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</si>
  <si>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</si>
  <si>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</si>
  <si>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</si>
  <si>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</si>
  <si>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</si>
  <si>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</si>
  <si>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</si>
  <si>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</si>
  <si>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</si>
  <si>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</si>
  <si>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</si>
  <si>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</si>
  <si>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</si>
  <si>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</si>
  <si>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</si>
  <si>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</si>
  <si>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</si>
  <si>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</si>
  <si>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</si>
  <si>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</si>
  <si>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</si>
  <si>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</si>
  <si>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</si>
  <si>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</si>
  <si>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</si>
  <si>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</si>
  <si>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</si>
  <si>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</si>
  <si>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</si>
  <si>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</si>
  <si>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</si>
  <si>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</si>
  <si>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</si>
  <si>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</si>
  <si>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</si>
  <si>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</si>
  <si>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</si>
  <si>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</si>
  <si>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</si>
  <si>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</si>
  <si>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</si>
  <si>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</si>
  <si>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</si>
  <si>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</si>
  <si>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</si>
  <si>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</si>
  <si>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</si>
  <si>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</si>
  <si>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</si>
  <si>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</si>
  <si>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</si>
  <si>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</si>
  <si>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</si>
  <si>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</si>
  <si>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</si>
  <si>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</si>
  <si>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</si>
  <si>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</si>
  <si>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</si>
  <si>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</si>
  <si>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</si>
  <si>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</si>
  <si>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</si>
  <si>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</si>
  <si>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</si>
  <si>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</si>
  <si>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</si>
  <si>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</si>
  <si>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</si>
  <si>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</si>
  <si>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</si>
  <si>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</si>
  <si>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</si>
  <si>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</si>
  <si>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</si>
  <si>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</si>
  <si>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</si>
  <si>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</si>
  <si>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</si>
  <si>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</si>
  <si>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</si>
  <si>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</si>
  <si>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</si>
  <si>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</si>
  <si>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</si>
  <si>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</si>
  <si>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</si>
  <si>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</si>
  <si>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</si>
  <si>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</si>
  <si>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</si>
  <si>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</si>
  <si>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</si>
  <si>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</si>
  <si>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</si>
  <si>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</si>
  <si>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</si>
  <si>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</si>
  <si>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</si>
  <si>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</si>
  <si>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</si>
  <si>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</si>
  <si>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</si>
  <si>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</si>
  <si>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</si>
  <si>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</si>
  <si>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</si>
  <si>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</si>
  <si>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</si>
  <si>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</si>
  <si>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</si>
  <si>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</si>
  <si>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</si>
  <si>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</si>
  <si>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</si>
  <si>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</si>
  <si>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</si>
  <si>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</si>
  <si>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</si>
  <si>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</si>
  <si>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</si>
  <si>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</si>
  <si>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</si>
  <si>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</si>
  <si>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</si>
  <si>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</si>
  <si>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</si>
  <si>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</si>
  <si>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</si>
  <si>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</si>
  <si>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</si>
  <si>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</si>
  <si>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</si>
  <si>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</si>
  <si>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</si>
  <si>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</si>
  <si>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</si>
  <si>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</si>
  <si>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</si>
  <si>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</si>
  <si>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</si>
  <si>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</si>
  <si>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</si>
  <si>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</si>
  <si>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</si>
  <si>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</si>
  <si>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</si>
  <si>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</si>
  <si>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</si>
  <si>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</si>
  <si>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</si>
  <si>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</si>
  <si>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</si>
  <si>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</si>
  <si>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</si>
  <si>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</si>
  <si>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</si>
  <si>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</si>
  <si>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</si>
  <si>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</si>
  <si>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</si>
  <si>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</si>
  <si>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</si>
  <si>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</si>
  <si>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</si>
  <si>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</si>
  <si>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</si>
  <si>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</si>
  <si>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</si>
  <si>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</si>
  <si>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</si>
  <si>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</si>
  <si>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</si>
  <si>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</si>
  <si>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</si>
  <si>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</si>
  <si>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</si>
  <si>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</si>
  <si>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</si>
  <si>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</si>
  <si>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</si>
  <si>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</si>
  <si>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</si>
  <si>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</si>
  <si>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</si>
  <si>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</si>
  <si>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</si>
  <si>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</si>
  <si>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</si>
  <si>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</si>
  <si>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</si>
  <si>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</si>
  <si>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</si>
  <si>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</si>
  <si>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</si>
  <si>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</si>
  <si>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</si>
  <si>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</si>
  <si>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</si>
  <si>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</si>
  <si>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</si>
  <si>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</si>
  <si>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</si>
  <si>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</si>
  <si>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</si>
  <si>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</si>
  <si>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</si>
  <si>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</si>
  <si>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</si>
  <si>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</si>
  <si>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</si>
  <si>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</si>
  <si>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</si>
  <si>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</si>
  <si>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</si>
  <si>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</si>
  <si>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</si>
  <si>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</si>
  <si>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</si>
  <si>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</si>
  <si>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</si>
  <si>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</si>
  <si>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</si>
  <si>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</si>
  <si>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</si>
  <si>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</si>
  <si>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</si>
  <si>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</si>
  <si>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</si>
  <si>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</si>
  <si>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</si>
  <si>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</si>
  <si>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</si>
  <si>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</si>
  <si>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</si>
  <si>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</si>
  <si>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</si>
  <si>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</si>
  <si>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</si>
  <si>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</si>
  <si>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</si>
  <si>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</si>
  <si>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</si>
  <si>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</si>
  <si>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</si>
  <si>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</si>
  <si>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</si>
  <si>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</si>
  <si>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</si>
  <si>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</si>
  <si>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</si>
  <si>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</si>
  <si>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</si>
  <si>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</si>
  <si>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</si>
  <si>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</si>
  <si>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</si>
  <si>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</si>
  <si>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</si>
  <si>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</si>
  <si>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</si>
  <si>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</si>
  <si>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</si>
  <si>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</si>
  <si>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</si>
  <si>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</si>
  <si>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</si>
  <si>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</si>
  <si>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</si>
  <si>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</si>
  <si>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</si>
  <si>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</si>
  <si>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</si>
  <si>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</si>
  <si>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</si>
  <si>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</si>
  <si>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</si>
  <si>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</si>
  <si>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</si>
  <si>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</si>
  <si>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</si>
  <si>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</si>
  <si>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</si>
  <si>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</si>
  <si>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</si>
  <si>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</si>
  <si>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</si>
  <si>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</si>
  <si>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</si>
  <si>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</si>
  <si>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</si>
  <si>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</si>
  <si>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</si>
  <si>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</si>
  <si>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</si>
  <si>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</si>
  <si>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</si>
  <si>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</si>
  <si>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</si>
  <si>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</si>
  <si>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</si>
  <si>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</si>
  <si>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</si>
  <si>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</si>
  <si>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</si>
  <si>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</si>
  <si>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</si>
  <si>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</si>
  <si>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</si>
  <si>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</si>
  <si>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</si>
  <si>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</si>
  <si>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</si>
  <si>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</si>
  <si>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</si>
  <si>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</si>
  <si>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</si>
  <si>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</si>
  <si>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</si>
  <si>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</si>
  <si>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</si>
  <si>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</si>
  <si>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</si>
  <si>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</si>
  <si>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</si>
  <si>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</si>
  <si>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</si>
  <si>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</si>
  <si>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</si>
  <si>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</si>
  <si>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</si>
  <si>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</si>
  <si>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</si>
  <si>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</si>
  <si>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</si>
  <si>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</si>
  <si>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</si>
  <si>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</si>
  <si>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</si>
  <si>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</si>
  <si>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</si>
  <si>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</si>
  <si>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</si>
  <si>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</si>
  <si>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</si>
  <si>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</si>
  <si>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</si>
  <si>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</si>
  <si>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</si>
  <si>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</si>
  <si>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</si>
  <si>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</si>
  <si>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</si>
  <si>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</si>
  <si>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</si>
  <si>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</si>
  <si>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</si>
  <si>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</si>
  <si>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</si>
  <si>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</si>
  <si>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</si>
  <si>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</si>
  <si>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</si>
  <si>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</si>
  <si>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</si>
  <si>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</si>
  <si>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</si>
  <si>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</si>
  <si>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</si>
  <si>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</si>
  <si>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</si>
  <si>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</si>
  <si>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</si>
  <si>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</si>
  <si>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</si>
  <si>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</si>
  <si>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</si>
  <si>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</si>
  <si>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</si>
  <si>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</si>
  <si>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</si>
  <si>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</si>
  <si>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</si>
  <si>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</si>
  <si>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</si>
  <si>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</si>
  <si>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</si>
  <si>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</si>
  <si>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</si>
  <si>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</si>
  <si>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</si>
  <si>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</si>
  <si>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</si>
  <si>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</si>
  <si>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</si>
  <si>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</si>
  <si>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</si>
  <si>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</si>
  <si>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</si>
  <si>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</si>
  <si>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</si>
  <si>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</si>
  <si>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</si>
  <si>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</si>
  <si>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</si>
  <si>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</si>
  <si>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</si>
  <si>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</si>
  <si>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</si>
  <si>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</si>
  <si>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</si>
  <si>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</si>
  <si>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</si>
  <si>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</si>
  <si>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</si>
  <si>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</si>
  <si>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</si>
  <si>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</si>
  <si>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</si>
  <si>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</si>
  <si>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</si>
  <si>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</si>
  <si>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</si>
  <si>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</si>
  <si>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</si>
  <si>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</si>
  <si>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</si>
  <si>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</si>
  <si>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</si>
  <si>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</si>
  <si>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</si>
  <si>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</si>
  <si>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</si>
  <si>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</si>
  <si>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</si>
  <si>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</si>
  <si>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</si>
  <si>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</si>
  <si>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</si>
  <si>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</si>
  <si>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</si>
  <si>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</si>
  <si>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</si>
  <si>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</si>
  <si>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</si>
  <si>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</si>
  <si>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</si>
  <si>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</si>
  <si>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</si>
  <si>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</si>
  <si>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</si>
  <si>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</si>
  <si>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</si>
  <si>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</si>
  <si>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</si>
  <si>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</si>
  <si>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</si>
  <si>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</si>
  <si>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</si>
  <si>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</si>
  <si>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</si>
  <si>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</si>
  <si>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</si>
  <si>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</si>
  <si>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</si>
  <si>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</si>
  <si>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</si>
  <si>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</si>
  <si>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</si>
  <si>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</si>
  <si>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</si>
  <si>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</si>
  <si>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</si>
  <si>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</si>
  <si>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</si>
  <si>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</si>
  <si>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</si>
  <si>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</si>
  <si>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</si>
  <si>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</si>
  <si>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</si>
  <si>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</si>
  <si>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</si>
  <si>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</si>
  <si>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</si>
  <si>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</si>
  <si>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</si>
  <si>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</si>
  <si>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</si>
  <si>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</si>
  <si>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</si>
  <si>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</si>
  <si>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</si>
  <si>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</si>
  <si>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</si>
  <si>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</si>
  <si>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</si>
  <si>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</si>
  <si>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</si>
  <si>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</si>
  <si>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</si>
  <si>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</si>
  <si>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</si>
  <si>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</si>
  <si>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</si>
  <si>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</si>
  <si>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</si>
  <si>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</si>
  <si>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</si>
  <si>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</si>
  <si>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</si>
  <si>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</si>
  <si>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</si>
  <si>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</si>
  <si>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</si>
  <si>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</si>
  <si>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</si>
  <si>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</si>
  <si>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</si>
  <si>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</si>
  <si>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</si>
  <si>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</si>
  <si>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</si>
  <si>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</si>
  <si>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</si>
  <si>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</si>
  <si>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</si>
  <si>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</si>
  <si>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</si>
  <si>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</si>
  <si>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</si>
  <si>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</si>
  <si>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</si>
  <si>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</si>
  <si>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</si>
  <si>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</si>
  <si>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</si>
  <si>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</si>
  <si>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</si>
  <si>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</si>
  <si>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</si>
  <si>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</si>
  <si>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</si>
  <si>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</si>
  <si>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</si>
  <si>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</si>
  <si>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</si>
  <si>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</si>
  <si>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</si>
  <si>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</si>
  <si>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</si>
  <si>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</si>
  <si>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</si>
  <si>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</si>
  <si>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</si>
  <si>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</si>
  <si>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</si>
  <si>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</si>
  <si>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</si>
  <si>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</si>
  <si>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</si>
  <si>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</si>
  <si>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</si>
  <si>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</si>
  <si>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</si>
  <si>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</si>
  <si>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</si>
  <si>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</si>
  <si>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</si>
  <si>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</si>
  <si>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</si>
  <si>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</si>
  <si>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</si>
  <si>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</si>
  <si>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</si>
  <si>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</si>
  <si>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</si>
  <si>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</si>
  <si>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</si>
  <si>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</si>
  <si>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</si>
  <si>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</si>
  <si>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</si>
  <si>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</si>
  <si>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</si>
  <si>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</si>
  <si>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</si>
  <si>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</si>
  <si>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</si>
  <si>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</si>
  <si>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</si>
  <si>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</si>
  <si>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</si>
  <si>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</si>
  <si>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</si>
  <si>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</si>
  <si>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</si>
  <si>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</si>
  <si>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</si>
  <si>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</si>
  <si>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</si>
  <si>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</si>
  <si>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</si>
  <si>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</si>
  <si>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</si>
  <si>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</si>
  <si>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</si>
  <si>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</si>
  <si>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</si>
  <si>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</si>
  <si>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</si>
  <si>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</si>
  <si>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</si>
  <si>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</si>
  <si>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</si>
  <si>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</si>
  <si>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</si>
  <si>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</si>
  <si>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</si>
  <si>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</si>
  <si>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</si>
  <si>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</si>
  <si>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</si>
  <si>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</si>
  <si>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</si>
  <si>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</si>
  <si>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</si>
  <si>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</si>
  <si>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</si>
  <si>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</si>
  <si>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</si>
  <si>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</si>
  <si>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</si>
  <si>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</si>
  <si>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</si>
  <si>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</si>
  <si>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</si>
  <si>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</si>
  <si>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</si>
  <si>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</si>
  <si>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</si>
  <si>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</si>
  <si>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</si>
  <si>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</si>
  <si>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</si>
  <si>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</si>
  <si>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31003</t>
  </si>
  <si>
    <t>BEERNEM</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</si>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</sst>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774C873A-365D-481E-8ABB-20C4EBE1BD85}"/>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130582.36386342278</c:v>
                </c:pt>
                <c:pt idx="1">
                  <c:v>67132.888124337493</c:v>
                </c:pt>
                <c:pt idx="2">
                  <c:v>1100.413</c:v>
                </c:pt>
                <c:pt idx="3">
                  <c:v>32561.695889274892</c:v>
                </c:pt>
                <c:pt idx="4">
                  <c:v>45573.368514213369</c:v>
                </c:pt>
                <c:pt idx="5">
                  <c:v>255787.59993033856</c:v>
                </c:pt>
                <c:pt idx="6">
                  <c:v>1046.1747204345886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130582.36386342278</c:v>
                </c:pt>
                <c:pt idx="1">
                  <c:v>67132.888124337493</c:v>
                </c:pt>
                <c:pt idx="2">
                  <c:v>1100.413</c:v>
                </c:pt>
                <c:pt idx="3">
                  <c:v>32561.695889274892</c:v>
                </c:pt>
                <c:pt idx="4">
                  <c:v>45573.368514213369</c:v>
                </c:pt>
                <c:pt idx="5">
                  <c:v>255787.59993033856</c:v>
                </c:pt>
                <c:pt idx="6">
                  <c:v>1046.1747204345886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26705.301765048138</c:v>
                </c:pt>
                <c:pt idx="2">
                  <c:v>12329.350372526218</c:v>
                </c:pt>
                <c:pt idx="3">
                  <c:v>184.26742853875743</c:v>
                </c:pt>
                <c:pt idx="4">
                  <c:v>4048.4821770049421</c:v>
                </c:pt>
                <c:pt idx="5">
                  <c:v>8956.5790985563945</c:v>
                </c:pt>
                <c:pt idx="6">
                  <c:v>64197.403446446733</c:v>
                </c:pt>
                <c:pt idx="7">
                  <c:v>263.68196300471794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26705.301765048138</c:v>
                </c:pt>
                <c:pt idx="2">
                  <c:v>12329.350372526218</c:v>
                </c:pt>
                <c:pt idx="3">
                  <c:v>184.26742853875743</c:v>
                </c:pt>
                <c:pt idx="4">
                  <c:v>4048.4821770049421</c:v>
                </c:pt>
                <c:pt idx="5">
                  <c:v>8956.5790985563945</c:v>
                </c:pt>
                <c:pt idx="6">
                  <c:v>64197.403446446733</c:v>
                </c:pt>
                <c:pt idx="7">
                  <c:v>263.68196300471794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31003</v>
      </c>
      <c r="B6" s="383"/>
      <c r="C6" s="384"/>
    </row>
    <row r="7" spans="1:7" s="381" customFormat="1" ht="15.75" customHeight="1">
      <c r="A7" s="385" t="str">
        <f>txtMunicipality</f>
        <v>BEERNEM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20226.921800000004</v>
      </c>
      <c r="D10" s="983">
        <f ca="1">tertiair!C16</f>
        <v>0</v>
      </c>
      <c r="E10" s="983">
        <f ca="1">tertiair!D16</f>
        <v>40823.731142826</v>
      </c>
      <c r="F10" s="983">
        <f>tertiair!E16</f>
        <v>189.91395451927735</v>
      </c>
      <c r="G10" s="983">
        <f ca="1">tertiair!F16</f>
        <v>3135.0391368241244</v>
      </c>
      <c r="H10" s="983">
        <f>tertiair!G16</f>
        <v>0</v>
      </c>
      <c r="I10" s="983">
        <f>tertiair!H16</f>
        <v>0</v>
      </c>
      <c r="J10" s="983">
        <f>tertiair!I16</f>
        <v>0</v>
      </c>
      <c r="K10" s="983">
        <f>tertiair!J16</f>
        <v>0</v>
      </c>
      <c r="L10" s="983">
        <f>tertiair!K16</f>
        <v>0</v>
      </c>
      <c r="M10" s="983">
        <f ca="1">tertiair!L16</f>
        <v>0</v>
      </c>
      <c r="N10" s="983">
        <f>tertiair!M16</f>
        <v>0</v>
      </c>
      <c r="O10" s="983">
        <f ca="1">tertiair!N16</f>
        <v>3814.8717568347565</v>
      </c>
      <c r="P10" s="983">
        <f>tertiair!O16</f>
        <v>4.6900000000000004</v>
      </c>
      <c r="Q10" s="984">
        <f>tertiair!P16</f>
        <v>38.133333333333333</v>
      </c>
      <c r="R10" s="667">
        <f ca="1">SUM(C10:Q10)</f>
        <v>68233.301124337493</v>
      </c>
      <c r="S10" s="67"/>
    </row>
    <row r="11" spans="1:19" s="440" customFormat="1">
      <c r="A11" s="776" t="s">
        <v>214</v>
      </c>
      <c r="B11" s="781"/>
      <c r="C11" s="983">
        <f>huishoudens!B8</f>
        <v>31281.22893077449</v>
      </c>
      <c r="D11" s="983">
        <f>huishoudens!C8</f>
        <v>0</v>
      </c>
      <c r="E11" s="983">
        <f>huishoudens!D8</f>
        <v>43194.91827375412</v>
      </c>
      <c r="F11" s="983">
        <f>huishoudens!E8</f>
        <v>1429.9839795985258</v>
      </c>
      <c r="G11" s="983">
        <f>huishoudens!F8</f>
        <v>45111.533284755875</v>
      </c>
      <c r="H11" s="983">
        <f>huishoudens!G8</f>
        <v>0</v>
      </c>
      <c r="I11" s="983">
        <f>huishoudens!H8</f>
        <v>0</v>
      </c>
      <c r="J11" s="983">
        <f>huishoudens!I8</f>
        <v>0</v>
      </c>
      <c r="K11" s="983">
        <f>huishoudens!J8</f>
        <v>1051.9992520486139</v>
      </c>
      <c r="L11" s="983">
        <f>huishoudens!K8</f>
        <v>0</v>
      </c>
      <c r="M11" s="983">
        <f>huishoudens!L8</f>
        <v>0</v>
      </c>
      <c r="N11" s="983">
        <f>huishoudens!M8</f>
        <v>0</v>
      </c>
      <c r="O11" s="983">
        <f>huishoudens!N8</f>
        <v>7158.2034758245036</v>
      </c>
      <c r="P11" s="983">
        <f>huishoudens!O8</f>
        <v>439.29666666666668</v>
      </c>
      <c r="Q11" s="984">
        <f>huishoudens!P8</f>
        <v>915.2</v>
      </c>
      <c r="R11" s="667">
        <f>SUM(C11:Q11)</f>
        <v>130582.36386342278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16114.524970000002</v>
      </c>
      <c r="D13" s="983">
        <f>industrie!C18</f>
        <v>0</v>
      </c>
      <c r="E13" s="983">
        <f>industrie!D18</f>
        <v>17997.711634424068</v>
      </c>
      <c r="F13" s="983">
        <f>industrie!E18</f>
        <v>1803.5593087150676</v>
      </c>
      <c r="G13" s="983">
        <f>industrie!F18</f>
        <v>8217.9708196800511</v>
      </c>
      <c r="H13" s="983">
        <f>industrie!G18</f>
        <v>0</v>
      </c>
      <c r="I13" s="983">
        <f>industrie!H18</f>
        <v>0</v>
      </c>
      <c r="J13" s="983">
        <f>industrie!I18</f>
        <v>0</v>
      </c>
      <c r="K13" s="983">
        <f>industrie!J18</f>
        <v>53.700732780364049</v>
      </c>
      <c r="L13" s="983">
        <f>industrie!K18</f>
        <v>0</v>
      </c>
      <c r="M13" s="983">
        <f>industrie!L18</f>
        <v>0</v>
      </c>
      <c r="N13" s="983">
        <f>industrie!M18</f>
        <v>0</v>
      </c>
      <c r="O13" s="983">
        <f>industrie!N18</f>
        <v>1385.9010486138159</v>
      </c>
      <c r="P13" s="983">
        <f>industrie!O18</f>
        <v>0</v>
      </c>
      <c r="Q13" s="984">
        <f>industrie!P18</f>
        <v>0</v>
      </c>
      <c r="R13" s="667">
        <f>SUM(C13:Q13)</f>
        <v>45573.368514213369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67622.675700774489</v>
      </c>
      <c r="D16" s="699">
        <f t="shared" ref="D16:R16" ca="1" si="0">SUM(D9:D15)</f>
        <v>0</v>
      </c>
      <c r="E16" s="699">
        <f t="shared" ca="1" si="0"/>
        <v>102016.36105100419</v>
      </c>
      <c r="F16" s="699">
        <f t="shared" si="0"/>
        <v>3423.4572428328711</v>
      </c>
      <c r="G16" s="699">
        <f t="shared" ca="1" si="0"/>
        <v>56464.543241260049</v>
      </c>
      <c r="H16" s="699">
        <f t="shared" si="0"/>
        <v>0</v>
      </c>
      <c r="I16" s="699">
        <f t="shared" si="0"/>
        <v>0</v>
      </c>
      <c r="J16" s="699">
        <f t="shared" si="0"/>
        <v>0</v>
      </c>
      <c r="K16" s="699">
        <f t="shared" si="0"/>
        <v>1105.6999848289779</v>
      </c>
      <c r="L16" s="699">
        <f t="shared" si="0"/>
        <v>0</v>
      </c>
      <c r="M16" s="699">
        <f t="shared" ca="1" si="0"/>
        <v>0</v>
      </c>
      <c r="N16" s="699">
        <f t="shared" si="0"/>
        <v>0</v>
      </c>
      <c r="O16" s="699">
        <f t="shared" ca="1" si="0"/>
        <v>12358.976281273075</v>
      </c>
      <c r="P16" s="699">
        <f t="shared" si="0"/>
        <v>443.98666666666668</v>
      </c>
      <c r="Q16" s="699">
        <f t="shared" si="0"/>
        <v>953.33333333333337</v>
      </c>
      <c r="R16" s="699">
        <f t="shared" ca="1" si="0"/>
        <v>244389.03350197364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5.1946361252359488</v>
      </c>
      <c r="D19" s="983">
        <f>transport!C54</f>
        <v>0</v>
      </c>
      <c r="E19" s="983">
        <f>transport!D54</f>
        <v>0</v>
      </c>
      <c r="F19" s="983">
        <f>transport!E54</f>
        <v>0</v>
      </c>
      <c r="G19" s="983">
        <f>transport!F54</f>
        <v>0</v>
      </c>
      <c r="H19" s="983">
        <f>transport!G54</f>
        <v>984.31500277578425</v>
      </c>
      <c r="I19" s="983">
        <f>transport!H54</f>
        <v>0</v>
      </c>
      <c r="J19" s="983">
        <f>transport!I54</f>
        <v>0</v>
      </c>
      <c r="K19" s="983">
        <f>transport!J54</f>
        <v>0</v>
      </c>
      <c r="L19" s="983">
        <f>transport!K54</f>
        <v>0</v>
      </c>
      <c r="M19" s="983">
        <f>transport!L54</f>
        <v>0</v>
      </c>
      <c r="N19" s="983">
        <f>transport!M54</f>
        <v>56.66508153356839</v>
      </c>
      <c r="O19" s="983">
        <f>transport!N54</f>
        <v>0</v>
      </c>
      <c r="P19" s="983">
        <f>transport!O54</f>
        <v>0</v>
      </c>
      <c r="Q19" s="984">
        <f>transport!P54</f>
        <v>0</v>
      </c>
      <c r="R19" s="667">
        <f>SUM(C19:Q19)</f>
        <v>1046.1747204345886</v>
      </c>
      <c r="S19" s="67"/>
    </row>
    <row r="20" spans="1:19" s="440" customFormat="1">
      <c r="A20" s="776" t="s">
        <v>296</v>
      </c>
      <c r="B20" s="781"/>
      <c r="C20" s="983">
        <f>transport!B14</f>
        <v>36.184215124091288</v>
      </c>
      <c r="D20" s="983">
        <f>transport!C14</f>
        <v>0</v>
      </c>
      <c r="E20" s="983">
        <f>transport!D14</f>
        <v>50.969007543443723</v>
      </c>
      <c r="F20" s="983">
        <f>transport!E14</f>
        <v>565.68834646299638</v>
      </c>
      <c r="G20" s="983">
        <f>transport!F14</f>
        <v>0</v>
      </c>
      <c r="H20" s="983">
        <f>transport!G14</f>
        <v>211639.99437573689</v>
      </c>
      <c r="I20" s="983">
        <f>transport!H14</f>
        <v>30300.23614277353</v>
      </c>
      <c r="J20" s="983">
        <f>transport!I14</f>
        <v>0</v>
      </c>
      <c r="K20" s="983">
        <f>transport!J14</f>
        <v>0</v>
      </c>
      <c r="L20" s="983">
        <f>transport!K14</f>
        <v>0</v>
      </c>
      <c r="M20" s="983">
        <f>transport!L14</f>
        <v>0</v>
      </c>
      <c r="N20" s="983">
        <f>transport!M14</f>
        <v>13194.527842697607</v>
      </c>
      <c r="O20" s="983">
        <f>transport!N14</f>
        <v>0</v>
      </c>
      <c r="P20" s="983">
        <f>transport!O14</f>
        <v>0</v>
      </c>
      <c r="Q20" s="984">
        <f>transport!P14</f>
        <v>0</v>
      </c>
      <c r="R20" s="667">
        <f>SUM(C20:Q20)</f>
        <v>255787.59993033856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41.378851249327241</v>
      </c>
      <c r="D22" s="779">
        <f t="shared" ref="D22:R22" si="1">SUM(D18:D21)</f>
        <v>0</v>
      </c>
      <c r="E22" s="779">
        <f t="shared" si="1"/>
        <v>50.969007543443723</v>
      </c>
      <c r="F22" s="779">
        <f t="shared" si="1"/>
        <v>565.68834646299638</v>
      </c>
      <c r="G22" s="779">
        <f t="shared" si="1"/>
        <v>0</v>
      </c>
      <c r="H22" s="779">
        <f t="shared" si="1"/>
        <v>212624.30937851267</v>
      </c>
      <c r="I22" s="779">
        <f t="shared" si="1"/>
        <v>30300.23614277353</v>
      </c>
      <c r="J22" s="779">
        <f t="shared" si="1"/>
        <v>0</v>
      </c>
      <c r="K22" s="779">
        <f t="shared" si="1"/>
        <v>0</v>
      </c>
      <c r="L22" s="779">
        <f t="shared" si="1"/>
        <v>0</v>
      </c>
      <c r="M22" s="779">
        <f t="shared" si="1"/>
        <v>0</v>
      </c>
      <c r="N22" s="779">
        <f t="shared" si="1"/>
        <v>13251.192924231176</v>
      </c>
      <c r="O22" s="779">
        <f t="shared" si="1"/>
        <v>0</v>
      </c>
      <c r="P22" s="779">
        <f t="shared" si="1"/>
        <v>0</v>
      </c>
      <c r="Q22" s="779">
        <f t="shared" si="1"/>
        <v>0</v>
      </c>
      <c r="R22" s="779">
        <f t="shared" si="1"/>
        <v>256833.77465077315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4432.5461999999998</v>
      </c>
      <c r="D24" s="983">
        <f>+landbouw!C8</f>
        <v>15896.892857142857</v>
      </c>
      <c r="E24" s="983">
        <f>+landbouw!D8</f>
        <v>265.4278243021032</v>
      </c>
      <c r="F24" s="983">
        <f>+landbouw!E8</f>
        <v>41.056099425403545</v>
      </c>
      <c r="G24" s="983">
        <f>+landbouw!F8</f>
        <v>11246.214108584563</v>
      </c>
      <c r="H24" s="983">
        <f>+landbouw!G8</f>
        <v>0</v>
      </c>
      <c r="I24" s="983">
        <f>+landbouw!H8</f>
        <v>0</v>
      </c>
      <c r="J24" s="983">
        <f>+landbouw!I8</f>
        <v>0</v>
      </c>
      <c r="K24" s="983">
        <f>+landbouw!J8</f>
        <v>679.55879981996725</v>
      </c>
      <c r="L24" s="983">
        <f>+landbouw!K8</f>
        <v>0</v>
      </c>
      <c r="M24" s="983">
        <f>+landbouw!L8</f>
        <v>0</v>
      </c>
      <c r="N24" s="983">
        <f>+landbouw!M8</f>
        <v>0</v>
      </c>
      <c r="O24" s="983">
        <f>+landbouw!N8</f>
        <v>0</v>
      </c>
      <c r="P24" s="983">
        <f>+landbouw!O8</f>
        <v>0</v>
      </c>
      <c r="Q24" s="984">
        <f>+landbouw!P8</f>
        <v>0</v>
      </c>
      <c r="R24" s="667">
        <f>SUM(C24:Q24)</f>
        <v>32561.695889274892</v>
      </c>
      <c r="S24" s="67"/>
    </row>
    <row r="25" spans="1:19" s="440" customFormat="1" ht="15" thickBot="1">
      <c r="A25" s="798" t="s">
        <v>829</v>
      </c>
      <c r="B25" s="986"/>
      <c r="C25" s="987">
        <f>IF(Onbekend_ele_kWh="---",0,Onbekend_ele_kWh)/1000+IF(REST_rest_ele_kWh="---",0,REST_rest_ele_kWh)/1000</f>
        <v>955.00310000000002</v>
      </c>
      <c r="D25" s="987"/>
      <c r="E25" s="987">
        <f>IF(onbekend_gas_kWh="---",0,onbekend_gas_kWh)/1000+IF(REST_rest_gas_kWh="---",0,REST_rest_gas_kWh)/1000</f>
        <v>1666.5073379679102</v>
      </c>
      <c r="F25" s="987"/>
      <c r="G25" s="987"/>
      <c r="H25" s="987"/>
      <c r="I25" s="987"/>
      <c r="J25" s="987"/>
      <c r="K25" s="987"/>
      <c r="L25" s="987"/>
      <c r="M25" s="987"/>
      <c r="N25" s="987"/>
      <c r="O25" s="987"/>
      <c r="P25" s="987"/>
      <c r="Q25" s="988"/>
      <c r="R25" s="667">
        <f>SUM(C25:Q25)</f>
        <v>2621.5104379679101</v>
      </c>
      <c r="S25" s="67"/>
    </row>
    <row r="26" spans="1:19" s="440" customFormat="1" ht="15.75" thickBot="1">
      <c r="A26" s="672" t="s">
        <v>830</v>
      </c>
      <c r="B26" s="784"/>
      <c r="C26" s="779">
        <f>SUM(C24:C25)</f>
        <v>5387.5492999999997</v>
      </c>
      <c r="D26" s="779">
        <f t="shared" ref="D26:R26" si="2">SUM(D24:D25)</f>
        <v>15896.892857142857</v>
      </c>
      <c r="E26" s="779">
        <f t="shared" si="2"/>
        <v>1931.9351622700133</v>
      </c>
      <c r="F26" s="779">
        <f t="shared" si="2"/>
        <v>41.056099425403545</v>
      </c>
      <c r="G26" s="779">
        <f t="shared" si="2"/>
        <v>11246.214108584563</v>
      </c>
      <c r="H26" s="779">
        <f t="shared" si="2"/>
        <v>0</v>
      </c>
      <c r="I26" s="779">
        <f t="shared" si="2"/>
        <v>0</v>
      </c>
      <c r="J26" s="779">
        <f t="shared" si="2"/>
        <v>0</v>
      </c>
      <c r="K26" s="779">
        <f t="shared" si="2"/>
        <v>679.55879981996725</v>
      </c>
      <c r="L26" s="779">
        <f t="shared" si="2"/>
        <v>0</v>
      </c>
      <c r="M26" s="779">
        <f t="shared" si="2"/>
        <v>0</v>
      </c>
      <c r="N26" s="779">
        <f t="shared" si="2"/>
        <v>0</v>
      </c>
      <c r="O26" s="779">
        <f t="shared" si="2"/>
        <v>0</v>
      </c>
      <c r="P26" s="779">
        <f t="shared" si="2"/>
        <v>0</v>
      </c>
      <c r="Q26" s="779">
        <f t="shared" si="2"/>
        <v>0</v>
      </c>
      <c r="R26" s="779">
        <f t="shared" si="2"/>
        <v>35183.206327242799</v>
      </c>
      <c r="S26" s="67"/>
    </row>
    <row r="27" spans="1:19" s="440" customFormat="1" ht="17.25" thickTop="1" thickBot="1">
      <c r="A27" s="673" t="s">
        <v>109</v>
      </c>
      <c r="B27" s="772"/>
      <c r="C27" s="674">
        <f ca="1">C22+C16+C26</f>
        <v>73051.603852023822</v>
      </c>
      <c r="D27" s="674">
        <f t="shared" ref="D27:R27" ca="1" si="3">D22+D16+D26</f>
        <v>15896.892857142857</v>
      </c>
      <c r="E27" s="674">
        <f t="shared" ca="1" si="3"/>
        <v>103999.26522081766</v>
      </c>
      <c r="F27" s="674">
        <f t="shared" si="3"/>
        <v>4030.2016887212712</v>
      </c>
      <c r="G27" s="674">
        <f t="shared" ca="1" si="3"/>
        <v>67710.757349844615</v>
      </c>
      <c r="H27" s="674">
        <f t="shared" si="3"/>
        <v>212624.30937851267</v>
      </c>
      <c r="I27" s="674">
        <f t="shared" si="3"/>
        <v>30300.23614277353</v>
      </c>
      <c r="J27" s="674">
        <f t="shared" si="3"/>
        <v>0</v>
      </c>
      <c r="K27" s="674">
        <f t="shared" si="3"/>
        <v>1785.258784648945</v>
      </c>
      <c r="L27" s="674">
        <f t="shared" si="3"/>
        <v>0</v>
      </c>
      <c r="M27" s="674">
        <f t="shared" ca="1" si="3"/>
        <v>0</v>
      </c>
      <c r="N27" s="674">
        <f t="shared" si="3"/>
        <v>13251.192924231176</v>
      </c>
      <c r="O27" s="674">
        <f t="shared" ca="1" si="3"/>
        <v>12358.976281273075</v>
      </c>
      <c r="P27" s="674">
        <f t="shared" si="3"/>
        <v>443.98666666666668</v>
      </c>
      <c r="Q27" s="674">
        <f t="shared" si="3"/>
        <v>953.33333333333337</v>
      </c>
      <c r="R27" s="674">
        <f t="shared" ca="1" si="3"/>
        <v>536406.01447998954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3387.0581930062035</v>
      </c>
      <c r="D40" s="983">
        <f ca="1">tertiair!C20</f>
        <v>0</v>
      </c>
      <c r="E40" s="983">
        <f ca="1">tertiair!D20</f>
        <v>8246.3936908508531</v>
      </c>
      <c r="F40" s="983">
        <f>tertiair!E20</f>
        <v>43.11046767587596</v>
      </c>
      <c r="G40" s="983">
        <f ca="1">tertiair!F20</f>
        <v>837.05544953204128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12513.617801064975</v>
      </c>
    </row>
    <row r="41" spans="1:18">
      <c r="A41" s="789" t="s">
        <v>214</v>
      </c>
      <c r="B41" s="796"/>
      <c r="C41" s="983">
        <f ca="1">huishoudens!B12</f>
        <v>5238.1347881259126</v>
      </c>
      <c r="D41" s="983">
        <f ca="1">huishoudens!C12</f>
        <v>0</v>
      </c>
      <c r="E41" s="983">
        <f>huishoudens!D12</f>
        <v>8725.3734912983327</v>
      </c>
      <c r="F41" s="983">
        <f>huishoudens!E12</f>
        <v>324.60636336886535</v>
      </c>
      <c r="G41" s="983">
        <f>huishoudens!F12</f>
        <v>12044.779387029819</v>
      </c>
      <c r="H41" s="983">
        <f>huishoudens!G12</f>
        <v>0</v>
      </c>
      <c r="I41" s="983">
        <f>huishoudens!H12</f>
        <v>0</v>
      </c>
      <c r="J41" s="983">
        <f>huishoudens!I12</f>
        <v>0</v>
      </c>
      <c r="K41" s="983">
        <f>huishoudens!J12</f>
        <v>372.40773522520931</v>
      </c>
      <c r="L41" s="983">
        <f>huishoudens!K12</f>
        <v>0</v>
      </c>
      <c r="M41" s="983">
        <f>huishoudens!L12</f>
        <v>0</v>
      </c>
      <c r="N41" s="983">
        <f>huishoudens!M12</f>
        <v>0</v>
      </c>
      <c r="O41" s="983">
        <f>huishoudens!N12</f>
        <v>0</v>
      </c>
      <c r="P41" s="983">
        <f>huishoudens!O12</f>
        <v>0</v>
      </c>
      <c r="Q41" s="741">
        <f>huishoudens!P12</f>
        <v>0</v>
      </c>
      <c r="R41" s="817">
        <f t="shared" ca="1" si="4"/>
        <v>26705.301765048138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2698.4251170655903</v>
      </c>
      <c r="D43" s="983">
        <f ca="1">industrie!C22</f>
        <v>0</v>
      </c>
      <c r="E43" s="983">
        <f>industrie!D22</f>
        <v>3635.5377501536618</v>
      </c>
      <c r="F43" s="983">
        <f>industrie!E22</f>
        <v>409.40796307832034</v>
      </c>
      <c r="G43" s="983">
        <f>industrie!F22</f>
        <v>2194.1982088545737</v>
      </c>
      <c r="H43" s="983">
        <f>industrie!G22</f>
        <v>0</v>
      </c>
      <c r="I43" s="983">
        <f>industrie!H22</f>
        <v>0</v>
      </c>
      <c r="J43" s="983">
        <f>industrie!I22</f>
        <v>0</v>
      </c>
      <c r="K43" s="983">
        <f>industrie!J22</f>
        <v>19.010059404248871</v>
      </c>
      <c r="L43" s="983">
        <f>industrie!K22</f>
        <v>0</v>
      </c>
      <c r="M43" s="983">
        <f>industrie!L22</f>
        <v>0</v>
      </c>
      <c r="N43" s="983">
        <f>industrie!M22</f>
        <v>0</v>
      </c>
      <c r="O43" s="983">
        <f>industrie!N22</f>
        <v>0</v>
      </c>
      <c r="P43" s="983">
        <f>industrie!O22</f>
        <v>0</v>
      </c>
      <c r="Q43" s="741">
        <f>industrie!P22</f>
        <v>0</v>
      </c>
      <c r="R43" s="816">
        <f t="shared" ca="1" si="4"/>
        <v>8956.5790985563945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11323.618098197707</v>
      </c>
      <c r="D46" s="699">
        <f t="shared" ref="D46:Q46" ca="1" si="5">SUM(D39:D45)</f>
        <v>0</v>
      </c>
      <c r="E46" s="699">
        <f t="shared" ca="1" si="5"/>
        <v>20607.304932302846</v>
      </c>
      <c r="F46" s="699">
        <f t="shared" si="5"/>
        <v>777.12479412306163</v>
      </c>
      <c r="G46" s="699">
        <f t="shared" ca="1" si="5"/>
        <v>15076.033045416434</v>
      </c>
      <c r="H46" s="699">
        <f t="shared" si="5"/>
        <v>0</v>
      </c>
      <c r="I46" s="699">
        <f t="shared" si="5"/>
        <v>0</v>
      </c>
      <c r="J46" s="699">
        <f t="shared" si="5"/>
        <v>0</v>
      </c>
      <c r="K46" s="699">
        <f t="shared" si="5"/>
        <v>391.41779462945817</v>
      </c>
      <c r="L46" s="699">
        <f t="shared" si="5"/>
        <v>0</v>
      </c>
      <c r="M46" s="699">
        <f t="shared" ca="1" si="5"/>
        <v>0</v>
      </c>
      <c r="N46" s="699">
        <f t="shared" si="5"/>
        <v>0</v>
      </c>
      <c r="O46" s="699">
        <f t="shared" ca="1" si="5"/>
        <v>0</v>
      </c>
      <c r="P46" s="699">
        <f t="shared" si="5"/>
        <v>0</v>
      </c>
      <c r="Q46" s="699">
        <f t="shared" si="5"/>
        <v>0</v>
      </c>
      <c r="R46" s="699">
        <f ca="1">SUM(R39:R45)</f>
        <v>48175.498664669503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0.86985726358354809</v>
      </c>
      <c r="D49" s="983">
        <f ca="1">transport!C58</f>
        <v>0</v>
      </c>
      <c r="E49" s="983">
        <f>transport!D58</f>
        <v>0</v>
      </c>
      <c r="F49" s="983">
        <f>transport!E58</f>
        <v>0</v>
      </c>
      <c r="G49" s="983">
        <f>transport!F58</f>
        <v>0</v>
      </c>
      <c r="H49" s="983">
        <f>transport!G58</f>
        <v>262.81210574113442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263.68196300471794</v>
      </c>
    </row>
    <row r="50" spans="1:18">
      <c r="A50" s="792" t="s">
        <v>296</v>
      </c>
      <c r="B50" s="802"/>
      <c r="C50" s="670">
        <f ca="1">transport!B18</f>
        <v>6.0591544034917044</v>
      </c>
      <c r="D50" s="670">
        <f>transport!C18</f>
        <v>0</v>
      </c>
      <c r="E50" s="670">
        <f>transport!D18</f>
        <v>10.295739523775632</v>
      </c>
      <c r="F50" s="670">
        <f>transport!E18</f>
        <v>128.41125464710018</v>
      </c>
      <c r="G50" s="670">
        <f>transport!F18</f>
        <v>0</v>
      </c>
      <c r="H50" s="670">
        <f>transport!G18</f>
        <v>56507.878498321756</v>
      </c>
      <c r="I50" s="670">
        <f>transport!H18</f>
        <v>7544.7587995506092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64197.403446446733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6.9290116670752528</v>
      </c>
      <c r="D52" s="699">
        <f t="shared" ref="D52:Q52" ca="1" si="6">SUM(D48:D51)</f>
        <v>0</v>
      </c>
      <c r="E52" s="699">
        <f t="shared" si="6"/>
        <v>10.295739523775632</v>
      </c>
      <c r="F52" s="699">
        <f t="shared" si="6"/>
        <v>128.41125464710018</v>
      </c>
      <c r="G52" s="699">
        <f t="shared" si="6"/>
        <v>0</v>
      </c>
      <c r="H52" s="699">
        <f t="shared" si="6"/>
        <v>56770.690604062889</v>
      </c>
      <c r="I52" s="699">
        <f t="shared" si="6"/>
        <v>7544.7587995506092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64461.085409451451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742.24303979800379</v>
      </c>
      <c r="D54" s="670">
        <f ca="1">+landbouw!C12</f>
        <v>0</v>
      </c>
      <c r="E54" s="670">
        <f>+landbouw!D12</f>
        <v>53.616420509024849</v>
      </c>
      <c r="F54" s="670">
        <f>+landbouw!E12</f>
        <v>9.3197345695666058</v>
      </c>
      <c r="G54" s="670">
        <f>+landbouw!F12</f>
        <v>3002.7391669920785</v>
      </c>
      <c r="H54" s="670">
        <f>+landbouw!G12</f>
        <v>0</v>
      </c>
      <c r="I54" s="670">
        <f>+landbouw!H12</f>
        <v>0</v>
      </c>
      <c r="J54" s="670">
        <f>+landbouw!I12</f>
        <v>0</v>
      </c>
      <c r="K54" s="670">
        <f>+landbouw!J12</f>
        <v>240.5638151362684</v>
      </c>
      <c r="L54" s="670">
        <f>+landbouw!K12</f>
        <v>0</v>
      </c>
      <c r="M54" s="670">
        <f>+landbouw!L12</f>
        <v>0</v>
      </c>
      <c r="N54" s="670">
        <f>+landbouw!M12</f>
        <v>0</v>
      </c>
      <c r="O54" s="670">
        <f>+landbouw!N12</f>
        <v>0</v>
      </c>
      <c r="P54" s="670">
        <f>+landbouw!O12</f>
        <v>0</v>
      </c>
      <c r="Q54" s="671">
        <f>+landbouw!P12</f>
        <v>0</v>
      </c>
      <c r="R54" s="698">
        <f ca="1">SUM(C54:Q54)</f>
        <v>4048.4821770049421</v>
      </c>
    </row>
    <row r="55" spans="1:18" ht="15" thickBot="1">
      <c r="A55" s="792" t="s">
        <v>829</v>
      </c>
      <c r="B55" s="802"/>
      <c r="C55" s="670">
        <f ca="1">C25*'EF ele_warmte'!B12</f>
        <v>159.91810845886209</v>
      </c>
      <c r="D55" s="670"/>
      <c r="E55" s="670">
        <f>E25*EF_CO2_aardgas</f>
        <v>336.63448226951789</v>
      </c>
      <c r="F55" s="670"/>
      <c r="G55" s="670"/>
      <c r="H55" s="670"/>
      <c r="I55" s="670"/>
      <c r="J55" s="670"/>
      <c r="K55" s="670"/>
      <c r="L55" s="670"/>
      <c r="M55" s="670"/>
      <c r="N55" s="670"/>
      <c r="O55" s="670"/>
      <c r="P55" s="670"/>
      <c r="Q55" s="671"/>
      <c r="R55" s="698">
        <f ca="1">SUM(C55:Q55)</f>
        <v>496.55259072837998</v>
      </c>
    </row>
    <row r="56" spans="1:18" ht="15.75" thickBot="1">
      <c r="A56" s="790" t="s">
        <v>830</v>
      </c>
      <c r="B56" s="803"/>
      <c r="C56" s="699">
        <f ca="1">SUM(C54:C55)</f>
        <v>902.16114825686589</v>
      </c>
      <c r="D56" s="699">
        <f t="shared" ref="D56:Q56" ca="1" si="7">SUM(D54:D55)</f>
        <v>0</v>
      </c>
      <c r="E56" s="699">
        <f t="shared" si="7"/>
        <v>390.25090277854275</v>
      </c>
      <c r="F56" s="699">
        <f t="shared" si="7"/>
        <v>9.3197345695666058</v>
      </c>
      <c r="G56" s="699">
        <f t="shared" si="7"/>
        <v>3002.7391669920785</v>
      </c>
      <c r="H56" s="699">
        <f t="shared" si="7"/>
        <v>0</v>
      </c>
      <c r="I56" s="699">
        <f t="shared" si="7"/>
        <v>0</v>
      </c>
      <c r="J56" s="699">
        <f t="shared" si="7"/>
        <v>0</v>
      </c>
      <c r="K56" s="699">
        <f t="shared" si="7"/>
        <v>240.5638151362684</v>
      </c>
      <c r="L56" s="699">
        <f t="shared" si="7"/>
        <v>0</v>
      </c>
      <c r="M56" s="699">
        <f t="shared" si="7"/>
        <v>0</v>
      </c>
      <c r="N56" s="699">
        <f t="shared" si="7"/>
        <v>0</v>
      </c>
      <c r="O56" s="699">
        <f t="shared" si="7"/>
        <v>0</v>
      </c>
      <c r="P56" s="699">
        <f t="shared" si="7"/>
        <v>0</v>
      </c>
      <c r="Q56" s="700">
        <f t="shared" si="7"/>
        <v>0</v>
      </c>
      <c r="R56" s="701">
        <f ca="1">SUM(R54:R55)</f>
        <v>4545.034767733322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12232.708258121647</v>
      </c>
      <c r="D61" s="707">
        <f t="shared" ref="D61:Q61" ca="1" si="8">D46+D52+D56</f>
        <v>0</v>
      </c>
      <c r="E61" s="707">
        <f t="shared" ca="1" si="8"/>
        <v>21007.851574605163</v>
      </c>
      <c r="F61" s="707">
        <f t="shared" si="8"/>
        <v>914.85578333972853</v>
      </c>
      <c r="G61" s="707">
        <f t="shared" ca="1" si="8"/>
        <v>18078.772212408512</v>
      </c>
      <c r="H61" s="707">
        <f t="shared" si="8"/>
        <v>56770.690604062889</v>
      </c>
      <c r="I61" s="707">
        <f t="shared" si="8"/>
        <v>7544.7587995506092</v>
      </c>
      <c r="J61" s="707">
        <f t="shared" si="8"/>
        <v>0</v>
      </c>
      <c r="K61" s="707">
        <f t="shared" si="8"/>
        <v>631.9816097657266</v>
      </c>
      <c r="L61" s="707">
        <f t="shared" si="8"/>
        <v>0</v>
      </c>
      <c r="M61" s="707">
        <f t="shared" ca="1" si="8"/>
        <v>0</v>
      </c>
      <c r="N61" s="707">
        <f t="shared" si="8"/>
        <v>0</v>
      </c>
      <c r="O61" s="707">
        <f t="shared" ca="1" si="8"/>
        <v>0</v>
      </c>
      <c r="P61" s="707">
        <f t="shared" si="8"/>
        <v>0</v>
      </c>
      <c r="Q61" s="707">
        <f t="shared" si="8"/>
        <v>0</v>
      </c>
      <c r="R61" s="707">
        <f ca="1">R46+R52+R56</f>
        <v>117181.61884185427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0.16745297314622548</v>
      </c>
      <c r="D63" s="748">
        <f t="shared" ca="1" si="9"/>
        <v>0</v>
      </c>
      <c r="E63" s="994">
        <f t="shared" ca="1" si="9"/>
        <v>0.20199999999999996</v>
      </c>
      <c r="F63" s="748">
        <f t="shared" si="9"/>
        <v>0.22699999999999998</v>
      </c>
      <c r="G63" s="748">
        <f t="shared" ca="1" si="9"/>
        <v>0.26700000000000002</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6572.1577745503037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11127.825000000001</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13091.558823529411</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17699.982774550306</v>
      </c>
      <c r="C78" s="722">
        <f>SUM(C72:C77)</f>
        <v>0</v>
      </c>
      <c r="D78" s="723">
        <f t="shared" ref="D78:H78" si="10">SUM(D76:D77)</f>
        <v>0</v>
      </c>
      <c r="E78" s="723">
        <f t="shared" si="10"/>
        <v>0</v>
      </c>
      <c r="F78" s="723">
        <f t="shared" si="10"/>
        <v>0</v>
      </c>
      <c r="G78" s="723">
        <f t="shared" si="10"/>
        <v>0</v>
      </c>
      <c r="H78" s="723">
        <f t="shared" si="10"/>
        <v>0</v>
      </c>
      <c r="I78" s="723">
        <f>SUM(I76:I77)</f>
        <v>0</v>
      </c>
      <c r="J78" s="723">
        <f>SUM(J76:J77)</f>
        <v>13091.558823529411</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15896.892857142857</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18702.226890756298</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15896.892857142857</v>
      </c>
      <c r="C90" s="722">
        <f>SUM(C87:C89)</f>
        <v>0</v>
      </c>
      <c r="D90" s="722">
        <f t="shared" ref="D90:H90" si="12">SUM(D87:D89)</f>
        <v>0</v>
      </c>
      <c r="E90" s="722">
        <f t="shared" si="12"/>
        <v>0</v>
      </c>
      <c r="F90" s="722">
        <f t="shared" si="12"/>
        <v>0</v>
      </c>
      <c r="G90" s="722">
        <f t="shared" si="12"/>
        <v>0</v>
      </c>
      <c r="H90" s="722">
        <f t="shared" si="12"/>
        <v>0</v>
      </c>
      <c r="I90" s="722">
        <f>SUM(I87:I89)</f>
        <v>0</v>
      </c>
      <c r="J90" s="722">
        <f>SUM(J87:J89)</f>
        <v>18702.226890756298</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31281.22893077449</v>
      </c>
      <c r="C4" s="444">
        <f>huishoudens!C8</f>
        <v>0</v>
      </c>
      <c r="D4" s="444">
        <f>huishoudens!D8</f>
        <v>43194.91827375412</v>
      </c>
      <c r="E4" s="444">
        <f>huishoudens!E8</f>
        <v>1429.9839795985258</v>
      </c>
      <c r="F4" s="444">
        <f>huishoudens!F8</f>
        <v>45111.533284755875</v>
      </c>
      <c r="G4" s="444">
        <f>huishoudens!G8</f>
        <v>0</v>
      </c>
      <c r="H4" s="444">
        <f>huishoudens!H8</f>
        <v>0</v>
      </c>
      <c r="I4" s="444">
        <f>huishoudens!I8</f>
        <v>0</v>
      </c>
      <c r="J4" s="444">
        <f>huishoudens!J8</f>
        <v>1051.9992520486139</v>
      </c>
      <c r="K4" s="444">
        <f>huishoudens!K8</f>
        <v>0</v>
      </c>
      <c r="L4" s="444">
        <f>huishoudens!L8</f>
        <v>0</v>
      </c>
      <c r="M4" s="444">
        <f>huishoudens!M8</f>
        <v>0</v>
      </c>
      <c r="N4" s="444">
        <f>huishoudens!N8</f>
        <v>7158.2034758245036</v>
      </c>
      <c r="O4" s="444">
        <f>huishoudens!O8</f>
        <v>439.29666666666668</v>
      </c>
      <c r="P4" s="445">
        <f>huishoudens!P8</f>
        <v>915.2</v>
      </c>
      <c r="Q4" s="446">
        <f>SUM(B4:P4)</f>
        <v>130582.36386342278</v>
      </c>
    </row>
    <row r="5" spans="1:17">
      <c r="A5" s="443" t="s">
        <v>149</v>
      </c>
      <c r="B5" s="444">
        <f ca="1">tertiair!B16</f>
        <v>19126.508800000003</v>
      </c>
      <c r="C5" s="444">
        <f ca="1">tertiair!C16</f>
        <v>0</v>
      </c>
      <c r="D5" s="444">
        <f ca="1">tertiair!D16</f>
        <v>40823.731142826</v>
      </c>
      <c r="E5" s="444">
        <f>tertiair!E16</f>
        <v>189.91395451927735</v>
      </c>
      <c r="F5" s="444">
        <f ca="1">tertiair!F16</f>
        <v>3135.0391368241244</v>
      </c>
      <c r="G5" s="444">
        <f>tertiair!G16</f>
        <v>0</v>
      </c>
      <c r="H5" s="444">
        <f>tertiair!H16</f>
        <v>0</v>
      </c>
      <c r="I5" s="444">
        <f>tertiair!I16</f>
        <v>0</v>
      </c>
      <c r="J5" s="444">
        <f>tertiair!J16</f>
        <v>0</v>
      </c>
      <c r="K5" s="444">
        <f>tertiair!K16</f>
        <v>0</v>
      </c>
      <c r="L5" s="444">
        <f ca="1">tertiair!L16</f>
        <v>0</v>
      </c>
      <c r="M5" s="444">
        <f>tertiair!M16</f>
        <v>0</v>
      </c>
      <c r="N5" s="444">
        <f ca="1">tertiair!N16</f>
        <v>3814.8717568347565</v>
      </c>
      <c r="O5" s="444">
        <f>tertiair!O16</f>
        <v>4.6900000000000004</v>
      </c>
      <c r="P5" s="445">
        <f>tertiair!P16</f>
        <v>38.133333333333333</v>
      </c>
      <c r="Q5" s="443">
        <f t="shared" ref="Q5:Q14" ca="1" si="0">SUM(B5:P5)</f>
        <v>67132.888124337493</v>
      </c>
    </row>
    <row r="6" spans="1:17">
      <c r="A6" s="443" t="s">
        <v>187</v>
      </c>
      <c r="B6" s="444">
        <f>'openbare verlichting'!B8</f>
        <v>1100.413</v>
      </c>
      <c r="C6" s="444"/>
      <c r="D6" s="444"/>
      <c r="E6" s="444"/>
      <c r="F6" s="444"/>
      <c r="G6" s="444"/>
      <c r="H6" s="444"/>
      <c r="I6" s="444"/>
      <c r="J6" s="444"/>
      <c r="K6" s="444"/>
      <c r="L6" s="444"/>
      <c r="M6" s="444"/>
      <c r="N6" s="444"/>
      <c r="O6" s="444"/>
      <c r="P6" s="445"/>
      <c r="Q6" s="443">
        <f t="shared" si="0"/>
        <v>1100.413</v>
      </c>
    </row>
    <row r="7" spans="1:17">
      <c r="A7" s="443" t="s">
        <v>105</v>
      </c>
      <c r="B7" s="444">
        <f>landbouw!B8</f>
        <v>4432.5461999999998</v>
      </c>
      <c r="C7" s="444">
        <f>landbouw!C8</f>
        <v>15896.892857142857</v>
      </c>
      <c r="D7" s="444">
        <f>landbouw!D8</f>
        <v>265.4278243021032</v>
      </c>
      <c r="E7" s="444">
        <f>landbouw!E8</f>
        <v>41.056099425403545</v>
      </c>
      <c r="F7" s="444">
        <f>landbouw!F8</f>
        <v>11246.214108584563</v>
      </c>
      <c r="G7" s="444">
        <f>landbouw!G8</f>
        <v>0</v>
      </c>
      <c r="H7" s="444">
        <f>landbouw!H8</f>
        <v>0</v>
      </c>
      <c r="I7" s="444">
        <f>landbouw!I8</f>
        <v>0</v>
      </c>
      <c r="J7" s="444">
        <f>landbouw!J8</f>
        <v>679.55879981996725</v>
      </c>
      <c r="K7" s="444">
        <f>landbouw!K8</f>
        <v>0</v>
      </c>
      <c r="L7" s="444">
        <f>landbouw!L8</f>
        <v>0</v>
      </c>
      <c r="M7" s="444">
        <f>landbouw!M8</f>
        <v>0</v>
      </c>
      <c r="N7" s="444">
        <f>landbouw!N8</f>
        <v>0</v>
      </c>
      <c r="O7" s="444">
        <f>landbouw!O8</f>
        <v>0</v>
      </c>
      <c r="P7" s="445">
        <f>landbouw!P8</f>
        <v>0</v>
      </c>
      <c r="Q7" s="443">
        <f t="shared" si="0"/>
        <v>32561.695889274892</v>
      </c>
    </row>
    <row r="8" spans="1:17">
      <c r="A8" s="443" t="s">
        <v>637</v>
      </c>
      <c r="B8" s="444">
        <f>industrie!B18</f>
        <v>16114.524970000002</v>
      </c>
      <c r="C8" s="444">
        <f>industrie!C18</f>
        <v>0</v>
      </c>
      <c r="D8" s="444">
        <f>industrie!D18</f>
        <v>17997.711634424068</v>
      </c>
      <c r="E8" s="444">
        <f>industrie!E18</f>
        <v>1803.5593087150676</v>
      </c>
      <c r="F8" s="444">
        <f>industrie!F18</f>
        <v>8217.9708196800511</v>
      </c>
      <c r="G8" s="444">
        <f>industrie!G18</f>
        <v>0</v>
      </c>
      <c r="H8" s="444">
        <f>industrie!H18</f>
        <v>0</v>
      </c>
      <c r="I8" s="444">
        <f>industrie!I18</f>
        <v>0</v>
      </c>
      <c r="J8" s="444">
        <f>industrie!J18</f>
        <v>53.700732780364049</v>
      </c>
      <c r="K8" s="444">
        <f>industrie!K18</f>
        <v>0</v>
      </c>
      <c r="L8" s="444">
        <f>industrie!L18</f>
        <v>0</v>
      </c>
      <c r="M8" s="444">
        <f>industrie!M18</f>
        <v>0</v>
      </c>
      <c r="N8" s="444">
        <f>industrie!N18</f>
        <v>1385.9010486138159</v>
      </c>
      <c r="O8" s="444">
        <f>industrie!O18</f>
        <v>0</v>
      </c>
      <c r="P8" s="445">
        <f>industrie!P18</f>
        <v>0</v>
      </c>
      <c r="Q8" s="443">
        <f t="shared" si="0"/>
        <v>45573.368514213369</v>
      </c>
    </row>
    <row r="9" spans="1:17" s="449" customFormat="1">
      <c r="A9" s="447" t="s">
        <v>558</v>
      </c>
      <c r="B9" s="448">
        <f>transport!B14</f>
        <v>36.184215124091288</v>
      </c>
      <c r="C9" s="448">
        <f>transport!C14</f>
        <v>0</v>
      </c>
      <c r="D9" s="448">
        <f>transport!D14</f>
        <v>50.969007543443723</v>
      </c>
      <c r="E9" s="448">
        <f>transport!E14</f>
        <v>565.68834646299638</v>
      </c>
      <c r="F9" s="448">
        <f>transport!F14</f>
        <v>0</v>
      </c>
      <c r="G9" s="448">
        <f>transport!G14</f>
        <v>211639.99437573689</v>
      </c>
      <c r="H9" s="448">
        <f>transport!H14</f>
        <v>30300.23614277353</v>
      </c>
      <c r="I9" s="448">
        <f>transport!I14</f>
        <v>0</v>
      </c>
      <c r="J9" s="448">
        <f>transport!J14</f>
        <v>0</v>
      </c>
      <c r="K9" s="448">
        <f>transport!K14</f>
        <v>0</v>
      </c>
      <c r="L9" s="448">
        <f>transport!L14</f>
        <v>0</v>
      </c>
      <c r="M9" s="448">
        <f>transport!M14</f>
        <v>13194.527842697607</v>
      </c>
      <c r="N9" s="448">
        <f>transport!N14</f>
        <v>0</v>
      </c>
      <c r="O9" s="448">
        <f>transport!O14</f>
        <v>0</v>
      </c>
      <c r="P9" s="448">
        <f>transport!P14</f>
        <v>0</v>
      </c>
      <c r="Q9" s="447">
        <f>SUM(B9:P9)</f>
        <v>255787.59993033856</v>
      </c>
    </row>
    <row r="10" spans="1:17">
      <c r="A10" s="443" t="s">
        <v>548</v>
      </c>
      <c r="B10" s="444">
        <f>transport!B54</f>
        <v>5.1946361252359488</v>
      </c>
      <c r="C10" s="444">
        <f>transport!C54</f>
        <v>0</v>
      </c>
      <c r="D10" s="444">
        <f>transport!D54</f>
        <v>0</v>
      </c>
      <c r="E10" s="444">
        <f>transport!E54</f>
        <v>0</v>
      </c>
      <c r="F10" s="444">
        <f>transport!F54</f>
        <v>0</v>
      </c>
      <c r="G10" s="444">
        <f>transport!G54</f>
        <v>984.31500277578425</v>
      </c>
      <c r="H10" s="444">
        <f>transport!H54</f>
        <v>0</v>
      </c>
      <c r="I10" s="444">
        <f>transport!I54</f>
        <v>0</v>
      </c>
      <c r="J10" s="444">
        <f>transport!J54</f>
        <v>0</v>
      </c>
      <c r="K10" s="444">
        <f>transport!K54</f>
        <v>0</v>
      </c>
      <c r="L10" s="444">
        <f>transport!L54</f>
        <v>0</v>
      </c>
      <c r="M10" s="444">
        <f>transport!M54</f>
        <v>56.66508153356839</v>
      </c>
      <c r="N10" s="444">
        <f>transport!N54</f>
        <v>0</v>
      </c>
      <c r="O10" s="444">
        <f>transport!O54</f>
        <v>0</v>
      </c>
      <c r="P10" s="445">
        <f>transport!P54</f>
        <v>0</v>
      </c>
      <c r="Q10" s="443">
        <f t="shared" si="0"/>
        <v>1046.1747204345886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955.00310000000002</v>
      </c>
      <c r="C14" s="451"/>
      <c r="D14" s="451">
        <f>'SEAP template'!E25</f>
        <v>1666.5073379679102</v>
      </c>
      <c r="E14" s="451"/>
      <c r="F14" s="451"/>
      <c r="G14" s="451"/>
      <c r="H14" s="451"/>
      <c r="I14" s="451"/>
      <c r="J14" s="451"/>
      <c r="K14" s="451"/>
      <c r="L14" s="451"/>
      <c r="M14" s="451"/>
      <c r="N14" s="451"/>
      <c r="O14" s="451"/>
      <c r="P14" s="452"/>
      <c r="Q14" s="443">
        <f t="shared" si="0"/>
        <v>2621.5104379679101</v>
      </c>
    </row>
    <row r="15" spans="1:17" s="453" customFormat="1">
      <c r="A15" s="1009" t="s">
        <v>552</v>
      </c>
      <c r="B15" s="949">
        <f ca="1">SUM(B4:B14)</f>
        <v>73051.603852023807</v>
      </c>
      <c r="C15" s="949">
        <f t="shared" ref="C15:Q15" ca="1" si="1">SUM(C4:C14)</f>
        <v>15896.892857142857</v>
      </c>
      <c r="D15" s="949">
        <f t="shared" ca="1" si="1"/>
        <v>103999.26522081764</v>
      </c>
      <c r="E15" s="949">
        <f t="shared" si="1"/>
        <v>4030.2016887212708</v>
      </c>
      <c r="F15" s="949">
        <f t="shared" ca="1" si="1"/>
        <v>67710.757349844615</v>
      </c>
      <c r="G15" s="949">
        <f t="shared" si="1"/>
        <v>212624.30937851267</v>
      </c>
      <c r="H15" s="949">
        <f t="shared" si="1"/>
        <v>30300.23614277353</v>
      </c>
      <c r="I15" s="949">
        <f t="shared" si="1"/>
        <v>0</v>
      </c>
      <c r="J15" s="949">
        <f t="shared" si="1"/>
        <v>1785.258784648945</v>
      </c>
      <c r="K15" s="949">
        <f t="shared" si="1"/>
        <v>0</v>
      </c>
      <c r="L15" s="949">
        <f t="shared" ca="1" si="1"/>
        <v>0</v>
      </c>
      <c r="M15" s="949">
        <f t="shared" si="1"/>
        <v>13251.192924231176</v>
      </c>
      <c r="N15" s="949">
        <f t="shared" ca="1" si="1"/>
        <v>12358.976281273075</v>
      </c>
      <c r="O15" s="949">
        <f t="shared" si="1"/>
        <v>443.98666666666668</v>
      </c>
      <c r="P15" s="949">
        <f t="shared" si="1"/>
        <v>953.33333333333337</v>
      </c>
      <c r="Q15" s="949">
        <f t="shared" ca="1" si="1"/>
        <v>536406.01447998965</v>
      </c>
    </row>
    <row r="17" spans="1:17">
      <c r="A17" s="454" t="s">
        <v>553</v>
      </c>
      <c r="B17" s="753">
        <f ca="1">huishoudens!B10</f>
        <v>0.16745297314622548</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5238.1347881259126</v>
      </c>
      <c r="C22" s="444">
        <f t="shared" ref="C22:C32" ca="1" si="3">C4*$C$17</f>
        <v>0</v>
      </c>
      <c r="D22" s="444">
        <f t="shared" ref="D22:D32" si="4">D4*$D$17</f>
        <v>8725.3734912983327</v>
      </c>
      <c r="E22" s="444">
        <f t="shared" ref="E22:E32" si="5">E4*$E$17</f>
        <v>324.60636336886535</v>
      </c>
      <c r="F22" s="444">
        <f t="shared" ref="F22:F32" si="6">F4*$F$17</f>
        <v>12044.779387029819</v>
      </c>
      <c r="G22" s="444">
        <f t="shared" ref="G22:G32" si="7">G4*$G$17</f>
        <v>0</v>
      </c>
      <c r="H22" s="444">
        <f t="shared" ref="H22:H32" si="8">H4*$H$17</f>
        <v>0</v>
      </c>
      <c r="I22" s="444">
        <f t="shared" ref="I22:I32" si="9">I4*$I$17</f>
        <v>0</v>
      </c>
      <c r="J22" s="444">
        <f t="shared" ref="J22:J32" si="10">J4*$J$17</f>
        <v>372.40773522520931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26705.301765048138</v>
      </c>
    </row>
    <row r="23" spans="1:17">
      <c r="A23" s="443" t="s">
        <v>149</v>
      </c>
      <c r="B23" s="444">
        <f t="shared" ca="1" si="2"/>
        <v>3202.790764467446</v>
      </c>
      <c r="C23" s="444">
        <f t="shared" ca="1" si="3"/>
        <v>0</v>
      </c>
      <c r="D23" s="444">
        <f t="shared" ca="1" si="4"/>
        <v>8246.3936908508531</v>
      </c>
      <c r="E23" s="444">
        <f t="shared" si="5"/>
        <v>43.11046767587596</v>
      </c>
      <c r="F23" s="444">
        <f t="shared" ca="1" si="6"/>
        <v>837.05544953204128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12329.350372526218</v>
      </c>
    </row>
    <row r="24" spans="1:17">
      <c r="A24" s="443" t="s">
        <v>187</v>
      </c>
      <c r="B24" s="444">
        <f t="shared" ca="1" si="2"/>
        <v>184.26742853875743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184.26742853875743</v>
      </c>
    </row>
    <row r="25" spans="1:17">
      <c r="A25" s="443" t="s">
        <v>105</v>
      </c>
      <c r="B25" s="444">
        <f t="shared" ca="1" si="2"/>
        <v>742.24303979800379</v>
      </c>
      <c r="C25" s="444">
        <f t="shared" ca="1" si="3"/>
        <v>0</v>
      </c>
      <c r="D25" s="444">
        <f t="shared" si="4"/>
        <v>53.616420509024849</v>
      </c>
      <c r="E25" s="444">
        <f t="shared" si="5"/>
        <v>9.3197345695666058</v>
      </c>
      <c r="F25" s="444">
        <f t="shared" si="6"/>
        <v>3002.7391669920785</v>
      </c>
      <c r="G25" s="444">
        <f t="shared" si="7"/>
        <v>0</v>
      </c>
      <c r="H25" s="444">
        <f t="shared" si="8"/>
        <v>0</v>
      </c>
      <c r="I25" s="444">
        <f t="shared" si="9"/>
        <v>0</v>
      </c>
      <c r="J25" s="444">
        <f t="shared" si="10"/>
        <v>240.5638151362684</v>
      </c>
      <c r="K25" s="444">
        <f t="shared" si="11"/>
        <v>0</v>
      </c>
      <c r="L25" s="444">
        <f t="shared" si="12"/>
        <v>0</v>
      </c>
      <c r="M25" s="444">
        <f t="shared" si="13"/>
        <v>0</v>
      </c>
      <c r="N25" s="444">
        <f t="shared" si="14"/>
        <v>0</v>
      </c>
      <c r="O25" s="444">
        <f t="shared" si="15"/>
        <v>0</v>
      </c>
      <c r="P25" s="445">
        <f t="shared" si="16"/>
        <v>0</v>
      </c>
      <c r="Q25" s="443">
        <f t="shared" ca="1" si="17"/>
        <v>4048.4821770049421</v>
      </c>
    </row>
    <row r="26" spans="1:17">
      <c r="A26" s="443" t="s">
        <v>637</v>
      </c>
      <c r="B26" s="444">
        <f t="shared" ca="1" si="2"/>
        <v>2698.4251170655903</v>
      </c>
      <c r="C26" s="444">
        <f t="shared" ca="1" si="3"/>
        <v>0</v>
      </c>
      <c r="D26" s="444">
        <f t="shared" si="4"/>
        <v>3635.5377501536618</v>
      </c>
      <c r="E26" s="444">
        <f t="shared" si="5"/>
        <v>409.40796307832034</v>
      </c>
      <c r="F26" s="444">
        <f t="shared" si="6"/>
        <v>2194.1982088545737</v>
      </c>
      <c r="G26" s="444">
        <f t="shared" si="7"/>
        <v>0</v>
      </c>
      <c r="H26" s="444">
        <f t="shared" si="8"/>
        <v>0</v>
      </c>
      <c r="I26" s="444">
        <f t="shared" si="9"/>
        <v>0</v>
      </c>
      <c r="J26" s="444">
        <f t="shared" si="10"/>
        <v>19.010059404248871</v>
      </c>
      <c r="K26" s="444">
        <f t="shared" si="11"/>
        <v>0</v>
      </c>
      <c r="L26" s="444">
        <f t="shared" si="12"/>
        <v>0</v>
      </c>
      <c r="M26" s="444">
        <f t="shared" si="13"/>
        <v>0</v>
      </c>
      <c r="N26" s="444">
        <f t="shared" si="14"/>
        <v>0</v>
      </c>
      <c r="O26" s="444">
        <f t="shared" si="15"/>
        <v>0</v>
      </c>
      <c r="P26" s="445">
        <f t="shared" si="16"/>
        <v>0</v>
      </c>
      <c r="Q26" s="443">
        <f t="shared" ca="1" si="17"/>
        <v>8956.5790985563945</v>
      </c>
    </row>
    <row r="27" spans="1:17" s="449" customFormat="1">
      <c r="A27" s="447" t="s">
        <v>558</v>
      </c>
      <c r="B27" s="747">
        <f t="shared" ca="1" si="2"/>
        <v>6.0591544034917044</v>
      </c>
      <c r="C27" s="448">
        <f t="shared" ca="1" si="3"/>
        <v>0</v>
      </c>
      <c r="D27" s="448">
        <f t="shared" si="4"/>
        <v>10.295739523775632</v>
      </c>
      <c r="E27" s="448">
        <f t="shared" si="5"/>
        <v>128.41125464710018</v>
      </c>
      <c r="F27" s="448">
        <f t="shared" si="6"/>
        <v>0</v>
      </c>
      <c r="G27" s="448">
        <f t="shared" si="7"/>
        <v>56507.878498321756</v>
      </c>
      <c r="H27" s="448">
        <f t="shared" si="8"/>
        <v>7544.7587995506092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64197.403446446733</v>
      </c>
    </row>
    <row r="28" spans="1:17">
      <c r="A28" s="443" t="s">
        <v>548</v>
      </c>
      <c r="B28" s="444">
        <f t="shared" ca="1" si="2"/>
        <v>0.86985726358354809</v>
      </c>
      <c r="C28" s="444">
        <f t="shared" ca="1" si="3"/>
        <v>0</v>
      </c>
      <c r="D28" s="444">
        <f t="shared" si="4"/>
        <v>0</v>
      </c>
      <c r="E28" s="444">
        <f t="shared" si="5"/>
        <v>0</v>
      </c>
      <c r="F28" s="444">
        <f t="shared" si="6"/>
        <v>0</v>
      </c>
      <c r="G28" s="444">
        <f t="shared" si="7"/>
        <v>262.81210574113442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263.68196300471794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159.91810845886209</v>
      </c>
      <c r="C32" s="444">
        <f t="shared" ca="1" si="3"/>
        <v>0</v>
      </c>
      <c r="D32" s="444">
        <f t="shared" si="4"/>
        <v>336.63448226951789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496.55259072837998</v>
      </c>
    </row>
    <row r="33" spans="1:17" s="453" customFormat="1">
      <c r="A33" s="1009" t="s">
        <v>552</v>
      </c>
      <c r="B33" s="949">
        <f ca="1">SUM(B22:B32)</f>
        <v>12232.708258121647</v>
      </c>
      <c r="C33" s="949">
        <f t="shared" ref="C33:Q33" ca="1" si="18">SUM(C22:C32)</f>
        <v>0</v>
      </c>
      <c r="D33" s="949">
        <f t="shared" ca="1" si="18"/>
        <v>21007.851574605163</v>
      </c>
      <c r="E33" s="949">
        <f t="shared" si="18"/>
        <v>914.8557833397283</v>
      </c>
      <c r="F33" s="949">
        <f t="shared" ca="1" si="18"/>
        <v>18078.772212408512</v>
      </c>
      <c r="G33" s="949">
        <f t="shared" si="18"/>
        <v>56770.690604062889</v>
      </c>
      <c r="H33" s="949">
        <f t="shared" si="18"/>
        <v>7544.7587995506092</v>
      </c>
      <c r="I33" s="949">
        <f t="shared" si="18"/>
        <v>0</v>
      </c>
      <c r="J33" s="949">
        <f t="shared" si="18"/>
        <v>631.9816097657266</v>
      </c>
      <c r="K33" s="949">
        <f t="shared" si="18"/>
        <v>0</v>
      </c>
      <c r="L33" s="949">
        <f t="shared" ca="1" si="18"/>
        <v>0</v>
      </c>
      <c r="M33" s="949">
        <f t="shared" si="18"/>
        <v>0</v>
      </c>
      <c r="N33" s="949">
        <f t="shared" ca="1" si="18"/>
        <v>0</v>
      </c>
      <c r="O33" s="949">
        <f t="shared" si="18"/>
        <v>0</v>
      </c>
      <c r="P33" s="949">
        <f t="shared" si="18"/>
        <v>0</v>
      </c>
      <c r="Q33" s="949">
        <f t="shared" ca="1" si="18"/>
        <v>117181.61884185429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6572.1577745503037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11127.825000000001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13091.558823529411</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17699.982774550306</v>
      </c>
      <c r="C10" s="1030">
        <f>SUM(C4:C9)</f>
        <v>0</v>
      </c>
      <c r="D10" s="1030">
        <f t="shared" ref="D10:H10" si="0">SUM(D8:D9)</f>
        <v>0</v>
      </c>
      <c r="E10" s="1030">
        <f t="shared" si="0"/>
        <v>0</v>
      </c>
      <c r="F10" s="1030">
        <f t="shared" si="0"/>
        <v>0</v>
      </c>
      <c r="G10" s="1030">
        <f t="shared" si="0"/>
        <v>0</v>
      </c>
      <c r="H10" s="1030">
        <f t="shared" si="0"/>
        <v>0</v>
      </c>
      <c r="I10" s="1030">
        <f>SUM(I8:I9)</f>
        <v>0</v>
      </c>
      <c r="J10" s="1030">
        <f>SUM(J8:J9)</f>
        <v>13091.558823529411</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0.16745297314622548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15896.892857142857</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18702.226890756298</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15896.892857142857</v>
      </c>
      <c r="C20" s="1030">
        <f>SUM(C17:C19)</f>
        <v>0</v>
      </c>
      <c r="D20" s="1030">
        <f t="shared" ref="D20:H20" si="2">SUM(D17:D19)</f>
        <v>0</v>
      </c>
      <c r="E20" s="1030">
        <f t="shared" si="2"/>
        <v>0</v>
      </c>
      <c r="F20" s="1030">
        <f t="shared" si="2"/>
        <v>0</v>
      </c>
      <c r="G20" s="1030">
        <f t="shared" si="2"/>
        <v>0</v>
      </c>
      <c r="H20" s="1030">
        <f t="shared" si="2"/>
        <v>0</v>
      </c>
      <c r="I20" s="1030">
        <f>SUM(I17:I19)</f>
        <v>0</v>
      </c>
      <c r="J20" s="1030">
        <f>SUM(J17:J19)</f>
        <v>18702.226890756298</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0.16745297314622548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2</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38.133333333333333</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0.16745297314622548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0.16745297314622548</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6082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4652</v>
      </c>
      <c r="C14" s="324"/>
      <c r="D14" s="324"/>
      <c r="E14" s="324"/>
      <c r="F14" s="324"/>
    </row>
    <row r="15" spans="1:6">
      <c r="A15" s="1302" t="s">
        <v>177</v>
      </c>
      <c r="B15" s="1303">
        <v>100</v>
      </c>
      <c r="C15" s="324"/>
      <c r="D15" s="324"/>
      <c r="E15" s="324"/>
      <c r="F15" s="324"/>
    </row>
    <row r="16" spans="1:6">
      <c r="A16" s="1302" t="s">
        <v>6</v>
      </c>
      <c r="B16" s="1303">
        <v>3992</v>
      </c>
      <c r="C16" s="324"/>
      <c r="D16" s="324"/>
      <c r="E16" s="324"/>
      <c r="F16" s="324"/>
    </row>
    <row r="17" spans="1:6">
      <c r="A17" s="1302" t="s">
        <v>7</v>
      </c>
      <c r="B17" s="1303">
        <v>1264</v>
      </c>
      <c r="C17" s="324"/>
      <c r="D17" s="324"/>
      <c r="E17" s="324"/>
      <c r="F17" s="324"/>
    </row>
    <row r="18" spans="1:6">
      <c r="A18" s="1302" t="s">
        <v>8</v>
      </c>
      <c r="B18" s="1303">
        <v>3124</v>
      </c>
      <c r="C18" s="324"/>
      <c r="D18" s="324"/>
      <c r="E18" s="324"/>
      <c r="F18" s="324"/>
    </row>
    <row r="19" spans="1:6">
      <c r="A19" s="1302" t="s">
        <v>9</v>
      </c>
      <c r="B19" s="1303">
        <v>3237</v>
      </c>
      <c r="C19" s="324"/>
      <c r="D19" s="324"/>
      <c r="E19" s="324"/>
      <c r="F19" s="324"/>
    </row>
    <row r="20" spans="1:6">
      <c r="A20" s="1302" t="s">
        <v>10</v>
      </c>
      <c r="B20" s="1303">
        <v>1921</v>
      </c>
      <c r="C20" s="324"/>
      <c r="D20" s="324"/>
      <c r="E20" s="324"/>
      <c r="F20" s="324"/>
    </row>
    <row r="21" spans="1:6">
      <c r="A21" s="1302" t="s">
        <v>11</v>
      </c>
      <c r="B21" s="1303">
        <v>17845</v>
      </c>
      <c r="C21" s="324"/>
      <c r="D21" s="324"/>
      <c r="E21" s="324"/>
      <c r="F21" s="324"/>
    </row>
    <row r="22" spans="1:6">
      <c r="A22" s="1302" t="s">
        <v>12</v>
      </c>
      <c r="B22" s="1303">
        <v>40788</v>
      </c>
      <c r="C22" s="324"/>
      <c r="D22" s="324"/>
      <c r="E22" s="324"/>
      <c r="F22" s="324"/>
    </row>
    <row r="23" spans="1:6">
      <c r="A23" s="1302" t="s">
        <v>13</v>
      </c>
      <c r="B23" s="1303">
        <v>705</v>
      </c>
      <c r="C23" s="324"/>
      <c r="D23" s="324"/>
      <c r="E23" s="324"/>
      <c r="F23" s="324"/>
    </row>
    <row r="24" spans="1:6">
      <c r="A24" s="1302" t="s">
        <v>14</v>
      </c>
      <c r="B24" s="1303">
        <v>23</v>
      </c>
      <c r="C24" s="324"/>
      <c r="D24" s="324"/>
      <c r="E24" s="324"/>
      <c r="F24" s="324"/>
    </row>
    <row r="25" spans="1:6">
      <c r="A25" s="1302" t="s">
        <v>15</v>
      </c>
      <c r="B25" s="1303">
        <v>4004</v>
      </c>
      <c r="C25" s="324"/>
      <c r="D25" s="324"/>
      <c r="E25" s="324"/>
      <c r="F25" s="324"/>
    </row>
    <row r="26" spans="1:6">
      <c r="A26" s="1302" t="s">
        <v>16</v>
      </c>
      <c r="B26" s="1303">
        <v>585</v>
      </c>
      <c r="C26" s="324"/>
      <c r="D26" s="324"/>
      <c r="E26" s="324"/>
      <c r="F26" s="324"/>
    </row>
    <row r="27" spans="1:6">
      <c r="A27" s="1302" t="s">
        <v>17</v>
      </c>
      <c r="B27" s="1303">
        <v>3</v>
      </c>
      <c r="C27" s="324"/>
      <c r="D27" s="324"/>
      <c r="E27" s="324"/>
      <c r="F27" s="324"/>
    </row>
    <row r="28" spans="1:6">
      <c r="A28" s="1302" t="s">
        <v>18</v>
      </c>
      <c r="B28" s="1304">
        <v>99325</v>
      </c>
      <c r="C28" s="324"/>
      <c r="D28" s="324"/>
      <c r="E28" s="324"/>
      <c r="F28" s="324"/>
    </row>
    <row r="29" spans="1:6">
      <c r="A29" s="1302" t="s">
        <v>918</v>
      </c>
      <c r="B29" s="1304">
        <v>253</v>
      </c>
      <c r="C29" s="324"/>
      <c r="D29" s="324"/>
      <c r="E29" s="324"/>
      <c r="F29" s="324"/>
    </row>
    <row r="30" spans="1:6">
      <c r="A30" s="1297" t="s">
        <v>919</v>
      </c>
      <c r="B30" s="1305">
        <v>45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6361</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4156</v>
      </c>
    </row>
    <row r="39" spans="1:6">
      <c r="A39" s="1302" t="s">
        <v>29</v>
      </c>
      <c r="B39" s="1302" t="s">
        <v>30</v>
      </c>
      <c r="C39" s="1303">
        <v>3361</v>
      </c>
      <c r="D39" s="1303">
        <v>47887936.001944698</v>
      </c>
      <c r="E39" s="1303">
        <v>5768</v>
      </c>
      <c r="F39" s="1303">
        <v>27377795</v>
      </c>
    </row>
    <row r="40" spans="1:6">
      <c r="A40" s="1302" t="s">
        <v>29</v>
      </c>
      <c r="B40" s="1302" t="s">
        <v>28</v>
      </c>
      <c r="C40" s="1303">
        <v>0</v>
      </c>
      <c r="D40" s="1303">
        <v>0</v>
      </c>
      <c r="E40" s="1303">
        <v>0</v>
      </c>
      <c r="F40" s="1303">
        <v>0</v>
      </c>
    </row>
    <row r="41" spans="1:6">
      <c r="A41" s="1302" t="s">
        <v>31</v>
      </c>
      <c r="B41" s="1302" t="s">
        <v>32</v>
      </c>
      <c r="C41" s="1303">
        <v>55</v>
      </c>
      <c r="D41" s="1303">
        <v>965961.58400477201</v>
      </c>
      <c r="E41" s="1303">
        <v>148</v>
      </c>
      <c r="F41" s="1303">
        <v>4927427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6</v>
      </c>
      <c r="D44" s="1303">
        <v>228574.04767909701</v>
      </c>
      <c r="E44" s="1303">
        <v>21</v>
      </c>
      <c r="F44" s="1303">
        <v>2690425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4</v>
      </c>
      <c r="F47" s="1303">
        <v>216475.2</v>
      </c>
    </row>
    <row r="48" spans="1:6">
      <c r="A48" s="1302" t="s">
        <v>31</v>
      </c>
      <c r="B48" s="1302" t="s">
        <v>28</v>
      </c>
      <c r="C48" s="1303">
        <v>32</v>
      </c>
      <c r="D48" s="1303">
        <v>18134092.604619801</v>
      </c>
      <c r="E48" s="1303">
        <v>36</v>
      </c>
      <c r="F48" s="1303">
        <v>7293468</v>
      </c>
    </row>
    <row r="49" spans="1:6">
      <c r="A49" s="1302" t="s">
        <v>31</v>
      </c>
      <c r="B49" s="1302" t="s">
        <v>39</v>
      </c>
      <c r="C49" s="1303">
        <v>0</v>
      </c>
      <c r="D49" s="1303">
        <v>0</v>
      </c>
      <c r="E49" s="1303">
        <v>3</v>
      </c>
      <c r="F49" s="1303">
        <v>21453.27</v>
      </c>
    </row>
    <row r="50" spans="1:6">
      <c r="A50" s="1302" t="s">
        <v>31</v>
      </c>
      <c r="B50" s="1302" t="s">
        <v>40</v>
      </c>
      <c r="C50" s="1303">
        <v>8</v>
      </c>
      <c r="D50" s="1303">
        <v>624488.87503121805</v>
      </c>
      <c r="E50" s="1303">
        <v>18</v>
      </c>
      <c r="F50" s="1303">
        <v>965276.5</v>
      </c>
    </row>
    <row r="51" spans="1:6">
      <c r="A51" s="1302" t="s">
        <v>41</v>
      </c>
      <c r="B51" s="1302" t="s">
        <v>42</v>
      </c>
      <c r="C51" s="1303">
        <v>15</v>
      </c>
      <c r="D51" s="1303">
        <v>259415.237183385</v>
      </c>
      <c r="E51" s="1303">
        <v>202</v>
      </c>
      <c r="F51" s="1303">
        <v>4421118</v>
      </c>
    </row>
    <row r="52" spans="1:6">
      <c r="A52" s="1302" t="s">
        <v>41</v>
      </c>
      <c r="B52" s="1302" t="s">
        <v>28</v>
      </c>
      <c r="C52" s="1303">
        <v>2</v>
      </c>
      <c r="D52" s="1303">
        <v>34850.643417616397</v>
      </c>
      <c r="E52" s="1303">
        <v>1</v>
      </c>
      <c r="F52" s="1303">
        <v>11428.2</v>
      </c>
    </row>
    <row r="53" spans="1:6">
      <c r="A53" s="1302" t="s">
        <v>43</v>
      </c>
      <c r="B53" s="1302" t="s">
        <v>44</v>
      </c>
      <c r="C53" s="1303">
        <v>83</v>
      </c>
      <c r="D53" s="1303">
        <v>1666507.3379679101</v>
      </c>
      <c r="E53" s="1303">
        <v>180</v>
      </c>
      <c r="F53" s="1303">
        <v>955003.1</v>
      </c>
    </row>
    <row r="54" spans="1:6">
      <c r="A54" s="1302" t="s">
        <v>45</v>
      </c>
      <c r="B54" s="1302" t="s">
        <v>46</v>
      </c>
      <c r="C54" s="1303">
        <v>0</v>
      </c>
      <c r="D54" s="1303">
        <v>0</v>
      </c>
      <c r="E54" s="1303">
        <v>1</v>
      </c>
      <c r="F54" s="1303">
        <v>1100413</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43</v>
      </c>
      <c r="D57" s="1303">
        <v>21041343.6804148</v>
      </c>
      <c r="E57" s="1303">
        <v>107</v>
      </c>
      <c r="F57" s="1303">
        <v>4795444</v>
      </c>
    </row>
    <row r="58" spans="1:6">
      <c r="A58" s="1302" t="s">
        <v>48</v>
      </c>
      <c r="B58" s="1302" t="s">
        <v>50</v>
      </c>
      <c r="C58" s="1303">
        <v>38</v>
      </c>
      <c r="D58" s="1303">
        <v>2205770.4804056399</v>
      </c>
      <c r="E58" s="1303">
        <v>54</v>
      </c>
      <c r="F58" s="1303">
        <v>841522</v>
      </c>
    </row>
    <row r="59" spans="1:6">
      <c r="A59" s="1302" t="s">
        <v>48</v>
      </c>
      <c r="B59" s="1302" t="s">
        <v>51</v>
      </c>
      <c r="C59" s="1303">
        <v>58</v>
      </c>
      <c r="D59" s="1303">
        <v>2138791.5559286</v>
      </c>
      <c r="E59" s="1303">
        <v>147</v>
      </c>
      <c r="F59" s="1303">
        <v>4861114</v>
      </c>
    </row>
    <row r="60" spans="1:6">
      <c r="A60" s="1302" t="s">
        <v>48</v>
      </c>
      <c r="B60" s="1302" t="s">
        <v>52</v>
      </c>
      <c r="C60" s="1303">
        <v>33</v>
      </c>
      <c r="D60" s="1303">
        <v>14218226.311823299</v>
      </c>
      <c r="E60" s="1303">
        <v>60</v>
      </c>
      <c r="F60" s="1303">
        <v>1781343</v>
      </c>
    </row>
    <row r="61" spans="1:6">
      <c r="A61" s="1302" t="s">
        <v>48</v>
      </c>
      <c r="B61" s="1302" t="s">
        <v>53</v>
      </c>
      <c r="C61" s="1303">
        <v>69</v>
      </c>
      <c r="D61" s="1303">
        <v>2780703.4798772102</v>
      </c>
      <c r="E61" s="1303">
        <v>172</v>
      </c>
      <c r="F61" s="1303">
        <v>2365622</v>
      </c>
    </row>
    <row r="62" spans="1:6">
      <c r="A62" s="1302" t="s">
        <v>48</v>
      </c>
      <c r="B62" s="1302" t="s">
        <v>54</v>
      </c>
      <c r="C62" s="1303">
        <v>6</v>
      </c>
      <c r="D62" s="1303">
        <v>376001.5282919</v>
      </c>
      <c r="E62" s="1303">
        <v>11</v>
      </c>
      <c r="F62" s="1303">
        <v>185576.8</v>
      </c>
    </row>
    <row r="63" spans="1:6">
      <c r="A63" s="1302" t="s">
        <v>48</v>
      </c>
      <c r="B63" s="1302" t="s">
        <v>28</v>
      </c>
      <c r="C63" s="1303">
        <v>78</v>
      </c>
      <c r="D63" s="1303">
        <v>2498288.3987640901</v>
      </c>
      <c r="E63" s="1303">
        <v>107</v>
      </c>
      <c r="F63" s="1303">
        <v>4295887</v>
      </c>
    </row>
    <row r="64" spans="1:6">
      <c r="A64" s="1302" t="s">
        <v>55</v>
      </c>
      <c r="B64" s="1302" t="s">
        <v>56</v>
      </c>
      <c r="C64" s="1303">
        <v>0</v>
      </c>
      <c r="D64" s="1303">
        <v>0</v>
      </c>
      <c r="E64" s="1303">
        <v>0</v>
      </c>
      <c r="F64" s="1303">
        <v>0</v>
      </c>
    </row>
    <row r="65" spans="1:6">
      <c r="A65" s="1302" t="s">
        <v>55</v>
      </c>
      <c r="B65" s="1302" t="s">
        <v>28</v>
      </c>
      <c r="C65" s="1303">
        <v>2</v>
      </c>
      <c r="D65" s="1303">
        <v>35726.990661809003</v>
      </c>
      <c r="E65" s="1303">
        <v>1</v>
      </c>
      <c r="F65" s="1303">
        <v>6777.4260000000004</v>
      </c>
    </row>
    <row r="66" spans="1:6">
      <c r="A66" s="1302" t="s">
        <v>55</v>
      </c>
      <c r="B66" s="1302" t="s">
        <v>57</v>
      </c>
      <c r="C66" s="1303">
        <v>0</v>
      </c>
      <c r="D66" s="1303">
        <v>0</v>
      </c>
      <c r="E66" s="1303">
        <v>15</v>
      </c>
      <c r="F66" s="1303">
        <v>274476.40000000002</v>
      </c>
    </row>
    <row r="67" spans="1:6">
      <c r="A67" s="1302" t="s">
        <v>55</v>
      </c>
      <c r="B67" s="1302" t="s">
        <v>58</v>
      </c>
      <c r="C67" s="1303">
        <v>0</v>
      </c>
      <c r="D67" s="1303">
        <v>0</v>
      </c>
      <c r="E67" s="1303">
        <v>0</v>
      </c>
      <c r="F67" s="1303">
        <v>0</v>
      </c>
    </row>
    <row r="68" spans="1:6">
      <c r="A68" s="1297" t="s">
        <v>55</v>
      </c>
      <c r="B68" s="1297" t="s">
        <v>59</v>
      </c>
      <c r="C68" s="1305">
        <v>5</v>
      </c>
      <c r="D68" s="1305">
        <v>76819.522959789407</v>
      </c>
      <c r="E68" s="1305">
        <v>12</v>
      </c>
      <c r="F68" s="1305">
        <v>120353.9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57146753</v>
      </c>
      <c r="E73" s="442"/>
      <c r="F73" s="324"/>
    </row>
    <row r="74" spans="1:6">
      <c r="A74" s="1302" t="s">
        <v>63</v>
      </c>
      <c r="B74" s="1302" t="s">
        <v>695</v>
      </c>
      <c r="C74" s="1315" t="s">
        <v>697</v>
      </c>
      <c r="D74" s="1303">
        <v>5138768.6468663597</v>
      </c>
      <c r="E74" s="442"/>
      <c r="F74" s="324"/>
    </row>
    <row r="75" spans="1:6">
      <c r="A75" s="1302" t="s">
        <v>64</v>
      </c>
      <c r="B75" s="1302" t="s">
        <v>694</v>
      </c>
      <c r="C75" s="1315" t="s">
        <v>698</v>
      </c>
      <c r="D75" s="1303">
        <v>25627591</v>
      </c>
      <c r="E75" s="442"/>
      <c r="F75" s="324"/>
    </row>
    <row r="76" spans="1:6">
      <c r="A76" s="1302" t="s">
        <v>64</v>
      </c>
      <c r="B76" s="1302" t="s">
        <v>695</v>
      </c>
      <c r="C76" s="1315" t="s">
        <v>699</v>
      </c>
      <c r="D76" s="1303">
        <v>2541646.6468663597</v>
      </c>
      <c r="E76" s="442"/>
      <c r="F76" s="324"/>
    </row>
    <row r="77" spans="1:6">
      <c r="A77" s="1302" t="s">
        <v>65</v>
      </c>
      <c r="B77" s="1302" t="s">
        <v>694</v>
      </c>
      <c r="C77" s="1315" t="s">
        <v>700</v>
      </c>
      <c r="D77" s="1303">
        <v>156034328</v>
      </c>
      <c r="E77" s="442"/>
      <c r="F77" s="324"/>
    </row>
    <row r="78" spans="1:6">
      <c r="A78" s="1297" t="s">
        <v>65</v>
      </c>
      <c r="B78" s="1297" t="s">
        <v>695</v>
      </c>
      <c r="C78" s="1297" t="s">
        <v>701</v>
      </c>
      <c r="D78" s="1305">
        <v>27696933</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280984.70626728074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3903.4339307744935</v>
      </c>
      <c r="C91" s="324"/>
      <c r="D91" s="324"/>
      <c r="E91" s="324"/>
      <c r="F91" s="324"/>
    </row>
    <row r="92" spans="1:6">
      <c r="A92" s="1297" t="s">
        <v>68</v>
      </c>
      <c r="B92" s="1298">
        <v>2668.7238437758097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1822</v>
      </c>
      <c r="C97" s="324"/>
      <c r="D97" s="324"/>
      <c r="E97" s="324"/>
      <c r="F97" s="324"/>
    </row>
    <row r="98" spans="1:6">
      <c r="A98" s="1302" t="s">
        <v>71</v>
      </c>
      <c r="B98" s="1303">
        <v>0</v>
      </c>
      <c r="C98" s="324"/>
      <c r="D98" s="324"/>
      <c r="E98" s="324"/>
      <c r="F98" s="324"/>
    </row>
    <row r="99" spans="1:6">
      <c r="A99" s="1302" t="s">
        <v>72</v>
      </c>
      <c r="B99" s="1303">
        <v>231</v>
      </c>
      <c r="C99" s="324"/>
      <c r="D99" s="324"/>
      <c r="E99" s="324"/>
      <c r="F99" s="324"/>
    </row>
    <row r="100" spans="1:6">
      <c r="A100" s="1302" t="s">
        <v>73</v>
      </c>
      <c r="B100" s="1303">
        <v>578</v>
      </c>
      <c r="C100" s="324"/>
      <c r="D100" s="324"/>
      <c r="E100" s="324"/>
      <c r="F100" s="324"/>
    </row>
    <row r="101" spans="1:6">
      <c r="A101" s="1302" t="s">
        <v>74</v>
      </c>
      <c r="B101" s="1303">
        <v>208</v>
      </c>
      <c r="C101" s="324"/>
      <c r="D101" s="324"/>
      <c r="E101" s="324"/>
      <c r="F101" s="324"/>
    </row>
    <row r="102" spans="1:6">
      <c r="A102" s="1302" t="s">
        <v>75</v>
      </c>
      <c r="B102" s="1303">
        <v>118</v>
      </c>
      <c r="C102" s="324"/>
      <c r="D102" s="324"/>
      <c r="E102" s="324"/>
      <c r="F102" s="324"/>
    </row>
    <row r="103" spans="1:6">
      <c r="A103" s="1302" t="s">
        <v>76</v>
      </c>
      <c r="B103" s="1303">
        <v>262</v>
      </c>
      <c r="C103" s="324"/>
      <c r="D103" s="324"/>
      <c r="E103" s="324"/>
      <c r="F103" s="324"/>
    </row>
    <row r="104" spans="1:6">
      <c r="A104" s="1302" t="s">
        <v>77</v>
      </c>
      <c r="B104" s="1303">
        <v>2094</v>
      </c>
      <c r="C104" s="324"/>
      <c r="D104" s="324"/>
      <c r="E104" s="324"/>
      <c r="F104" s="324"/>
    </row>
    <row r="105" spans="1:6">
      <c r="A105" s="1297" t="s">
        <v>78</v>
      </c>
      <c r="B105" s="1305">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2</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19</v>
      </c>
      <c r="C123" s="1303">
        <v>22</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258</v>
      </c>
      <c r="C129" s="324"/>
      <c r="D129" s="324"/>
      <c r="E129" s="324"/>
      <c r="F129" s="324"/>
    </row>
    <row r="130" spans="1:6">
      <c r="A130" s="1302" t="s">
        <v>284</v>
      </c>
      <c r="B130" s="1303">
        <v>3</v>
      </c>
      <c r="C130" s="324"/>
      <c r="D130" s="324"/>
      <c r="E130" s="324"/>
      <c r="F130" s="324"/>
    </row>
    <row r="131" spans="1:6">
      <c r="A131" s="1302" t="s">
        <v>285</v>
      </c>
      <c r="B131" s="1303">
        <v>2</v>
      </c>
      <c r="C131" s="324"/>
      <c r="D131" s="324"/>
      <c r="E131" s="324"/>
      <c r="F131" s="324"/>
    </row>
    <row r="132" spans="1:6">
      <c r="A132" s="1297" t="s">
        <v>286</v>
      </c>
      <c r="B132" s="1298">
        <v>29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73051.603852023822</v>
      </c>
      <c r="C3" s="43" t="s">
        <v>163</v>
      </c>
      <c r="D3" s="43"/>
      <c r="E3" s="154"/>
      <c r="F3" s="43"/>
      <c r="G3" s="43"/>
      <c r="H3" s="43"/>
      <c r="I3" s="43"/>
      <c r="J3" s="43"/>
      <c r="K3" s="96"/>
    </row>
    <row r="4" spans="1:11">
      <c r="A4" s="351" t="s">
        <v>164</v>
      </c>
      <c r="B4" s="49">
        <f>IF(ISERROR('SEAP template'!B78+'SEAP template'!C78),0,'SEAP template'!B78+'SEAP template'!C78)</f>
        <v>17699.982774550306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0.16745297314622548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15896.892857142857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1100.413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1100.413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0.16745297314622548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184.26742853875743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27377.794999999998</v>
      </c>
      <c r="C5" s="17">
        <f>IF(ISERROR('Eigen informatie GS &amp; warmtenet'!B57),0,'Eigen informatie GS &amp; warmtenet'!B57)</f>
        <v>0</v>
      </c>
      <c r="D5" s="30">
        <f>(SUM(HH_hh_gas_kWh,HH_rest_gas_kWh)/1000)*0.902</f>
        <v>43194.91827375412</v>
      </c>
      <c r="E5" s="17">
        <f>B32*B41</f>
        <v>1429.9839795985258</v>
      </c>
      <c r="F5" s="17">
        <f>B36*B45</f>
        <v>45111.533284755875</v>
      </c>
      <c r="G5" s="18"/>
      <c r="H5" s="17"/>
      <c r="I5" s="17"/>
      <c r="J5" s="17">
        <f>B35*B44+C35*C44</f>
        <v>1051.9992520486139</v>
      </c>
      <c r="K5" s="17"/>
      <c r="L5" s="17"/>
      <c r="M5" s="17"/>
      <c r="N5" s="17">
        <f>B34*B43+C34*C43</f>
        <v>7158.2034758245036</v>
      </c>
      <c r="O5" s="17">
        <f>B52*B53*B54</f>
        <v>439.29666666666668</v>
      </c>
      <c r="P5" s="17">
        <f>B60*B61*B62/1000-B60*B61*B62/1000/B63</f>
        <v>915.2</v>
      </c>
    </row>
    <row r="6" spans="1:16">
      <c r="A6" s="16" t="s">
        <v>618</v>
      </c>
      <c r="B6" s="755">
        <f>kWh_PV_kleiner_dan_10kW</f>
        <v>3903.4339307744935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31281.22893077449</v>
      </c>
      <c r="C8" s="21">
        <f>C5</f>
        <v>0</v>
      </c>
      <c r="D8" s="21">
        <f>D5</f>
        <v>43194.91827375412</v>
      </c>
      <c r="E8" s="21">
        <f>E5</f>
        <v>1429.9839795985258</v>
      </c>
      <c r="F8" s="21">
        <f>F5</f>
        <v>45111.533284755875</v>
      </c>
      <c r="G8" s="21"/>
      <c r="H8" s="21"/>
      <c r="I8" s="21"/>
      <c r="J8" s="21">
        <f>J5</f>
        <v>1051.9992520486139</v>
      </c>
      <c r="K8" s="21"/>
      <c r="L8" s="21">
        <f>L5</f>
        <v>0</v>
      </c>
      <c r="M8" s="21">
        <f>M5</f>
        <v>0</v>
      </c>
      <c r="N8" s="21">
        <f>N5</f>
        <v>7158.2034758245036</v>
      </c>
      <c r="O8" s="21">
        <f>O5</f>
        <v>439.29666666666668</v>
      </c>
      <c r="P8" s="21">
        <f>P5</f>
        <v>915.2</v>
      </c>
    </row>
    <row r="9" spans="1:16">
      <c r="B9" s="19"/>
      <c r="C9" s="19"/>
      <c r="D9" s="254"/>
      <c r="E9" s="19"/>
      <c r="F9" s="19"/>
      <c r="G9" s="19"/>
      <c r="H9" s="19"/>
      <c r="I9" s="19"/>
      <c r="J9" s="19"/>
      <c r="K9" s="19"/>
      <c r="L9" s="19"/>
      <c r="M9" s="19"/>
      <c r="N9" s="19"/>
      <c r="O9" s="19"/>
      <c r="P9" s="19"/>
    </row>
    <row r="10" spans="1:16">
      <c r="A10" s="24" t="s">
        <v>207</v>
      </c>
      <c r="B10" s="25">
        <f ca="1">'EF ele_warmte'!B12</f>
        <v>0.16745297314622548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5238.1347881259126</v>
      </c>
      <c r="C12" s="23">
        <f ca="1">C10*C8</f>
        <v>0</v>
      </c>
      <c r="D12" s="23">
        <f>D8*D10</f>
        <v>8725.3734912983327</v>
      </c>
      <c r="E12" s="23">
        <f>E10*E8</f>
        <v>324.60636336886535</v>
      </c>
      <c r="F12" s="23">
        <f>F10*F8</f>
        <v>12044.779387029819</v>
      </c>
      <c r="G12" s="23"/>
      <c r="H12" s="23"/>
      <c r="I12" s="23"/>
      <c r="J12" s="23">
        <f>J10*J8</f>
        <v>372.40773522520931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6082</v>
      </c>
      <c r="C26" s="36"/>
      <c r="D26" s="225"/>
    </row>
    <row r="27" spans="1:5" s="15" customFormat="1">
      <c r="A27" s="227" t="s">
        <v>721</v>
      </c>
      <c r="B27" s="37">
        <f>SUM(HH_hh_gas_aantal,HH_rest_gas_aantal)</f>
        <v>3361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3192.95</v>
      </c>
      <c r="C31" s="34" t="s">
        <v>104</v>
      </c>
      <c r="D31" s="171"/>
    </row>
    <row r="32" spans="1:5">
      <c r="A32" s="168" t="s">
        <v>72</v>
      </c>
      <c r="B32" s="33">
        <f>IF((B21*($B$26-($B$27-0.05*$B$27)-$B$60))&lt;0,0,B21*($B$26-($B$27-0.05*$B$27)-$B$60))</f>
        <v>17.913446558349442</v>
      </c>
      <c r="C32" s="34" t="s">
        <v>104</v>
      </c>
      <c r="D32" s="171"/>
    </row>
    <row r="33" spans="1:6">
      <c r="A33" s="168" t="s">
        <v>73</v>
      </c>
      <c r="B33" s="33">
        <f>IF((B22*($B$26-($B$27-0.05*$B$27)-$B$60))&lt;0,0,B22*($B$26-($B$27-0.05*$B$27)-$B$60))</f>
        <v>623.81128359879858</v>
      </c>
      <c r="C33" s="34" t="s">
        <v>104</v>
      </c>
      <c r="D33" s="171"/>
    </row>
    <row r="34" spans="1:6">
      <c r="A34" s="168" t="s">
        <v>74</v>
      </c>
      <c r="B34" s="33">
        <f>IF((B24*($B$26-($B$27-0.05*$B$27)-$B$60))&lt;0,0,B24*($B$26-($B$27-0.05*$B$27)-$B$60))</f>
        <v>123.8237800996032</v>
      </c>
      <c r="C34" s="33">
        <f>B26*C24</f>
        <v>1244.3752685058028</v>
      </c>
      <c r="D34" s="230"/>
    </row>
    <row r="35" spans="1:6">
      <c r="A35" s="168" t="s">
        <v>76</v>
      </c>
      <c r="B35" s="33">
        <f>IF((B19*($B$26-($B$27-0.05*$B$27)-$B$60))&lt;0,0,B19*($B$26-($B$27-0.05*$B$27)-$B$60))</f>
        <v>60.494958384832373</v>
      </c>
      <c r="C35" s="33">
        <f>B35/2</f>
        <v>30.247479192416186</v>
      </c>
      <c r="D35" s="230"/>
    </row>
    <row r="36" spans="1:6">
      <c r="A36" s="168" t="s">
        <v>77</v>
      </c>
      <c r="B36" s="33">
        <f>IF((B18*($B$26-($B$27-0.05*$B$27)-$B$60))&lt;0,0,B18*($B$26-($B$27-0.05*$B$27)-$B$60))</f>
        <v>2015.0065313584175</v>
      </c>
      <c r="C36" s="34" t="s">
        <v>104</v>
      </c>
      <c r="D36" s="171"/>
    </row>
    <row r="37" spans="1:6">
      <c r="A37" s="168" t="s">
        <v>78</v>
      </c>
      <c r="B37" s="33">
        <f>B60</f>
        <v>48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281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19126.508800000003</v>
      </c>
      <c r="C5" s="17">
        <f>IF(ISERROR('Eigen informatie GS &amp; warmtenet'!B58),0,'Eigen informatie GS &amp; warmtenet'!B58)</f>
        <v>0</v>
      </c>
      <c r="D5" s="30">
        <f>SUM(D6:D12)</f>
        <v>40823.731142826</v>
      </c>
      <c r="E5" s="17">
        <f>SUM(E6:E12)</f>
        <v>189.91395451927735</v>
      </c>
      <c r="F5" s="17">
        <f>SUM(F6:F12)</f>
        <v>3135.0391368241244</v>
      </c>
      <c r="G5" s="18"/>
      <c r="H5" s="17"/>
      <c r="I5" s="17"/>
      <c r="J5" s="17">
        <f>SUM(J6:J12)</f>
        <v>0</v>
      </c>
      <c r="K5" s="17"/>
      <c r="L5" s="17"/>
      <c r="M5" s="17"/>
      <c r="N5" s="17">
        <f>SUM(N6:N12)</f>
        <v>3814.8717568347565</v>
      </c>
      <c r="O5" s="17">
        <f>B38*B39*B40</f>
        <v>4.6900000000000004</v>
      </c>
      <c r="P5" s="17">
        <f>B46*B47*B48/1000-B46*B47*B48/1000/B49</f>
        <v>38.133333333333333</v>
      </c>
      <c r="R5" s="32"/>
    </row>
    <row r="6" spans="1:18">
      <c r="A6" s="32" t="s">
        <v>53</v>
      </c>
      <c r="B6" s="37">
        <f>B26</f>
        <v>2365.6219999999998</v>
      </c>
      <c r="C6" s="33"/>
      <c r="D6" s="37">
        <f>IF(ISERROR(TER_kantoor_gas_kWh/1000),0,TER_kantoor_gas_kWh/1000)*0.902</f>
        <v>2508.1945388492436</v>
      </c>
      <c r="E6" s="33">
        <f>$C$26*'E Balans VL '!I12/100/3.6*1000000</f>
        <v>6.8535540199616207</v>
      </c>
      <c r="F6" s="33">
        <f>$C$26*('E Balans VL '!L12+'E Balans VL '!N12)/100/3.6*1000000</f>
        <v>267.73629170645546</v>
      </c>
      <c r="G6" s="34"/>
      <c r="H6" s="33"/>
      <c r="I6" s="33"/>
      <c r="J6" s="33">
        <f>$C$26*('E Balans VL '!D12+'E Balans VL '!E12)/100/3.6*1000000</f>
        <v>0</v>
      </c>
      <c r="K6" s="33"/>
      <c r="L6" s="33"/>
      <c r="M6" s="33"/>
      <c r="N6" s="33">
        <f>$C$26*'E Balans VL '!Y12/100/3.6*1000000</f>
        <v>23.678133151884555</v>
      </c>
      <c r="O6" s="33"/>
      <c r="P6" s="33"/>
      <c r="R6" s="32"/>
    </row>
    <row r="7" spans="1:18">
      <c r="A7" s="32" t="s">
        <v>52</v>
      </c>
      <c r="B7" s="37">
        <f t="shared" ref="B7:B12" si="0">B27</f>
        <v>1781.3430000000001</v>
      </c>
      <c r="C7" s="33"/>
      <c r="D7" s="37">
        <f>IF(ISERROR(TER_horeca_gas_kWh/1000),0,TER_horeca_gas_kWh/1000)*0.902</f>
        <v>12824.840133264615</v>
      </c>
      <c r="E7" s="33">
        <f>$C$27*'E Balans VL '!I9/100/3.6*1000000</f>
        <v>74.775802166022089</v>
      </c>
      <c r="F7" s="33">
        <f>$C$27*('E Balans VL '!L9+'E Balans VL '!N9)/100/3.6*1000000</f>
        <v>382.75807342870667</v>
      </c>
      <c r="G7" s="34"/>
      <c r="H7" s="33"/>
      <c r="I7" s="33"/>
      <c r="J7" s="33">
        <f>$C$27*('E Balans VL '!D9+'E Balans VL '!E9)/100/3.6*1000000</f>
        <v>0</v>
      </c>
      <c r="K7" s="33"/>
      <c r="L7" s="33"/>
      <c r="M7" s="33"/>
      <c r="N7" s="33">
        <f>$C$27*'E Balans VL '!Y9/100/3.6*1000000</f>
        <v>0.45903651269032214</v>
      </c>
      <c r="O7" s="33"/>
      <c r="P7" s="33"/>
      <c r="R7" s="32"/>
    </row>
    <row r="8" spans="1:18">
      <c r="A8" s="6" t="s">
        <v>51</v>
      </c>
      <c r="B8" s="37">
        <f t="shared" si="0"/>
        <v>4861.1139999999996</v>
      </c>
      <c r="C8" s="33"/>
      <c r="D8" s="37">
        <f>IF(ISERROR(TER_handel_gas_kWh/1000),0,TER_handel_gas_kWh/1000)*0.902</f>
        <v>1929.1899834475976</v>
      </c>
      <c r="E8" s="33">
        <f>$C$28*'E Balans VL '!I13/100/3.6*1000000</f>
        <v>52.212410150174172</v>
      </c>
      <c r="F8" s="33">
        <f>$C$28*('E Balans VL '!L13+'E Balans VL '!N13)/100/3.6*1000000</f>
        <v>629.3113495518877</v>
      </c>
      <c r="G8" s="34"/>
      <c r="H8" s="33"/>
      <c r="I8" s="33"/>
      <c r="J8" s="33">
        <f>$C$28*('E Balans VL '!D13+'E Balans VL '!E13)/100/3.6*1000000</f>
        <v>0</v>
      </c>
      <c r="K8" s="33"/>
      <c r="L8" s="33"/>
      <c r="M8" s="33"/>
      <c r="N8" s="33">
        <f>$C$28*'E Balans VL '!Y13/100/3.6*1000000</f>
        <v>39.433622196365093</v>
      </c>
      <c r="O8" s="33"/>
      <c r="P8" s="33"/>
      <c r="R8" s="32"/>
    </row>
    <row r="9" spans="1:18">
      <c r="A9" s="32" t="s">
        <v>50</v>
      </c>
      <c r="B9" s="37">
        <f t="shared" si="0"/>
        <v>841.52200000000005</v>
      </c>
      <c r="C9" s="33"/>
      <c r="D9" s="37">
        <f>IF(ISERROR(TER_gezond_gas_kWh/1000),0,TER_gezond_gas_kWh/1000)*0.902</f>
        <v>1989.6049733258872</v>
      </c>
      <c r="E9" s="33">
        <f>$C$29*'E Balans VL '!I10/100/3.6*1000000</f>
        <v>0.66990594018478589</v>
      </c>
      <c r="F9" s="33">
        <f>$C$29*('E Balans VL '!L10+'E Balans VL '!N10)/100/3.6*1000000</f>
        <v>102.29916018825415</v>
      </c>
      <c r="G9" s="34"/>
      <c r="H9" s="33"/>
      <c r="I9" s="33"/>
      <c r="J9" s="33">
        <f>$C$29*('E Balans VL '!D10+'E Balans VL '!E10)/100/3.6*1000000</f>
        <v>0</v>
      </c>
      <c r="K9" s="33"/>
      <c r="L9" s="33"/>
      <c r="M9" s="33"/>
      <c r="N9" s="33">
        <f>$C$29*'E Balans VL '!Y10/100/3.6*1000000</f>
        <v>6.7975917693945194</v>
      </c>
      <c r="O9" s="33"/>
      <c r="P9" s="33"/>
      <c r="R9" s="32"/>
    </row>
    <row r="10" spans="1:18">
      <c r="A10" s="32" t="s">
        <v>49</v>
      </c>
      <c r="B10" s="37">
        <f t="shared" si="0"/>
        <v>4795.4440000000004</v>
      </c>
      <c r="C10" s="33"/>
      <c r="D10" s="37">
        <f>IF(ISERROR(TER_ander_gas_kWh/1000),0,TER_ander_gas_kWh/1000)*0.902</f>
        <v>18979.291999734152</v>
      </c>
      <c r="E10" s="33">
        <f>$C$30*'E Balans VL '!I14/100/3.6*1000000</f>
        <v>16.43423850833511</v>
      </c>
      <c r="F10" s="33">
        <f>$C$30*('E Balans VL '!L14+'E Balans VL '!N14)/100/3.6*1000000</f>
        <v>1071.1073257101245</v>
      </c>
      <c r="G10" s="34"/>
      <c r="H10" s="33"/>
      <c r="I10" s="33"/>
      <c r="J10" s="33">
        <f>$C$30*('E Balans VL '!D14+'E Balans VL '!E14)/100/3.6*1000000</f>
        <v>0</v>
      </c>
      <c r="K10" s="33"/>
      <c r="L10" s="33"/>
      <c r="M10" s="33"/>
      <c r="N10" s="33">
        <f>$C$30*'E Balans VL '!Y14/100/3.6*1000000</f>
        <v>3377.9369505984914</v>
      </c>
      <c r="O10" s="33"/>
      <c r="P10" s="33"/>
      <c r="R10" s="32"/>
    </row>
    <row r="11" spans="1:18">
      <c r="A11" s="32" t="s">
        <v>54</v>
      </c>
      <c r="B11" s="37">
        <f t="shared" si="0"/>
        <v>185.57679999999999</v>
      </c>
      <c r="C11" s="33"/>
      <c r="D11" s="37">
        <f>IF(ISERROR(TER_onderwijs_gas_kWh/1000),0,TER_onderwijs_gas_kWh/1000)*0.902</f>
        <v>339.15337851929382</v>
      </c>
      <c r="E11" s="33">
        <f>$C$31*'E Balans VL '!I11/100/3.6*1000000</f>
        <v>0.1282835265243624</v>
      </c>
      <c r="F11" s="33">
        <f>$C$31*('E Balans VL '!L11+'E Balans VL '!N11)/100/3.6*1000000</f>
        <v>48.578615599723712</v>
      </c>
      <c r="G11" s="34"/>
      <c r="H11" s="33"/>
      <c r="I11" s="33"/>
      <c r="J11" s="33">
        <f>$C$31*('E Balans VL '!D11+'E Balans VL '!E11)/100/3.6*1000000</f>
        <v>0</v>
      </c>
      <c r="K11" s="33"/>
      <c r="L11" s="33"/>
      <c r="M11" s="33"/>
      <c r="N11" s="33">
        <f>$C$31*'E Balans VL '!Y11/100/3.6*1000000</f>
        <v>0.18472589820119006</v>
      </c>
      <c r="O11" s="33"/>
      <c r="P11" s="33"/>
      <c r="R11" s="32"/>
    </row>
    <row r="12" spans="1:18">
      <c r="A12" s="32" t="s">
        <v>249</v>
      </c>
      <c r="B12" s="37">
        <f t="shared" si="0"/>
        <v>4295.8869999999997</v>
      </c>
      <c r="C12" s="33"/>
      <c r="D12" s="37">
        <f>IF(ISERROR(TER_rest_gas_kWh/1000),0,TER_rest_gas_kWh/1000)*0.902</f>
        <v>2253.4561356852096</v>
      </c>
      <c r="E12" s="33">
        <f>$C$32*'E Balans VL '!I8/100/3.6*1000000</f>
        <v>38.839760208075205</v>
      </c>
      <c r="F12" s="33">
        <f>$C$32*('E Balans VL '!L8+'E Balans VL '!N8)/100/3.6*1000000</f>
        <v>633.24832063897225</v>
      </c>
      <c r="G12" s="34"/>
      <c r="H12" s="33"/>
      <c r="I12" s="33"/>
      <c r="J12" s="33">
        <f>$C$32*('E Balans VL '!D8+'E Balans VL '!E8)/100/3.6*1000000</f>
        <v>0</v>
      </c>
      <c r="K12" s="33"/>
      <c r="L12" s="33"/>
      <c r="M12" s="33"/>
      <c r="N12" s="33">
        <f>$C$32*'E Balans VL '!Y8/100/3.6*1000000</f>
        <v>366.38169670772959</v>
      </c>
      <c r="O12" s="33"/>
      <c r="P12" s="33"/>
      <c r="R12" s="32"/>
    </row>
    <row r="13" spans="1:18">
      <c r="A13" s="16" t="s">
        <v>481</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19126.508800000003</v>
      </c>
      <c r="C16" s="21">
        <f t="shared" ca="1" si="1"/>
        <v>0</v>
      </c>
      <c r="D16" s="21">
        <f t="shared" ca="1" si="1"/>
        <v>40823.731142826</v>
      </c>
      <c r="E16" s="21">
        <f t="shared" si="1"/>
        <v>189.91395451927735</v>
      </c>
      <c r="F16" s="21">
        <f t="shared" ca="1" si="1"/>
        <v>3135.0391368241244</v>
      </c>
      <c r="G16" s="21">
        <f t="shared" si="1"/>
        <v>0</v>
      </c>
      <c r="H16" s="21">
        <f t="shared" si="1"/>
        <v>0</v>
      </c>
      <c r="I16" s="21">
        <f t="shared" si="1"/>
        <v>0</v>
      </c>
      <c r="J16" s="21">
        <f t="shared" si="1"/>
        <v>0</v>
      </c>
      <c r="K16" s="21">
        <f t="shared" si="1"/>
        <v>0</v>
      </c>
      <c r="L16" s="21">
        <f t="shared" ca="1" si="1"/>
        <v>0</v>
      </c>
      <c r="M16" s="21">
        <f t="shared" si="1"/>
        <v>0</v>
      </c>
      <c r="N16" s="21">
        <f t="shared" ca="1" si="1"/>
        <v>3814.8717568347565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0.16745297314622548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3202.790764467446</v>
      </c>
      <c r="C20" s="23">
        <f t="shared" ref="C20:P20" ca="1" si="2">C16*C18</f>
        <v>0</v>
      </c>
      <c r="D20" s="23">
        <f t="shared" ca="1" si="2"/>
        <v>8246.3936908508531</v>
      </c>
      <c r="E20" s="23">
        <f t="shared" si="2"/>
        <v>43.11046767587596</v>
      </c>
      <c r="F20" s="23">
        <f t="shared" ca="1" si="2"/>
        <v>837.05544953204128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2365.6219999999998</v>
      </c>
      <c r="C26" s="39">
        <f>IF(ISERROR(B26*3.6/1000000/'E Balans VL '!Z12*100),0,B26*3.6/1000000/'E Balans VL '!Z12*100)</f>
        <v>5.1963622162900638E-2</v>
      </c>
      <c r="D26" s="233" t="s">
        <v>676</v>
      </c>
      <c r="F26" s="6"/>
    </row>
    <row r="27" spans="1:18">
      <c r="A27" s="228" t="s">
        <v>52</v>
      </c>
      <c r="B27" s="33">
        <f>IF(ISERROR(TER_horeca_ele_kWh/1000),0,TER_horeca_ele_kWh/1000)</f>
        <v>1781.3430000000001</v>
      </c>
      <c r="C27" s="39">
        <f>IF(ISERROR(B27*3.6/1000000/'E Balans VL '!Z9*100),0,B27*3.6/1000000/'E Balans VL '!Z9*100)</f>
        <v>0.14314866668674905</v>
      </c>
      <c r="D27" s="233" t="s">
        <v>676</v>
      </c>
      <c r="F27" s="6"/>
    </row>
    <row r="28" spans="1:18">
      <c r="A28" s="168" t="s">
        <v>51</v>
      </c>
      <c r="B28" s="33">
        <f>IF(ISERROR(TER_handel_ele_kWh/1000),0,TER_handel_ele_kWh/1000)</f>
        <v>4861.1139999999996</v>
      </c>
      <c r="C28" s="39">
        <f>IF(ISERROR(B28*3.6/1000000/'E Balans VL '!Z13*100),0,B28*3.6/1000000/'E Balans VL '!Z13*100)</f>
        <v>0.14373974493445427</v>
      </c>
      <c r="D28" s="233" t="s">
        <v>676</v>
      </c>
      <c r="F28" s="6"/>
    </row>
    <row r="29" spans="1:18">
      <c r="A29" s="228" t="s">
        <v>50</v>
      </c>
      <c r="B29" s="33">
        <f>IF(ISERROR(TER_gezond_ele_kWh/1000),0,TER_gezond_ele_kWh/1000)</f>
        <v>841.52200000000005</v>
      </c>
      <c r="C29" s="39">
        <f>IF(ISERROR(B29*3.6/1000000/'E Balans VL '!Z10*100),0,B29*3.6/1000000/'E Balans VL '!Z10*100)</f>
        <v>9.4817803217127877E-2</v>
      </c>
      <c r="D29" s="233" t="s">
        <v>676</v>
      </c>
      <c r="F29" s="6"/>
    </row>
    <row r="30" spans="1:18">
      <c r="A30" s="228" t="s">
        <v>49</v>
      </c>
      <c r="B30" s="33">
        <f>IF(ISERROR(TER_ander_ele_kWh/1000),0,TER_ander_ele_kWh/1000)</f>
        <v>4795.4440000000004</v>
      </c>
      <c r="C30" s="39">
        <f>IF(ISERROR(B30*3.6/1000000/'E Balans VL '!Z14*100),0,B30*3.6/1000000/'E Balans VL '!Z14*100)</f>
        <v>0.36267123227876097</v>
      </c>
      <c r="D30" s="233" t="s">
        <v>676</v>
      </c>
      <c r="F30" s="6"/>
    </row>
    <row r="31" spans="1:18">
      <c r="A31" s="228" t="s">
        <v>54</v>
      </c>
      <c r="B31" s="33">
        <f>IF(ISERROR(TER_onderwijs_ele_kWh/1000),0,TER_onderwijs_ele_kWh/1000)</f>
        <v>185.57679999999999</v>
      </c>
      <c r="C31" s="39">
        <f>IF(ISERROR(B31*3.6/1000000/'E Balans VL '!Z11*100),0,B31*3.6/1000000/'E Balans VL '!Z11*100)</f>
        <v>3.8521435699531419E-2</v>
      </c>
      <c r="D31" s="233" t="s">
        <v>676</v>
      </c>
    </row>
    <row r="32" spans="1:18">
      <c r="A32" s="228" t="s">
        <v>249</v>
      </c>
      <c r="B32" s="33">
        <f>IF(ISERROR(TER_rest_ele_kWh/1000),0,TER_rest_ele_kWh/1000)</f>
        <v>4295.8869999999997</v>
      </c>
      <c r="C32" s="39">
        <f>IF(ISERROR(B32*3.6/1000000/'E Balans VL '!Z8*100),0,B32*3.6/1000000/'E Balans VL '!Z8*100)</f>
        <v>3.6190320790260105E-2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16114.524970000002</v>
      </c>
      <c r="C5" s="17">
        <f>IF(ISERROR('Eigen informatie GS &amp; warmtenet'!B59),0,'Eigen informatie GS &amp; warmtenet'!B59)</f>
        <v>0</v>
      </c>
      <c r="D5" s="30">
        <f>SUM(D6:D15)</f>
        <v>17997.711634424068</v>
      </c>
      <c r="E5" s="17">
        <f>SUM(E6:E15)</f>
        <v>1803.5593087150676</v>
      </c>
      <c r="F5" s="17">
        <f>SUM(F6:F15)</f>
        <v>8217.9708196800511</v>
      </c>
      <c r="G5" s="18"/>
      <c r="H5" s="17"/>
      <c r="I5" s="17"/>
      <c r="J5" s="17">
        <f>SUM(J6:J15)</f>
        <v>53.700732780364049</v>
      </c>
      <c r="K5" s="17"/>
      <c r="L5" s="17"/>
      <c r="M5" s="17"/>
      <c r="N5" s="17">
        <f>SUM(N6:N15)</f>
        <v>1385.9010486138159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2690.4250000000002</v>
      </c>
      <c r="C8" s="33"/>
      <c r="D8" s="37">
        <f>IF( ISERROR(IND_metaal_Gas_kWH/1000),0,IND_metaal_Gas_kWH/1000)*0.902</f>
        <v>206.17379100654551</v>
      </c>
      <c r="E8" s="33">
        <f>C30*'E Balans VL '!I18/100/3.6*1000000</f>
        <v>67.331921464230774</v>
      </c>
      <c r="F8" s="33">
        <f>C30*'E Balans VL '!L18/100/3.6*1000000+C30*'E Balans VL '!N18/100/3.6*1000000</f>
        <v>843.19257786220351</v>
      </c>
      <c r="G8" s="34"/>
      <c r="H8" s="33"/>
      <c r="I8" s="33"/>
      <c r="J8" s="40">
        <f>C30*'E Balans VL '!D18/100/3.6*1000000+C30*'E Balans VL '!E18/100/3.6*1000000</f>
        <v>0</v>
      </c>
      <c r="K8" s="33"/>
      <c r="L8" s="33"/>
      <c r="M8" s="33"/>
      <c r="N8" s="33">
        <f>C30*'E Balans VL '!Y18/100/3.6*1000000</f>
        <v>67.590458261732934</v>
      </c>
      <c r="O8" s="33"/>
      <c r="P8" s="33"/>
      <c r="R8" s="32"/>
    </row>
    <row r="9" spans="1:18">
      <c r="A9" s="6" t="s">
        <v>32</v>
      </c>
      <c r="B9" s="37">
        <f t="shared" si="0"/>
        <v>4927.4269999999997</v>
      </c>
      <c r="C9" s="33"/>
      <c r="D9" s="37">
        <f>IF( ISERROR(IND_andere_gas_kWh/1000),0,IND_andere_gas_kWh/1000)*0.902</f>
        <v>871.29734877230442</v>
      </c>
      <c r="E9" s="33">
        <f>C31*'E Balans VL '!I19/100/3.6*1000000</f>
        <v>1354.8403263076584</v>
      </c>
      <c r="F9" s="33">
        <f>C31*'E Balans VL '!L19/100/3.6*1000000+C31*'E Balans VL '!N19/100/3.6*1000000</f>
        <v>3883.6699098600016</v>
      </c>
      <c r="G9" s="34"/>
      <c r="H9" s="33"/>
      <c r="I9" s="33"/>
      <c r="J9" s="40">
        <f>C31*'E Balans VL '!D19/100/3.6*1000000+C31*'E Balans VL '!E19/100/3.6*1000000</f>
        <v>0</v>
      </c>
      <c r="K9" s="33"/>
      <c r="L9" s="33"/>
      <c r="M9" s="33"/>
      <c r="N9" s="33">
        <f>C31*'E Balans VL '!Y19/100/3.6*1000000</f>
        <v>396.95662416509231</v>
      </c>
      <c r="O9" s="33"/>
      <c r="P9" s="33"/>
      <c r="R9" s="32"/>
    </row>
    <row r="10" spans="1:18">
      <c r="A10" s="6" t="s">
        <v>40</v>
      </c>
      <c r="B10" s="37">
        <f t="shared" si="0"/>
        <v>965.27650000000006</v>
      </c>
      <c r="C10" s="33"/>
      <c r="D10" s="37">
        <f>IF( ISERROR(IND_voed_gas_kWh/1000),0,IND_voed_gas_kWh/1000)*0.902</f>
        <v>563.28896527815868</v>
      </c>
      <c r="E10" s="33">
        <f>C32*'E Balans VL '!I20/100/3.6*1000000</f>
        <v>9.8404621436418349</v>
      </c>
      <c r="F10" s="33">
        <f>C32*'E Balans VL '!L20/100/3.6*1000000+C32*'E Balans VL '!N20/100/3.6*1000000</f>
        <v>1823.4012712782715</v>
      </c>
      <c r="G10" s="34"/>
      <c r="H10" s="33"/>
      <c r="I10" s="33"/>
      <c r="J10" s="40">
        <f>C32*'E Balans VL '!D20/100/3.6*1000000+C32*'E Balans VL '!E20/100/3.6*1000000</f>
        <v>23.102225044007326</v>
      </c>
      <c r="K10" s="33"/>
      <c r="L10" s="33"/>
      <c r="M10" s="33"/>
      <c r="N10" s="33">
        <f>C32*'E Balans VL '!Y20/100/3.6*1000000</f>
        <v>508.81190171874931</v>
      </c>
      <c r="O10" s="33"/>
      <c r="P10" s="33"/>
      <c r="R10" s="32"/>
    </row>
    <row r="11" spans="1:18">
      <c r="A11" s="6" t="s">
        <v>39</v>
      </c>
      <c r="B11" s="37">
        <f t="shared" si="0"/>
        <v>21.45327</v>
      </c>
      <c r="C11" s="33"/>
      <c r="D11" s="37">
        <f>IF( ISERROR(IND_textiel_gas_kWh/1000),0,IND_textiel_gas_kWh/1000)*0.902</f>
        <v>0</v>
      </c>
      <c r="E11" s="33">
        <f>C33*'E Balans VL '!I21/100/3.6*1000000</f>
        <v>5.6861660815168552E-2</v>
      </c>
      <c r="F11" s="33">
        <f>C33*'E Balans VL '!L21/100/3.6*1000000+C33*'E Balans VL '!N21/100/3.6*1000000</f>
        <v>0.95812516889590038</v>
      </c>
      <c r="G11" s="34"/>
      <c r="H11" s="33"/>
      <c r="I11" s="33"/>
      <c r="J11" s="40">
        <f>C33*'E Balans VL '!D21/100/3.6*1000000+C33*'E Balans VL '!E21/100/3.6*1000000</f>
        <v>0</v>
      </c>
      <c r="K11" s="33"/>
      <c r="L11" s="33"/>
      <c r="M11" s="33"/>
      <c r="N11" s="33">
        <f>C33*'E Balans VL '!Y21/100/3.6*1000000</f>
        <v>0.20218173404919257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216.4752</v>
      </c>
      <c r="C13" s="33"/>
      <c r="D13" s="37">
        <f>IF( ISERROR(IND_papier_gas_kWh/1000),0,IND_papier_gas_kWh/1000)*0.902</f>
        <v>0</v>
      </c>
      <c r="E13" s="33">
        <f>C35*'E Balans VL '!I23/100/3.6*1000000</f>
        <v>0.44833475092415581</v>
      </c>
      <c r="F13" s="33">
        <f>C35*'E Balans VL '!L23/100/3.6*1000000+C35*'E Balans VL '!N23/100/3.6*1000000</f>
        <v>4.2931673019428862</v>
      </c>
      <c r="G13" s="34"/>
      <c r="H13" s="33"/>
      <c r="I13" s="33"/>
      <c r="J13" s="40">
        <f>C35*'E Balans VL '!D23/100/3.6*1000000+C35*'E Balans VL '!E23/100/3.6*1000000</f>
        <v>0</v>
      </c>
      <c r="K13" s="33"/>
      <c r="L13" s="33"/>
      <c r="M13" s="33"/>
      <c r="N13" s="33">
        <f>C35*'E Balans VL '!Y23/100/3.6*1000000</f>
        <v>15.013649304044701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7293.4679999999998</v>
      </c>
      <c r="C15" s="33"/>
      <c r="D15" s="37">
        <f>IF( ISERROR(IND_rest_gas_kWh/1000),0,IND_rest_gas_kWh/1000)*0.902</f>
        <v>16356.951529367059</v>
      </c>
      <c r="E15" s="33">
        <f>C37*'E Balans VL '!I15/100/3.6*1000000</f>
        <v>371.04140238779695</v>
      </c>
      <c r="F15" s="33">
        <f>C37*'E Balans VL '!L15/100/3.6*1000000+C37*'E Balans VL '!N15/100/3.6*1000000</f>
        <v>1662.4557682087361</v>
      </c>
      <c r="G15" s="34"/>
      <c r="H15" s="33"/>
      <c r="I15" s="33"/>
      <c r="J15" s="40">
        <f>C37*'E Balans VL '!D15/100/3.6*1000000+C37*'E Balans VL '!E15/100/3.6*1000000</f>
        <v>30.598507736356719</v>
      </c>
      <c r="K15" s="33"/>
      <c r="L15" s="33"/>
      <c r="M15" s="33"/>
      <c r="N15" s="33">
        <f>C37*'E Balans VL '!Y15/100/3.6*1000000</f>
        <v>397.32623343014734</v>
      </c>
      <c r="O15" s="33"/>
      <c r="P15" s="33"/>
      <c r="R15" s="32"/>
    </row>
    <row r="16" spans="1:18">
      <c r="A16" s="16" t="s">
        <v>481</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16114.524970000002</v>
      </c>
      <c r="C18" s="21">
        <f>C5+C16</f>
        <v>0</v>
      </c>
      <c r="D18" s="21">
        <f>MAX((D5+D16),0)</f>
        <v>17997.711634424068</v>
      </c>
      <c r="E18" s="21">
        <f>MAX((E5+E16),0)</f>
        <v>1803.5593087150676</v>
      </c>
      <c r="F18" s="21">
        <f>MAX((F5+F16),0)</f>
        <v>8217.9708196800511</v>
      </c>
      <c r="G18" s="21"/>
      <c r="H18" s="21"/>
      <c r="I18" s="21"/>
      <c r="J18" s="21">
        <f>MAX((J5+J16),0)</f>
        <v>53.700732780364049</v>
      </c>
      <c r="K18" s="21"/>
      <c r="L18" s="21">
        <f>MAX((L5+L16),0)</f>
        <v>0</v>
      </c>
      <c r="M18" s="21"/>
      <c r="N18" s="21">
        <f>MAX((N5+N16),0)</f>
        <v>1385.9010486138159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0.16745297314622548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2698.4251170655903</v>
      </c>
      <c r="C22" s="23">
        <f ca="1">C18*C20</f>
        <v>0</v>
      </c>
      <c r="D22" s="23">
        <f>D18*D20</f>
        <v>3635.5377501536618</v>
      </c>
      <c r="E22" s="23">
        <f>E18*E20</f>
        <v>409.40796307832034</v>
      </c>
      <c r="F22" s="23">
        <f>F18*F20</f>
        <v>2194.1982088545737</v>
      </c>
      <c r="G22" s="23"/>
      <c r="H22" s="23"/>
      <c r="I22" s="23"/>
      <c r="J22" s="23">
        <f>J18*J20</f>
        <v>19.010059404248871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2690.4250000000002</v>
      </c>
      <c r="C30" s="39">
        <f>IF(ISERROR(B30*3.6/1000000/'E Balans VL '!Z18*100),0,B30*3.6/1000000/'E Balans VL '!Z18*100)</f>
        <v>0.37656984059638027</v>
      </c>
      <c r="D30" s="233" t="s">
        <v>676</v>
      </c>
    </row>
    <row r="31" spans="1:18">
      <c r="A31" s="6" t="s">
        <v>32</v>
      </c>
      <c r="B31" s="37">
        <f>IF( ISERROR(IND_ander_ele_kWh/1000),0,IND_ander_ele_kWh/1000)</f>
        <v>4927.4269999999997</v>
      </c>
      <c r="C31" s="39">
        <f>IF(ISERROR(B31*3.6/1000000/'E Balans VL '!Z19*100),0,B31*3.6/1000000/'E Balans VL '!Z19*100)</f>
        <v>0.21567268044777455</v>
      </c>
      <c r="D31" s="233" t="s">
        <v>676</v>
      </c>
    </row>
    <row r="32" spans="1:18">
      <c r="A32" s="168" t="s">
        <v>40</v>
      </c>
      <c r="B32" s="37">
        <f>IF( ISERROR(IND_voed_ele_kWh/1000),0,IND_voed_ele_kWh/1000)</f>
        <v>965.27650000000006</v>
      </c>
      <c r="C32" s="39">
        <f>IF(ISERROR(B32*3.6/1000000/'E Balans VL '!Z20*100),0,B32*3.6/1000000/'E Balans VL '!Z20*100)</f>
        <v>0.23897040614857568</v>
      </c>
      <c r="D32" s="233" t="s">
        <v>676</v>
      </c>
    </row>
    <row r="33" spans="1:5">
      <c r="A33" s="168" t="s">
        <v>39</v>
      </c>
      <c r="B33" s="37">
        <f>IF( ISERROR(IND_textiel_ele_kWh/1000),0,IND_textiel_ele_kWh/1000)</f>
        <v>21.45327</v>
      </c>
      <c r="C33" s="39">
        <f>IF(ISERROR(B33*3.6/1000000/'E Balans VL '!Z21*100),0,B33*3.6/1000000/'E Balans VL '!Z21*100)</f>
        <v>2.4174056261673234E-3</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216.4752</v>
      </c>
      <c r="C35" s="39">
        <f>IF(ISERROR(B35*3.6/1000000/'E Balans VL '!Z22*100),0,B35*3.6/1000000/'E Balans VL '!Z22*100)</f>
        <v>6.1426830046495623E-3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7293.4679999999998</v>
      </c>
      <c r="C37" s="39">
        <f>IF(ISERROR(B37*3.6/1000000/'E Balans VL '!Z15*100),0,B37*3.6/1000000/'E Balans VL '!Z15*100)</f>
        <v>5.4079816525438085E-2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4432.5461999999998</v>
      </c>
      <c r="C5" s="17">
        <f>'Eigen informatie GS &amp; warmtenet'!B60</f>
        <v>0</v>
      </c>
      <c r="D5" s="30">
        <f>IF(ISERROR(SUM(LB_lb_gas_kWh,LB_rest_gas_kWh)/1000),0,SUM(LB_lb_gas_kWh,LB_rest_gas_kWh)/1000)*0.902</f>
        <v>265.4278243021032</v>
      </c>
      <c r="E5" s="17">
        <f>B17*'E Balans VL '!I25/3.6*1000000/100</f>
        <v>41.056099425403545</v>
      </c>
      <c r="F5" s="17">
        <f>B17*('E Balans VL '!L25/3.6*1000000+'E Balans VL '!N25/3.6*1000000)/100</f>
        <v>11246.214108584563</v>
      </c>
      <c r="G5" s="18"/>
      <c r="H5" s="17"/>
      <c r="I5" s="17"/>
      <c r="J5" s="17">
        <f>('E Balans VL '!D25+'E Balans VL '!E25)/3.6*1000000*landbouw!B17/100</f>
        <v>679.55879981996725</v>
      </c>
      <c r="K5" s="17"/>
      <c r="L5" s="17">
        <f>L6*(-1)</f>
        <v>0</v>
      </c>
      <c r="M5" s="17"/>
      <c r="N5" s="17">
        <f>N6*(-1)</f>
        <v>31793.785714285714</v>
      </c>
      <c r="O5" s="17"/>
      <c r="P5" s="17"/>
      <c r="R5" s="32"/>
    </row>
    <row r="6" spans="1:18">
      <c r="A6" s="16" t="s">
        <v>481</v>
      </c>
      <c r="B6" s="17" t="s">
        <v>204</v>
      </c>
      <c r="C6" s="17">
        <f>'lokale energieproductie'!O41+'lokale energieproductie'!O34</f>
        <v>15896.892857142857</v>
      </c>
      <c r="D6" s="302">
        <f>('lokale energieproductie'!P34+'lokale energieproductie'!P41)*(-1)</f>
        <v>0</v>
      </c>
      <c r="E6" s="244"/>
      <c r="F6" s="302">
        <f>('lokale energieproductie'!S34+'lokale energieproductie'!S870)*(-1)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-31793.785714285714</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4432.5461999999998</v>
      </c>
      <c r="C8" s="21">
        <f>C5+C6</f>
        <v>15896.892857142857</v>
      </c>
      <c r="D8" s="21">
        <f>MAX((D5+D6),0)</f>
        <v>265.4278243021032</v>
      </c>
      <c r="E8" s="21">
        <f>MAX((E5+E6),0)</f>
        <v>41.056099425403545</v>
      </c>
      <c r="F8" s="21">
        <f>MAX((F5+F6),0)</f>
        <v>11246.214108584563</v>
      </c>
      <c r="G8" s="21"/>
      <c r="H8" s="21"/>
      <c r="I8" s="21"/>
      <c r="J8" s="21">
        <f>MAX((J5+J6),0)</f>
        <v>679.55879981996725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0.16745297314622548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742.24303979800379</v>
      </c>
      <c r="C12" s="23">
        <f ca="1">C8*C10</f>
        <v>0</v>
      </c>
      <c r="D12" s="23">
        <f>D8*D10</f>
        <v>53.616420509024849</v>
      </c>
      <c r="E12" s="23">
        <f>E8*E10</f>
        <v>9.3197345695666058</v>
      </c>
      <c r="F12" s="23">
        <f>F8*F10</f>
        <v>3002.7391669920785</v>
      </c>
      <c r="G12" s="23"/>
      <c r="H12" s="23"/>
      <c r="I12" s="23"/>
      <c r="J12" s="23">
        <f>J8*J10</f>
        <v>240.5638151362684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0.63021408341512852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1012.7302481583602</v>
      </c>
      <c r="C26" s="243">
        <f>B26*'GWP N2O_CH4'!B5</f>
        <v>21267.335211325564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432.16799567568052</v>
      </c>
      <c r="C27" s="243">
        <f>B27*'GWP N2O_CH4'!B5</f>
        <v>9075.5279091892917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14.506477060391678</v>
      </c>
      <c r="C28" s="243">
        <f>B28*'GWP N2O_CH4'!B4</f>
        <v>4497.0078887214204</v>
      </c>
      <c r="D28" s="50"/>
    </row>
    <row r="29" spans="1:4">
      <c r="A29" s="41" t="s">
        <v>266</v>
      </c>
      <c r="B29" s="243">
        <f>B34*'ha_N2O bodem landbouw'!B4</f>
        <v>30.795249810585787</v>
      </c>
      <c r="C29" s="243">
        <f>B29*'GWP N2O_CH4'!B4</f>
        <v>9546.5274412815943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6.9068320030406692E-3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1.3026317444672864E-4</v>
      </c>
      <c r="C5" s="430" t="s">
        <v>204</v>
      </c>
      <c r="D5" s="415">
        <f>SUM(D6:D11)</f>
        <v>1.834884271563974E-4</v>
      </c>
      <c r="E5" s="415">
        <f>SUM(E6:E11)</f>
        <v>2.0364780472667868E-3</v>
      </c>
      <c r="F5" s="428" t="s">
        <v>204</v>
      </c>
      <c r="G5" s="415">
        <f>SUM(G6:G11)</f>
        <v>0.76190397975265278</v>
      </c>
      <c r="H5" s="415">
        <f>SUM(H6:H11)</f>
        <v>0.1090808501139847</v>
      </c>
      <c r="I5" s="430" t="s">
        <v>204</v>
      </c>
      <c r="J5" s="430" t="s">
        <v>204</v>
      </c>
      <c r="K5" s="430" t="s">
        <v>204</v>
      </c>
      <c r="L5" s="430" t="s">
        <v>204</v>
      </c>
      <c r="M5" s="415">
        <f>SUM(M6:M11)</f>
        <v>4.7500300233711386E-2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2.6804646445416487E-5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4.0484078235888932E-5</v>
      </c>
      <c r="E6" s="858">
        <f>vkm_GW_PW*SUMIFS(TableVerdeelsleutelVkm[LPG],TableVerdeelsleutelVkm[Voertuigtype],"Lichte voertuigen")*SUMIFS(TableECFTransport[EnergieConsumptieFactor (PJ per km)],TableECFTransport[Index],CONCATENATE($A6,"_LPG_LPG"))</f>
        <v>3.9874831503556549E-4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9.1225237962628394E-2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2.3541835817055677E-2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6.0070730149674708E-3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1.2526386144864999E-6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4.8076791832693838E-2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9.0905658484959582E-7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2.7873829895678623E-3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1.3694695517659662E-5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3.1200944763103226E-5</v>
      </c>
      <c r="E8" s="418">
        <f>vkm_NGW_PW*SUMIFS(TableVerdeelsleutelVkm[LPG],TableVerdeelsleutelVkm[Voertuigtype],"Lichte voertuigen")*SUMIFS(TableECFTransport[EnergieConsumptieFactor (PJ per km)],TableECFTransport[Index],CONCATENATE($A8,"_LPG_LPG"))</f>
        <v>2.9309024106998345E-4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6.2233409382599629E-2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1.7526957097119222E-2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4.1427383311376086E-3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6.1955790443813938E-7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3.0551457471437986E-2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5.4270455920660481E-7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1.7713029161315792E-3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8.1140164909536058E-5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1.1180340415740524E-4</v>
      </c>
      <c r="E10" s="418">
        <f>vkm_SW_PW*SUMIFS(TableVerdeelsleutelVkm[LPG],TableVerdeelsleutelVkm[Voertuigtype],"Lichte voertuigen")*SUMIFS(TableECFTransport[EnergieConsumptieFactor (PJ per km)],TableECFTransport[Index],CONCATENATE($A10,"_LPG_LPG"))</f>
        <v>1.3446394911612379E-3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0.28281328316694221</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6.8005562380571399E-2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1.847107336429105E-2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6.7514710551918117E-6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0.24700379993635072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5.0430580943405283E-6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1.4320729617615815E-2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36.184215124091288</v>
      </c>
      <c r="C14" s="21"/>
      <c r="D14" s="21">
        <f t="shared" ref="D14:M14" si="0">((D5)*10^9/3600)+D12</f>
        <v>50.969007543443723</v>
      </c>
      <c r="E14" s="21">
        <f t="shared" si="0"/>
        <v>565.68834646299638</v>
      </c>
      <c r="F14" s="21"/>
      <c r="G14" s="21">
        <f t="shared" si="0"/>
        <v>211639.99437573689</v>
      </c>
      <c r="H14" s="21">
        <f t="shared" si="0"/>
        <v>30300.23614277353</v>
      </c>
      <c r="I14" s="21"/>
      <c r="J14" s="21"/>
      <c r="K14" s="21"/>
      <c r="L14" s="21"/>
      <c r="M14" s="21">
        <f t="shared" si="0"/>
        <v>13194.527842697607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0.16745297314622548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6.0591544034917044</v>
      </c>
      <c r="C18" s="23"/>
      <c r="D18" s="23">
        <f t="shared" ref="D18:M18" si="1">D14*D16</f>
        <v>10.295739523775632</v>
      </c>
      <c r="E18" s="23">
        <f t="shared" si="1"/>
        <v>128.41125464710018</v>
      </c>
      <c r="F18" s="23"/>
      <c r="G18" s="23">
        <f t="shared" si="1"/>
        <v>56507.878498321756</v>
      </c>
      <c r="H18" s="23">
        <f t="shared" si="1"/>
        <v>7544.7587995506092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1.8700690050849415E-5</v>
      </c>
      <c r="C50" s="313">
        <f t="shared" ref="C50:P50" si="2">SUM(C51:C52)</f>
        <v>0</v>
      </c>
      <c r="D50" s="313">
        <f t="shared" si="2"/>
        <v>0</v>
      </c>
      <c r="E50" s="313">
        <f t="shared" si="2"/>
        <v>0</v>
      </c>
      <c r="F50" s="313">
        <f t="shared" si="2"/>
        <v>0</v>
      </c>
      <c r="G50" s="313">
        <f t="shared" si="2"/>
        <v>3.5435340099928235E-3</v>
      </c>
      <c r="H50" s="313">
        <f t="shared" si="2"/>
        <v>0</v>
      </c>
      <c r="I50" s="313">
        <f t="shared" si="2"/>
        <v>0</v>
      </c>
      <c r="J50" s="313">
        <f t="shared" si="2"/>
        <v>0</v>
      </c>
      <c r="K50" s="313">
        <f t="shared" si="2"/>
        <v>0</v>
      </c>
      <c r="L50" s="313">
        <f t="shared" si="2"/>
        <v>0</v>
      </c>
      <c r="M50" s="313">
        <f t="shared" si="2"/>
        <v>2.039942935208462E-4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1.8700690050849415E-5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3.5435340099928235E-3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2.039942935208462E-4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5.1946361252359488</v>
      </c>
      <c r="C54" s="21">
        <f t="shared" ref="C54:P54" si="3">(C50)*10^9/3600</f>
        <v>0</v>
      </c>
      <c r="D54" s="21">
        <f t="shared" si="3"/>
        <v>0</v>
      </c>
      <c r="E54" s="21">
        <f t="shared" si="3"/>
        <v>0</v>
      </c>
      <c r="F54" s="21">
        <f t="shared" si="3"/>
        <v>0</v>
      </c>
      <c r="G54" s="21">
        <f t="shared" si="3"/>
        <v>984.31500277578425</v>
      </c>
      <c r="H54" s="21">
        <f t="shared" si="3"/>
        <v>0</v>
      </c>
      <c r="I54" s="21">
        <f t="shared" si="3"/>
        <v>0</v>
      </c>
      <c r="J54" s="21">
        <f t="shared" si="3"/>
        <v>0</v>
      </c>
      <c r="K54" s="21">
        <f t="shared" si="3"/>
        <v>0</v>
      </c>
      <c r="L54" s="21">
        <f t="shared" si="3"/>
        <v>0</v>
      </c>
      <c r="M54" s="21">
        <f t="shared" si="3"/>
        <v>56.66508153356839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0.16745297314622548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0.86985726358354809</v>
      </c>
      <c r="C58" s="23">
        <f t="shared" ref="C58:P58" ca="1" si="4">C54*C56</f>
        <v>0</v>
      </c>
      <c r="D58" s="23">
        <f t="shared" si="4"/>
        <v>0</v>
      </c>
      <c r="E58" s="23">
        <f t="shared" si="4"/>
        <v>0</v>
      </c>
      <c r="F58" s="23">
        <f t="shared" si="4"/>
        <v>0</v>
      </c>
      <c r="G58" s="23">
        <f t="shared" si="4"/>
        <v>262.81210574113442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6572.1577745503037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N31</f>
        <v>11127.825000000001</v>
      </c>
      <c r="C8" s="537">
        <f>B50</f>
        <v>0</v>
      </c>
      <c r="D8" s="1014"/>
      <c r="E8" s="1014">
        <f>E50</f>
        <v>0</v>
      </c>
      <c r="F8" s="1015"/>
      <c r="G8" s="538"/>
      <c r="H8" s="1014">
        <f>I50</f>
        <v>0</v>
      </c>
      <c r="I8" s="1014">
        <f>G50+F50</f>
        <v>0</v>
      </c>
      <c r="J8" s="1014">
        <f>H50+D50+C50</f>
        <v>13091.558823529411</v>
      </c>
      <c r="K8" s="1014"/>
      <c r="L8" s="1014"/>
      <c r="M8" s="1014"/>
      <c r="N8" s="539"/>
      <c r="O8" s="540">
        <f>C8*$C$12+D8*$D$12+E8*$E$12+F8*$F$12+G8*$G$12+H8*$H$12+I8*$I$12+J8*$J$12</f>
        <v>0</v>
      </c>
      <c r="P8" s="1250"/>
      <c r="Q8" s="1251"/>
      <c r="S8" s="978"/>
      <c r="T8" s="1271"/>
      <c r="U8" s="1271"/>
    </row>
    <row r="9" spans="1:21" s="526" customFormat="1" ht="17.45" customHeight="1" thickBot="1">
      <c r="A9" s="541" t="s">
        <v>237</v>
      </c>
      <c r="B9" s="542">
        <f>N38+'Eigen informatie GS &amp; warmtenet'!B12</f>
        <v>0</v>
      </c>
      <c r="C9" s="54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17699.982774550306</v>
      </c>
      <c r="C10" s="550">
        <f t="shared" ref="C10:L10" si="0">SUM(C8:C9)</f>
        <v>0</v>
      </c>
      <c r="D10" s="550">
        <f t="shared" si="0"/>
        <v>0</v>
      </c>
      <c r="E10" s="550">
        <f t="shared" si="0"/>
        <v>0</v>
      </c>
      <c r="F10" s="550">
        <f t="shared" si="0"/>
        <v>0</v>
      </c>
      <c r="G10" s="550">
        <f t="shared" si="0"/>
        <v>0</v>
      </c>
      <c r="H10" s="550">
        <f t="shared" si="0"/>
        <v>0</v>
      </c>
      <c r="I10" s="550">
        <f t="shared" si="0"/>
        <v>0</v>
      </c>
      <c r="J10" s="550">
        <f t="shared" si="0"/>
        <v>13091.558823529411</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O31</f>
        <v>15896.892857142857</v>
      </c>
      <c r="C17" s="562">
        <f>B51</f>
        <v>0</v>
      </c>
      <c r="D17" s="563"/>
      <c r="E17" s="563">
        <f>E51</f>
        <v>0</v>
      </c>
      <c r="F17" s="1020"/>
      <c r="G17" s="564"/>
      <c r="H17" s="562">
        <f>I51</f>
        <v>0</v>
      </c>
      <c r="I17" s="563">
        <f>G51+F51</f>
        <v>0</v>
      </c>
      <c r="J17" s="563">
        <f>H51+D51+C51</f>
        <v>18702.226890756298</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15896.892857142857</v>
      </c>
      <c r="C20" s="549">
        <f>SUM(C17:C19)</f>
        <v>0</v>
      </c>
      <c r="D20" s="549">
        <f t="shared" ref="D20:L20" si="1">SUM(D17:D19)</f>
        <v>0</v>
      </c>
      <c r="E20" s="549">
        <f t="shared" si="1"/>
        <v>0</v>
      </c>
      <c r="F20" s="549">
        <f t="shared" si="1"/>
        <v>0</v>
      </c>
      <c r="G20" s="549">
        <f t="shared" si="1"/>
        <v>0</v>
      </c>
      <c r="H20" s="549">
        <f t="shared" si="1"/>
        <v>0</v>
      </c>
      <c r="I20" s="549">
        <f t="shared" si="1"/>
        <v>0</v>
      </c>
      <c r="J20" s="549">
        <f t="shared" si="1"/>
        <v>18702.226890756298</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31003</v>
      </c>
      <c r="C28" s="763">
        <v>8730</v>
      </c>
      <c r="D28" s="620"/>
      <c r="E28" s="619"/>
      <c r="F28" s="619"/>
      <c r="G28" s="619" t="s">
        <v>922</v>
      </c>
      <c r="H28" s="619" t="s">
        <v>923</v>
      </c>
      <c r="I28" s="619"/>
      <c r="J28" s="762"/>
      <c r="K28" s="762"/>
      <c r="L28" s="619" t="s">
        <v>924</v>
      </c>
      <c r="M28" s="619">
        <v>2461</v>
      </c>
      <c r="N28" s="619">
        <v>11074.5</v>
      </c>
      <c r="O28" s="619">
        <v>15820.714285714286</v>
      </c>
      <c r="P28" s="619">
        <v>0</v>
      </c>
      <c r="Q28" s="619">
        <v>31641.428571428572</v>
      </c>
      <c r="R28" s="619">
        <v>0</v>
      </c>
      <c r="S28" s="619">
        <v>0</v>
      </c>
      <c r="T28" s="619">
        <v>0</v>
      </c>
      <c r="U28" s="619">
        <v>0</v>
      </c>
      <c r="V28" s="619">
        <v>0</v>
      </c>
      <c r="W28" s="619">
        <v>0</v>
      </c>
      <c r="X28" s="619">
        <v>10</v>
      </c>
      <c r="Y28" s="619" t="s">
        <v>105</v>
      </c>
      <c r="Z28" s="621" t="s">
        <v>105</v>
      </c>
    </row>
    <row r="29" spans="1:26" s="573" customFormat="1" ht="25.5" hidden="1">
      <c r="A29" s="572"/>
      <c r="B29" s="763">
        <v>31003</v>
      </c>
      <c r="C29" s="763">
        <v>8730</v>
      </c>
      <c r="D29" s="620"/>
      <c r="E29" s="619"/>
      <c r="F29" s="619"/>
      <c r="G29" s="619" t="s">
        <v>922</v>
      </c>
      <c r="H29" s="619" t="s">
        <v>923</v>
      </c>
      <c r="I29" s="619"/>
      <c r="J29" s="762"/>
      <c r="K29" s="762"/>
      <c r="L29" s="619" t="s">
        <v>924</v>
      </c>
      <c r="M29" s="619">
        <v>7</v>
      </c>
      <c r="N29" s="619">
        <v>31.5</v>
      </c>
      <c r="O29" s="619">
        <v>45</v>
      </c>
      <c r="P29" s="619">
        <v>0</v>
      </c>
      <c r="Q29" s="619">
        <v>90</v>
      </c>
      <c r="R29" s="619">
        <v>0</v>
      </c>
      <c r="S29" s="619">
        <v>0</v>
      </c>
      <c r="T29" s="619">
        <v>0</v>
      </c>
      <c r="U29" s="619">
        <v>0</v>
      </c>
      <c r="V29" s="619">
        <v>0</v>
      </c>
      <c r="W29" s="619">
        <v>0</v>
      </c>
      <c r="X29" s="619">
        <v>10</v>
      </c>
      <c r="Y29" s="619" t="s">
        <v>105</v>
      </c>
      <c r="Z29" s="621" t="s">
        <v>105</v>
      </c>
    </row>
    <row r="30" spans="1:26" s="573" customFormat="1" ht="25.5" hidden="1">
      <c r="A30" s="572"/>
      <c r="B30" s="763">
        <v>31003</v>
      </c>
      <c r="C30" s="763">
        <v>8730</v>
      </c>
      <c r="D30" s="620"/>
      <c r="E30" s="619"/>
      <c r="F30" s="619"/>
      <c r="G30" s="619" t="s">
        <v>922</v>
      </c>
      <c r="H30" s="619" t="s">
        <v>923</v>
      </c>
      <c r="I30" s="619"/>
      <c r="J30" s="762"/>
      <c r="K30" s="762"/>
      <c r="L30" s="619" t="s">
        <v>924</v>
      </c>
      <c r="M30" s="619">
        <v>9.6999999999999993</v>
      </c>
      <c r="N30" s="619">
        <v>21.824999999999996</v>
      </c>
      <c r="O30" s="619">
        <v>31.178571428571423</v>
      </c>
      <c r="P30" s="619">
        <v>0</v>
      </c>
      <c r="Q30" s="619">
        <v>62.357142857142847</v>
      </c>
      <c r="R30" s="619">
        <v>0</v>
      </c>
      <c r="S30" s="619">
        <v>0</v>
      </c>
      <c r="T30" s="619">
        <v>0</v>
      </c>
      <c r="U30" s="619">
        <v>0</v>
      </c>
      <c r="V30" s="619">
        <v>0</v>
      </c>
      <c r="W30" s="619">
        <v>0</v>
      </c>
      <c r="X30" s="619">
        <v>10</v>
      </c>
      <c r="Y30" s="619" t="s">
        <v>105</v>
      </c>
      <c r="Z30" s="621" t="s">
        <v>105</v>
      </c>
    </row>
    <row r="31" spans="1:26" s="557" customFormat="1" hidden="1">
      <c r="A31" s="575" t="s">
        <v>269</v>
      </c>
      <c r="B31" s="576"/>
      <c r="C31" s="576"/>
      <c r="D31" s="576"/>
      <c r="E31" s="576"/>
      <c r="F31" s="576"/>
      <c r="G31" s="576"/>
      <c r="H31" s="576"/>
      <c r="I31" s="576"/>
      <c r="J31" s="576"/>
      <c r="K31" s="576"/>
      <c r="L31" s="577"/>
      <c r="M31" s="577">
        <f>SUM(M28:M30)</f>
        <v>2477.6999999999998</v>
      </c>
      <c r="N31" s="577">
        <f>SUM(N28:N30)</f>
        <v>11127.825000000001</v>
      </c>
      <c r="O31" s="577">
        <f>SUM(O28:O30)</f>
        <v>15896.892857142857</v>
      </c>
      <c r="P31" s="577">
        <f>SUM(P28:P30)</f>
        <v>0</v>
      </c>
      <c r="Q31" s="577">
        <f>SUM(Q28:Q30)</f>
        <v>31793.785714285714</v>
      </c>
      <c r="R31" s="577">
        <f>SUM(R28:R30)</f>
        <v>0</v>
      </c>
      <c r="S31" s="577">
        <f>SUM(S28:S30)</f>
        <v>0</v>
      </c>
      <c r="T31" s="577">
        <f>SUM(T28:T30)</f>
        <v>0</v>
      </c>
      <c r="U31" s="577">
        <f>SUM(U28:U30)</f>
        <v>0</v>
      </c>
      <c r="V31" s="577">
        <f>SUM(V28:V30)</f>
        <v>0</v>
      </c>
      <c r="W31" s="577">
        <f>SUM(W28:W30)</f>
        <v>0</v>
      </c>
      <c r="X31" s="578"/>
      <c r="Y31" s="578"/>
      <c r="Z31" s="579"/>
    </row>
    <row r="32" spans="1:26" s="557" customFormat="1">
      <c r="A32" s="575" t="s">
        <v>276</v>
      </c>
      <c r="B32" s="576"/>
      <c r="C32" s="576"/>
      <c r="D32" s="576"/>
      <c r="E32" s="576"/>
      <c r="F32" s="576"/>
      <c r="G32" s="576"/>
      <c r="H32" s="576"/>
      <c r="I32" s="576"/>
      <c r="J32" s="576"/>
      <c r="K32" s="576"/>
      <c r="L32" s="577"/>
      <c r="M32" s="577">
        <f>SUMIF($Z$28:$Z$30,"industrie",M28:M30)</f>
        <v>0</v>
      </c>
      <c r="N32" s="577">
        <f>SUMIF($Z$28:$Z$30,"industrie",N28:N30)</f>
        <v>0</v>
      </c>
      <c r="O32" s="577">
        <f>SUMIF($Z$28:$Z$30,"industrie",O28:O30)</f>
        <v>0</v>
      </c>
      <c r="P32" s="577">
        <f>SUMIF($Z$28:$Z$30,"industrie",P28:P30)</f>
        <v>0</v>
      </c>
      <c r="Q32" s="577">
        <f>SUMIF($Z$28:$Z$30,"industrie",Q28:Q30)</f>
        <v>0</v>
      </c>
      <c r="R32" s="577">
        <f>SUMIF($Z$28:$Z$30,"industrie",R28:R30)</f>
        <v>0</v>
      </c>
      <c r="S32" s="577">
        <f>SUMIF($Z$28:$Z$30,"industrie",S28:S30)</f>
        <v>0</v>
      </c>
      <c r="T32" s="577">
        <f>SUMIF($Z$28:$Z$30,"industrie",T28:T30)</f>
        <v>0</v>
      </c>
      <c r="U32" s="577">
        <f>SUMIF($Z$28:$Z$30,"industrie",U28:U30)</f>
        <v>0</v>
      </c>
      <c r="V32" s="577">
        <f>SUMIF($Z$28:$Z$30,"industrie",V28:V30)</f>
        <v>0</v>
      </c>
      <c r="W32" s="577">
        <f>SUMIF($Z$28:$Z$30,"industrie",W28:W30)</f>
        <v>0</v>
      </c>
      <c r="X32" s="578"/>
      <c r="Y32" s="578"/>
      <c r="Z32" s="579"/>
    </row>
    <row r="33" spans="1:27" s="557" customFormat="1">
      <c r="A33" s="575" t="s">
        <v>277</v>
      </c>
      <c r="B33" s="576"/>
      <c r="C33" s="576"/>
      <c r="D33" s="576"/>
      <c r="E33" s="576"/>
      <c r="F33" s="576"/>
      <c r="G33" s="576"/>
      <c r="H33" s="576"/>
      <c r="I33" s="576"/>
      <c r="J33" s="576"/>
      <c r="K33" s="576"/>
      <c r="L33" s="577"/>
      <c r="M33" s="577">
        <f ca="1">SUMIF($Z$28:AC30,"tertiair",M28:M30)</f>
        <v>0</v>
      </c>
      <c r="N33" s="577">
        <f ca="1">SUMIF($Z$28:AD30,"tertiair",N28:N30)</f>
        <v>0</v>
      </c>
      <c r="O33" s="577">
        <f ca="1">SUMIF($Z$28:AE30,"tertiair",O28:O30)</f>
        <v>0</v>
      </c>
      <c r="P33" s="577">
        <f ca="1">SUMIF($Z$28:AF30,"tertiair",P28:P30)</f>
        <v>0</v>
      </c>
      <c r="Q33" s="577">
        <f ca="1">SUMIF($Z$28:AG30,"tertiair",Q28:Q30)</f>
        <v>0</v>
      </c>
      <c r="R33" s="577">
        <f ca="1">SUMIF($Z$28:AH30,"tertiair",R28:R30)</f>
        <v>0</v>
      </c>
      <c r="S33" s="577">
        <f ca="1">SUMIF($Z$28:AI30,"tertiair",S28:S30)</f>
        <v>0</v>
      </c>
      <c r="T33" s="577">
        <f ca="1">SUMIF($Z$28:AJ30,"tertiair",T28:T30)</f>
        <v>0</v>
      </c>
      <c r="U33" s="577">
        <f ca="1">SUMIF($Z$28:AK30,"tertiair",U28:U30)</f>
        <v>0</v>
      </c>
      <c r="V33" s="577">
        <f ca="1">SUMIF($Z$28:AL30,"tertiair",V28:V30)</f>
        <v>0</v>
      </c>
      <c r="W33" s="577">
        <f ca="1">SUMIF($Z$28:AM30,"tertiair",W28:W30)</f>
        <v>0</v>
      </c>
      <c r="X33" s="578"/>
      <c r="Y33" s="578"/>
      <c r="Z33" s="579"/>
    </row>
    <row r="34" spans="1:27" s="557" customFormat="1" ht="15.75" thickBot="1">
      <c r="A34" s="580" t="s">
        <v>278</v>
      </c>
      <c r="B34" s="581"/>
      <c r="C34" s="581"/>
      <c r="D34" s="581"/>
      <c r="E34" s="581"/>
      <c r="F34" s="581"/>
      <c r="G34" s="581"/>
      <c r="H34" s="581"/>
      <c r="I34" s="581"/>
      <c r="J34" s="581"/>
      <c r="K34" s="581"/>
      <c r="L34" s="582"/>
      <c r="M34" s="582">
        <f>SUMIF($Z$28:$Z$30,"landbouw",M28:M30)</f>
        <v>2477.6999999999998</v>
      </c>
      <c r="N34" s="582">
        <f>SUMIF($Z$28:$Z$30,"landbouw",N28:N30)</f>
        <v>11127.825000000001</v>
      </c>
      <c r="O34" s="582">
        <f>SUMIF($Z$28:$Z$30,"landbouw",O28:O30)</f>
        <v>15896.892857142857</v>
      </c>
      <c r="P34" s="582">
        <f>SUMIF($Z$28:$Z$30,"landbouw",P28:P30)</f>
        <v>0</v>
      </c>
      <c r="Q34" s="582">
        <f>SUMIF($Z$28:$Z$30,"landbouw",Q28:Q30)</f>
        <v>31793.785714285714</v>
      </c>
      <c r="R34" s="582">
        <f>SUMIF($Z$28:$Z$30,"landbouw",R28:R30)</f>
        <v>0</v>
      </c>
      <c r="S34" s="582">
        <f>SUMIF($Z$28:$Z$30,"landbouw",S28:S30)</f>
        <v>0</v>
      </c>
      <c r="T34" s="582">
        <f>SUMIF($Z$28:$Z$30,"landbouw",T28:T30)</f>
        <v>0</v>
      </c>
      <c r="U34" s="582">
        <f>SUMIF($Z$28:$Z$30,"landbouw",U28:U30)</f>
        <v>0</v>
      </c>
      <c r="V34" s="582">
        <f>SUMIF($Z$28:$Z$30,"landbouw",V28:V30)</f>
        <v>0</v>
      </c>
      <c r="W34" s="582">
        <f>SUMIF($Z$28:$Z$30,"landbouw",W28:W30)</f>
        <v>0</v>
      </c>
      <c r="X34" s="583"/>
      <c r="Y34" s="583"/>
      <c r="Z34" s="584"/>
    </row>
    <row r="35" spans="1:27" s="526" customFormat="1" ht="15.75" thickBot="1">
      <c r="A35" s="585"/>
      <c r="B35" s="586"/>
      <c r="C35" s="586"/>
      <c r="D35" s="586"/>
      <c r="E35" s="586"/>
      <c r="F35" s="586"/>
      <c r="G35" s="586"/>
      <c r="H35" s="586"/>
      <c r="I35" s="586"/>
      <c r="J35" s="586"/>
      <c r="K35" s="586"/>
      <c r="L35" s="569"/>
      <c r="M35" s="569"/>
      <c r="N35" s="569"/>
      <c r="O35" s="570"/>
      <c r="P35" s="570"/>
    </row>
    <row r="36" spans="1:27" s="526" customFormat="1" ht="45">
      <c r="A36" s="587" t="s">
        <v>270</v>
      </c>
      <c r="B36" s="616" t="s">
        <v>89</v>
      </c>
      <c r="C36" s="616" t="s">
        <v>90</v>
      </c>
      <c r="D36" s="616"/>
      <c r="E36" s="616"/>
      <c r="F36" s="616"/>
      <c r="G36" s="616" t="s">
        <v>91</v>
      </c>
      <c r="H36" s="616" t="s">
        <v>92</v>
      </c>
      <c r="I36" s="616"/>
      <c r="J36" s="616"/>
      <c r="K36" s="616"/>
      <c r="L36" s="616" t="s">
        <v>93</v>
      </c>
      <c r="M36" s="617" t="s">
        <v>287</v>
      </c>
      <c r="N36" s="617" t="s">
        <v>94</v>
      </c>
      <c r="O36" s="617" t="s">
        <v>95</v>
      </c>
      <c r="P36" s="617" t="s">
        <v>531</v>
      </c>
      <c r="Q36" s="617" t="s">
        <v>96</v>
      </c>
      <c r="R36" s="617" t="s">
        <v>97</v>
      </c>
      <c r="S36" s="617" t="s">
        <v>98</v>
      </c>
      <c r="T36" s="617" t="s">
        <v>99</v>
      </c>
      <c r="U36" s="617" t="s">
        <v>100</v>
      </c>
      <c r="V36" s="617" t="s">
        <v>101</v>
      </c>
      <c r="W36" s="616" t="s">
        <v>102</v>
      </c>
      <c r="X36" s="616" t="s">
        <v>288</v>
      </c>
      <c r="Y36" s="616" t="s">
        <v>103</v>
      </c>
      <c r="Z36" s="618" t="s">
        <v>289</v>
      </c>
    </row>
    <row r="37" spans="1:27" s="588" customFormat="1" ht="12.75" hidden="1">
      <c r="A37" s="574"/>
      <c r="B37" s="763"/>
      <c r="C37" s="763"/>
      <c r="D37" s="622"/>
      <c r="E37" s="622"/>
      <c r="F37" s="622"/>
      <c r="G37" s="622"/>
      <c r="H37" s="622"/>
      <c r="I37" s="622"/>
      <c r="J37" s="762"/>
      <c r="K37" s="762"/>
      <c r="L37" s="622"/>
      <c r="M37" s="622"/>
      <c r="N37" s="622"/>
      <c r="O37" s="622"/>
      <c r="P37" s="622"/>
      <c r="Q37" s="622"/>
      <c r="R37" s="622"/>
      <c r="S37" s="622"/>
      <c r="T37" s="622"/>
      <c r="U37" s="622"/>
      <c r="V37" s="622"/>
      <c r="W37" s="622"/>
      <c r="X37" s="622"/>
      <c r="Y37" s="622"/>
      <c r="Z37" s="623"/>
    </row>
    <row r="38" spans="1:27" s="557" customFormat="1" hidden="1">
      <c r="A38" s="575" t="s">
        <v>269</v>
      </c>
      <c r="B38" s="576"/>
      <c r="C38" s="576"/>
      <c r="D38" s="576"/>
      <c r="E38" s="576"/>
      <c r="F38" s="576"/>
      <c r="G38" s="576"/>
      <c r="H38" s="576"/>
      <c r="I38" s="576"/>
      <c r="J38" s="576"/>
      <c r="K38" s="576"/>
      <c r="L38" s="577"/>
      <c r="M38" s="577">
        <f>SUM(M37:M37)</f>
        <v>0</v>
      </c>
      <c r="N38" s="577">
        <f>SUM(N37:N37)</f>
        <v>0</v>
      </c>
      <c r="O38" s="577">
        <f>SUM(O37:O37)</f>
        <v>0</v>
      </c>
      <c r="P38" s="577">
        <f>SUM(P37:P37)</f>
        <v>0</v>
      </c>
      <c r="Q38" s="577">
        <f>SUM(Q37:Q37)</f>
        <v>0</v>
      </c>
      <c r="R38" s="577">
        <f>SUM(R37:R37)</f>
        <v>0</v>
      </c>
      <c r="S38" s="577">
        <f>SUM(S37:S37)</f>
        <v>0</v>
      </c>
      <c r="T38" s="577">
        <f>SUM(T37:T37)</f>
        <v>0</v>
      </c>
      <c r="U38" s="577">
        <f>SUM(U37:U37)</f>
        <v>0</v>
      </c>
      <c r="V38" s="577">
        <f>SUM(V37:V37)</f>
        <v>0</v>
      </c>
      <c r="W38" s="577">
        <f>SUM(W37:W37)</f>
        <v>0</v>
      </c>
      <c r="X38" s="578"/>
      <c r="Y38" s="578"/>
      <c r="Z38" s="579"/>
    </row>
    <row r="39" spans="1:27" s="557" customFormat="1">
      <c r="A39" s="575" t="s">
        <v>276</v>
      </c>
      <c r="B39" s="576"/>
      <c r="C39" s="576"/>
      <c r="D39" s="576"/>
      <c r="E39" s="576"/>
      <c r="F39" s="576"/>
      <c r="G39" s="576"/>
      <c r="H39" s="576"/>
      <c r="I39" s="576"/>
      <c r="J39" s="576"/>
      <c r="K39" s="576"/>
      <c r="L39" s="577"/>
      <c r="M39" s="577">
        <f>SUMIF($Z$37:$Z$37,"industrie",M37:M37)</f>
        <v>0</v>
      </c>
      <c r="N39" s="577">
        <f>SUMIF($Z$37:$Z$37,"industrie",N37:N37)</f>
        <v>0</v>
      </c>
      <c r="O39" s="577">
        <f>SUMIF($Z$37:$Z$37,"industrie",O37:O37)</f>
        <v>0</v>
      </c>
      <c r="P39" s="577">
        <f>SUMIF($Z$37:$Z$37,"industrie",P37:P37)</f>
        <v>0</v>
      </c>
      <c r="Q39" s="577">
        <f>SUMIF($Z$37:$Z$37,"industrie",Q37:Q37)</f>
        <v>0</v>
      </c>
      <c r="R39" s="577">
        <f>SUMIF($Z$37:$Z$37,"industrie",R37:R37)</f>
        <v>0</v>
      </c>
      <c r="S39" s="577">
        <f>SUMIF($Z$37:$Z$37,"industrie",S37:S37)</f>
        <v>0</v>
      </c>
      <c r="T39" s="577">
        <f>SUMIF($Z$37:$Z$37,"industrie",T37:T37)</f>
        <v>0</v>
      </c>
      <c r="U39" s="577">
        <f>SUMIF($Z$37:$Z$37,"industrie",U37:U37)</f>
        <v>0</v>
      </c>
      <c r="V39" s="577">
        <f>SUMIF($Z$37:$Z$37,"industrie",V37:V37)</f>
        <v>0</v>
      </c>
      <c r="W39" s="577">
        <f>SUMIF($Z$37:$Z$37,"industrie",W37:W37)</f>
        <v>0</v>
      </c>
      <c r="X39" s="578"/>
      <c r="Y39" s="578"/>
      <c r="Z39" s="579"/>
    </row>
    <row r="40" spans="1:27" s="557" customFormat="1">
      <c r="A40" s="575" t="s">
        <v>277</v>
      </c>
      <c r="B40" s="576"/>
      <c r="C40" s="576"/>
      <c r="D40" s="576"/>
      <c r="E40" s="576"/>
      <c r="F40" s="576"/>
      <c r="G40" s="576"/>
      <c r="H40" s="576"/>
      <c r="I40" s="576"/>
      <c r="J40" s="576"/>
      <c r="K40" s="576"/>
      <c r="L40" s="577"/>
      <c r="M40" s="577">
        <f>SUMIF($Z$37:$Z$38,"tertiair",M37:M38)</f>
        <v>0</v>
      </c>
      <c r="N40" s="577">
        <f>SUMIF($Z$37:$Z$38,"tertiair",N37:N38)</f>
        <v>0</v>
      </c>
      <c r="O40" s="577">
        <f>SUMIF($Z$37:$Z$38,"tertiair",O37:O38)</f>
        <v>0</v>
      </c>
      <c r="P40" s="577">
        <f>SUMIF($Z$37:$Z$38,"tertiair",P37:P38)</f>
        <v>0</v>
      </c>
      <c r="Q40" s="577">
        <f>SUMIF($Z$37:$Z$38,"tertiair",Q37:Q38)</f>
        <v>0</v>
      </c>
      <c r="R40" s="577">
        <f>SUMIF($Z$37:$Z$38,"tertiair",R37:R38)</f>
        <v>0</v>
      </c>
      <c r="S40" s="577">
        <f>SUMIF($Z$37:$Z$38,"tertiair",S37:S38)</f>
        <v>0</v>
      </c>
      <c r="T40" s="577">
        <f>SUMIF($Z$37:$Z$38,"tertiair",T37:T38)</f>
        <v>0</v>
      </c>
      <c r="U40" s="577">
        <f>SUMIF($Z$37:$Z$38,"tertiair",U37:U38)</f>
        <v>0</v>
      </c>
      <c r="V40" s="577">
        <f>SUMIF($Z$37:$Z$38,"tertiair",V37:V38)</f>
        <v>0</v>
      </c>
      <c r="W40" s="577">
        <f>SUMIF($Z$37:$Z$38,"tertiair",W37:W38)</f>
        <v>0</v>
      </c>
      <c r="X40" s="578"/>
      <c r="Y40" s="578"/>
      <c r="Z40" s="579"/>
    </row>
    <row r="41" spans="1:27" s="557" customFormat="1" ht="15.75" thickBot="1">
      <c r="A41" s="580" t="s">
        <v>278</v>
      </c>
      <c r="B41" s="581"/>
      <c r="C41" s="581"/>
      <c r="D41" s="581"/>
      <c r="E41" s="581"/>
      <c r="F41" s="581"/>
      <c r="G41" s="581"/>
      <c r="H41" s="581"/>
      <c r="I41" s="581"/>
      <c r="J41" s="581"/>
      <c r="K41" s="581"/>
      <c r="L41" s="582"/>
      <c r="M41" s="582">
        <f>SUMIF($Z$37:$Z$39,"landbouw",M37:M39)</f>
        <v>0</v>
      </c>
      <c r="N41" s="582">
        <f>SUMIF($Z$37:$Z$39,"landbouw",N37:N39)</f>
        <v>0</v>
      </c>
      <c r="O41" s="582">
        <f>SUMIF($Z$37:$Z$39,"landbouw",O37:O39)</f>
        <v>0</v>
      </c>
      <c r="P41" s="582">
        <f>SUMIF($Z$37:$Z$39,"landbouw",P37:P39)</f>
        <v>0</v>
      </c>
      <c r="Q41" s="582">
        <f>SUMIF($Z$37:$Z$39,"landbouw",Q37:Q39)</f>
        <v>0</v>
      </c>
      <c r="R41" s="582">
        <f>SUMIF($Z$37:$Z$39,"landbouw",R37:R39)</f>
        <v>0</v>
      </c>
      <c r="S41" s="582">
        <f>SUMIF($Z$37:$Z$39,"landbouw",S37:S39)</f>
        <v>0</v>
      </c>
      <c r="T41" s="582">
        <f>SUMIF($Z$37:$Z$39,"landbouw",T37:T39)</f>
        <v>0</v>
      </c>
      <c r="U41" s="582">
        <f>SUMIF($Z$37:$Z$39,"landbouw",U37:U39)</f>
        <v>0</v>
      </c>
      <c r="V41" s="582">
        <f>SUMIF($Z$37:$Z$39,"landbouw",V37:V39)</f>
        <v>0</v>
      </c>
      <c r="W41" s="582">
        <f>SUMIF($Z$37:$Z$39,"landbouw",W37:W39)</f>
        <v>0</v>
      </c>
      <c r="X41" s="583"/>
      <c r="Y41" s="583"/>
      <c r="Z41" s="584"/>
    </row>
    <row r="42" spans="1:27" s="589" customForma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row>
    <row r="43" spans="1:27" s="589" customFormat="1" ht="15.75" thickBo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row>
    <row r="44" spans="1:27">
      <c r="A44" s="590" t="s">
        <v>271</v>
      </c>
      <c r="B44" s="591"/>
      <c r="C44" s="591"/>
      <c r="D44" s="591"/>
      <c r="E44" s="591"/>
      <c r="F44" s="591"/>
      <c r="G44" s="591"/>
      <c r="H44" s="591"/>
      <c r="I44" s="592"/>
      <c r="J44" s="593"/>
      <c r="K44" s="593"/>
      <c r="L44" s="594"/>
      <c r="M44" s="594"/>
      <c r="N44" s="594"/>
      <c r="O44" s="594"/>
      <c r="P44" s="594"/>
    </row>
    <row r="45" spans="1:27">
      <c r="A45" s="596"/>
      <c r="B45" s="586"/>
      <c r="C45" s="586"/>
      <c r="D45" s="586"/>
      <c r="E45" s="586"/>
      <c r="F45" s="586"/>
      <c r="G45" s="586"/>
      <c r="H45" s="586"/>
      <c r="I45" s="597"/>
      <c r="J45" s="586"/>
      <c r="K45" s="586"/>
      <c r="L45" s="594"/>
      <c r="M45" s="594"/>
      <c r="N45" s="594"/>
      <c r="O45" s="594"/>
      <c r="P45" s="594"/>
    </row>
    <row r="46" spans="1:27">
      <c r="A46" s="598"/>
      <c r="B46" s="599" t="s">
        <v>272</v>
      </c>
      <c r="C46" s="599" t="s">
        <v>273</v>
      </c>
      <c r="D46" s="599"/>
      <c r="E46" s="599"/>
      <c r="F46" s="599"/>
      <c r="G46" s="599"/>
      <c r="H46" s="599"/>
      <c r="I46" s="600"/>
      <c r="J46" s="599"/>
      <c r="K46" s="599"/>
      <c r="L46" s="599"/>
      <c r="M46" s="599"/>
      <c r="N46" s="599"/>
      <c r="O46" s="599"/>
      <c r="P46" s="594"/>
    </row>
    <row r="47" spans="1:27">
      <c r="A47" s="596" t="s">
        <v>269</v>
      </c>
      <c r="B47" s="601">
        <f>IF(ISERROR(O31/(O31+N31)),0,O31/(O31+N31))</f>
        <v>0.58823529411764697</v>
      </c>
      <c r="C47" s="602">
        <f>IF(ISERROR(N31/(O31+N31)),0,N31/(N31+O31))</f>
        <v>0.41176470588235292</v>
      </c>
      <c r="D47" s="569"/>
      <c r="E47" s="569"/>
      <c r="F47" s="569"/>
      <c r="G47" s="569"/>
      <c r="H47" s="569"/>
      <c r="I47" s="603"/>
      <c r="J47" s="569"/>
      <c r="K47" s="569"/>
      <c r="L47" s="604"/>
      <c r="M47" s="604"/>
      <c r="N47" s="604"/>
      <c r="O47" s="604"/>
      <c r="P47" s="594"/>
    </row>
    <row r="48" spans="1:27">
      <c r="A48" s="596"/>
      <c r="B48" s="605"/>
      <c r="C48" s="605"/>
      <c r="D48" s="605"/>
      <c r="E48" s="605"/>
      <c r="F48" s="605"/>
      <c r="G48" s="605"/>
      <c r="H48" s="605"/>
      <c r="I48" s="606"/>
      <c r="J48" s="605"/>
      <c r="K48" s="605"/>
      <c r="L48" s="607"/>
      <c r="M48" s="607"/>
      <c r="N48" s="607"/>
      <c r="O48" s="607"/>
      <c r="P48" s="594"/>
    </row>
    <row r="49" spans="1:16" ht="30">
      <c r="A49" s="608"/>
      <c r="B49" s="609" t="s">
        <v>531</v>
      </c>
      <c r="C49" s="609" t="s">
        <v>96</v>
      </c>
      <c r="D49" s="609" t="s">
        <v>97</v>
      </c>
      <c r="E49" s="609" t="s">
        <v>98</v>
      </c>
      <c r="F49" s="609" t="s">
        <v>99</v>
      </c>
      <c r="G49" s="609" t="s">
        <v>100</v>
      </c>
      <c r="H49" s="609" t="s">
        <v>101</v>
      </c>
      <c r="I49" s="610" t="s">
        <v>102</v>
      </c>
      <c r="J49" s="599"/>
      <c r="K49" s="599"/>
      <c r="L49" s="607"/>
      <c r="M49" s="607"/>
      <c r="N49" s="607"/>
      <c r="O49" s="594"/>
      <c r="P49" s="594"/>
    </row>
    <row r="50" spans="1:16">
      <c r="A50" s="598" t="s">
        <v>274</v>
      </c>
      <c r="B50" s="611">
        <f t="shared" ref="B50:I50" si="2">$C$47*P31</f>
        <v>0</v>
      </c>
      <c r="C50" s="611">
        <f t="shared" si="2"/>
        <v>13091.558823529411</v>
      </c>
      <c r="D50" s="611">
        <f t="shared" si="2"/>
        <v>0</v>
      </c>
      <c r="E50" s="611">
        <f t="shared" si="2"/>
        <v>0</v>
      </c>
      <c r="F50" s="611">
        <f t="shared" si="2"/>
        <v>0</v>
      </c>
      <c r="G50" s="611">
        <f t="shared" si="2"/>
        <v>0</v>
      </c>
      <c r="H50" s="611">
        <f t="shared" si="2"/>
        <v>0</v>
      </c>
      <c r="I50" s="612">
        <f t="shared" si="2"/>
        <v>0</v>
      </c>
      <c r="J50" s="569"/>
      <c r="K50" s="569"/>
      <c r="L50" s="607"/>
      <c r="M50" s="607"/>
      <c r="N50" s="607"/>
      <c r="O50" s="594"/>
      <c r="P50" s="594"/>
    </row>
    <row r="51" spans="1:16" ht="15.75" thickBot="1">
      <c r="A51" s="613" t="s">
        <v>275</v>
      </c>
      <c r="B51" s="614">
        <f t="shared" ref="B51:I51" si="3">$B$47*P31</f>
        <v>0</v>
      </c>
      <c r="C51" s="614">
        <f t="shared" si="3"/>
        <v>18702.226890756298</v>
      </c>
      <c r="D51" s="614">
        <f t="shared" si="3"/>
        <v>0</v>
      </c>
      <c r="E51" s="614">
        <f t="shared" si="3"/>
        <v>0</v>
      </c>
      <c r="F51" s="614">
        <f t="shared" si="3"/>
        <v>0</v>
      </c>
      <c r="G51" s="614">
        <f t="shared" si="3"/>
        <v>0</v>
      </c>
      <c r="H51" s="614">
        <f t="shared" si="3"/>
        <v>0</v>
      </c>
      <c r="I51" s="615">
        <f t="shared" si="3"/>
        <v>0</v>
      </c>
      <c r="J51" s="569"/>
      <c r="K51" s="569"/>
      <c r="L51" s="607"/>
      <c r="M51" s="607"/>
      <c r="N51" s="607"/>
      <c r="O51" s="594"/>
      <c r="P51" s="594"/>
    </row>
    <row r="52" spans="1:16">
      <c r="J52" s="555"/>
      <c r="K52" s="555"/>
      <c r="L52" s="555"/>
      <c r="M52" s="555"/>
      <c r="N52" s="555"/>
    </row>
    <row r="53" spans="1:16">
      <c r="J53" s="555"/>
      <c r="K53" s="555"/>
      <c r="L53" s="555"/>
      <c r="M53" s="555"/>
      <c r="N53"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2021-11-11T13:11:16Z</dcterms:modified>
</cp:coreProperties>
</file>