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E675384F-38EE-4FCF-8F1A-5D257FF8F66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2" i="48" s="1"/>
  <c r="K4" i="48"/>
  <c r="I4" i="48"/>
  <c r="H4" i="48"/>
  <c r="G4" i="48"/>
  <c r="H11" i="48"/>
  <c r="G11" i="48"/>
  <c r="P3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P56" i="14" s="1"/>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A8" i="23"/>
  <c r="D6" i="22" s="1"/>
  <c r="A9" i="23"/>
  <c r="A10" i="23"/>
  <c r="A11" i="23"/>
  <c r="A12" i="23"/>
  <c r="A13" i="23"/>
  <c r="A14" i="23"/>
  <c r="A15" i="23"/>
  <c r="A16" i="23"/>
  <c r="A17" i="23"/>
  <c r="A18" i="23"/>
  <c r="A19" i="23"/>
  <c r="A20" i="23"/>
  <c r="A21" i="23"/>
  <c r="A22" i="23"/>
  <c r="A23" i="23"/>
  <c r="A24" i="23"/>
  <c r="A25" i="23"/>
  <c r="A26" i="23"/>
  <c r="A27" i="23"/>
  <c r="A28" i="23"/>
  <c r="A29" i="23"/>
  <c r="A30" i="23"/>
  <c r="D8" i="22" l="1"/>
  <c r="B51"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2" i="13"/>
  <c r="B35" i="13"/>
  <c r="C35" i="13" s="1"/>
  <c r="B34" i="13"/>
  <c r="B33"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G50" i="22"/>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J22" i="16"/>
  <c r="K43" i="14" s="1"/>
  <c r="K46" i="14" s="1"/>
  <c r="K61" i="14" s="1"/>
  <c r="K63" i="14" s="1"/>
  <c r="K13" i="14"/>
  <c r="J8" i="48"/>
  <c r="G33" i="48"/>
  <c r="I22" i="14"/>
  <c r="I27" i="14" s="1"/>
  <c r="I63" i="14" s="1"/>
  <c r="R20" i="14"/>
  <c r="R22" i="14" s="1"/>
  <c r="H27" i="48"/>
  <c r="H33" i="48" s="1"/>
  <c r="H15" i="48"/>
  <c r="O13" i="14"/>
  <c r="N8" i="48"/>
  <c r="N26" i="48" s="1"/>
  <c r="F8" i="48"/>
  <c r="G13" i="14"/>
  <c r="E15" i="48" l="1"/>
  <c r="E33"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<sst xmlns="http://schemas.openxmlformats.org/spreadsheetml/2006/main" count="2501" uniqueCount="922">
  <si>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</si>
  <si>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</si>
  <si>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</si>
  <si>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</si>
  <si>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</si>
  <si>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</si>
  <si>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</si>
  <si>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</si>
  <si>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</si>
  <si>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</si>
  <si>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</si>
  <si>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</si>
  <si>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</si>
  <si>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</si>
  <si>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</si>
  <si>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</si>
  <si>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</si>
  <si>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</si>
  <si>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</si>
  <si>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</si>
  <si>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</si>
  <si>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</si>
  <si>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</si>
  <si>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</si>
  <si>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</si>
  <si>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</si>
  <si>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</si>
  <si>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</si>
  <si>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</si>
  <si>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</si>
  <si>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</si>
  <si>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</si>
  <si>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</si>
  <si>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</si>
  <si>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</si>
  <si>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</si>
  <si>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</si>
  <si>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</si>
  <si>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</si>
  <si>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</si>
  <si>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</si>
  <si>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</si>
  <si>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</si>
  <si>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</si>
  <si>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</si>
  <si>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</si>
  <si>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</si>
  <si>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</si>
  <si>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</si>
  <si>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</si>
  <si>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</si>
  <si>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</si>
  <si>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</si>
  <si>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</si>
  <si>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</si>
  <si>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</si>
  <si>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</si>
  <si>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</si>
  <si>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</si>
  <si>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</si>
  <si>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</si>
  <si>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</si>
  <si>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</si>
  <si>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</si>
  <si>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</si>
  <si>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</si>
  <si>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</si>
  <si>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</si>
  <si>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</si>
  <si>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</si>
  <si>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</si>
  <si>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</si>
  <si>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</si>
  <si>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</si>
  <si>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</si>
  <si>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</si>
  <si>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</si>
  <si>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</si>
  <si>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</si>
  <si>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</si>
  <si>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</si>
  <si>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</si>
  <si>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</si>
  <si>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</si>
  <si>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</si>
  <si>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</si>
  <si>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</si>
  <si>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</si>
  <si>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</si>
  <si>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</si>
  <si>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</si>
  <si>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</si>
  <si>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</si>
  <si>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</si>
  <si>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</si>
  <si>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</si>
  <si>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</si>
  <si>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</si>
  <si>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</si>
  <si>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</si>
  <si>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</si>
  <si>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</si>
  <si>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</si>
  <si>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</si>
  <si>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</si>
  <si>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</si>
  <si>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</si>
  <si>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</si>
  <si>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</si>
  <si>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</si>
  <si>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</si>
  <si>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</si>
  <si>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</si>
  <si>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</si>
  <si>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</si>
  <si>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</si>
  <si>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</si>
  <si>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</si>
  <si>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</si>
  <si>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</si>
  <si>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</si>
  <si>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</si>
  <si>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</si>
  <si>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</si>
  <si>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</si>
  <si>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</si>
  <si>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</si>
  <si>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</si>
  <si>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</si>
  <si>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</si>
  <si>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</si>
  <si>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</si>
  <si>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</si>
  <si>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</si>
  <si>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</si>
  <si>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</si>
  <si>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</si>
  <si>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</si>
  <si>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</si>
  <si>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</si>
  <si>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</si>
  <si>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</si>
  <si>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</si>
  <si>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</si>
  <si>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</si>
  <si>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</si>
  <si>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</si>
  <si>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</si>
  <si>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</si>
  <si>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</si>
  <si>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</si>
  <si>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</si>
  <si>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</si>
  <si>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</si>
  <si>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</si>
  <si>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</si>
  <si>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</si>
  <si>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</si>
  <si>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</si>
  <si>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</si>
  <si>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</si>
  <si>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</si>
  <si>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</si>
  <si>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</si>
  <si>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</si>
  <si>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</si>
  <si>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</si>
  <si>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</si>
  <si>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</si>
  <si>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</si>
  <si>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</si>
  <si>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</si>
  <si>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</si>
  <si>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</si>
  <si>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</si>
  <si>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</si>
  <si>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</si>
  <si>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</si>
  <si>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</si>
  <si>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</si>
  <si>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</si>
  <si>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</si>
  <si>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</si>
  <si>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</si>
  <si>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</si>
  <si>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</si>
  <si>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</si>
  <si>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</si>
  <si>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</si>
  <si>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</si>
  <si>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</si>
  <si>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</si>
  <si>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</si>
  <si>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</si>
  <si>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</si>
  <si>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</si>
  <si>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</si>
  <si>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</si>
  <si>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</si>
  <si>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</si>
  <si>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</si>
  <si>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</si>
  <si>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</si>
  <si>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</si>
  <si>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</si>
  <si>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</si>
  <si>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</si>
  <si>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</si>
  <si>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</si>
  <si>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</si>
  <si>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</si>
  <si>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</si>
  <si>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</si>
  <si>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</si>
  <si>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</si>
  <si>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</si>
  <si>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</si>
  <si>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</si>
  <si>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</si>
  <si>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</si>
  <si>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</si>
  <si>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</si>
  <si>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</si>
  <si>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</si>
  <si>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</si>
  <si>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</si>
  <si>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</si>
  <si>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</si>
  <si>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</si>
  <si>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</si>
  <si>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</si>
  <si>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</si>
  <si>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</si>
  <si>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</si>
  <si>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</si>
  <si>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</si>
  <si>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</si>
  <si>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</si>
  <si>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</si>
  <si>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</si>
  <si>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</si>
  <si>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</si>
  <si>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</si>
  <si>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</si>
  <si>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</si>
  <si>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</si>
  <si>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</si>
  <si>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</si>
  <si>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</si>
  <si>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</si>
  <si>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</si>
  <si>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</si>
  <si>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</si>
  <si>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</si>
  <si>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</si>
  <si>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</si>
  <si>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</si>
  <si>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</si>
  <si>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</si>
  <si>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</si>
  <si>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</si>
  <si>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</si>
  <si>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</si>
  <si>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</si>
  <si>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</si>
  <si>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</si>
  <si>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</si>
  <si>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</si>
  <si>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</si>
  <si>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</si>
  <si>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</si>
  <si>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</si>
  <si>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</si>
  <si>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</si>
  <si>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</si>
  <si>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</si>
  <si>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</si>
  <si>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</si>
  <si>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</si>
  <si>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</si>
  <si>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</si>
  <si>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</si>
  <si>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</si>
  <si>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</si>
  <si>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</si>
  <si>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</si>
  <si>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</si>
  <si>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</si>
  <si>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</si>
  <si>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</si>
  <si>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</si>
  <si>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</si>
  <si>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</si>
  <si>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</si>
  <si>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</si>
  <si>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</si>
  <si>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</si>
  <si>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</si>
  <si>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</si>
  <si>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</si>
  <si>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</si>
  <si>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</si>
  <si>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</si>
  <si>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</si>
  <si>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</si>
  <si>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</si>
  <si>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</si>
  <si>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</si>
  <si>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</si>
  <si>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</si>
  <si>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</si>
  <si>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</si>
  <si>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</si>
  <si>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</si>
  <si>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</si>
  <si>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</si>
  <si>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</si>
  <si>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</si>
  <si>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</si>
  <si>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</si>
  <si>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</si>
  <si>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</si>
  <si>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</si>
  <si>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</si>
  <si>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</si>
  <si>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</si>
  <si>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</si>
  <si>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</si>
  <si>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</si>
  <si>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</si>
  <si>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</si>
  <si>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</si>
  <si>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</si>
  <si>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</si>
  <si>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</si>
  <si>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</si>
  <si>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</si>
  <si>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</si>
  <si>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</si>
  <si>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</si>
  <si>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</si>
  <si>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</si>
  <si>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</si>
  <si>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</si>
  <si>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</si>
  <si>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</si>
  <si>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</si>
  <si>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</si>
  <si>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</si>
  <si>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</si>
  <si>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</si>
  <si>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</si>
  <si>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</si>
  <si>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</si>
  <si>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</si>
  <si>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</si>
  <si>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</si>
  <si>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</si>
  <si>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</si>
  <si>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</si>
  <si>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</si>
  <si>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</si>
  <si>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</si>
  <si>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</si>
  <si>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</si>
  <si>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</si>
  <si>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</si>
  <si>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</si>
  <si>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</si>
  <si>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</si>
  <si>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</si>
  <si>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</si>
  <si>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</si>
  <si>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</si>
  <si>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</si>
  <si>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</si>
  <si>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</si>
  <si>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</si>
  <si>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</si>
  <si>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</si>
  <si>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</si>
  <si>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</si>
  <si>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</si>
  <si>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</si>
  <si>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</si>
  <si>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</si>
  <si>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</si>
  <si>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</si>
  <si>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</si>
  <si>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</si>
  <si>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</si>
  <si>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</si>
  <si>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</si>
  <si>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</si>
  <si>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</si>
  <si>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</si>
  <si>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</si>
  <si>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</si>
  <si>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</si>
  <si>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</si>
  <si>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</si>
  <si>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</si>
  <si>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</si>
  <si>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</si>
  <si>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</si>
  <si>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</si>
  <si>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</si>
  <si>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</si>
  <si>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</si>
  <si>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</si>
  <si>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</si>
  <si>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</si>
  <si>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</si>
  <si>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</si>
  <si>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</si>
  <si>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</si>
  <si>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</si>
  <si>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</si>
  <si>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</si>
  <si>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</si>
  <si>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</si>
  <si>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</si>
  <si>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</si>
  <si>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</si>
  <si>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</si>
  <si>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</si>
  <si>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</si>
  <si>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</si>
  <si>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</si>
  <si>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</si>
  <si>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</si>
  <si>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</si>
  <si>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</si>
  <si>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</si>
  <si>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</si>
  <si>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</si>
  <si>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</si>
  <si>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</si>
  <si>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</si>
  <si>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</si>
  <si>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</si>
  <si>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</si>
  <si>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</si>
  <si>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</si>
  <si>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</si>
  <si>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</si>
  <si>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</si>
  <si>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</si>
  <si>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</si>
  <si>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</si>
  <si>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</si>
  <si>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</si>
  <si>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</si>
  <si>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</si>
  <si>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</si>
  <si>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</si>
  <si>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</si>
  <si>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</si>
  <si>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</si>
  <si>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</si>
  <si>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</si>
  <si>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</si>
  <si>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</si>
  <si>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</si>
  <si>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</si>
  <si>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</si>
  <si>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</si>
  <si>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</si>
  <si>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</si>
  <si>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</si>
  <si>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</si>
  <si>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</si>
  <si>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</si>
  <si>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</si>
  <si>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</si>
  <si>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</si>
  <si>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</si>
  <si>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</si>
  <si>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</si>
  <si>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</si>
  <si>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</si>
  <si>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</si>
  <si>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</si>
  <si>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</si>
  <si>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</si>
  <si>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</si>
  <si>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</si>
  <si>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</si>
  <si>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</si>
  <si>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</si>
  <si>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</si>
  <si>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</si>
  <si>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</si>
  <si>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</si>
  <si>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</si>
  <si>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</si>
  <si>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</si>
  <si>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</si>
  <si>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</si>
  <si>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</si>
  <si>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</si>
  <si>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</si>
  <si>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</si>
  <si>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</si>
  <si>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</si>
  <si>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</si>
  <si>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</si>
  <si>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</si>
  <si>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</si>
  <si>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</si>
  <si>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</si>
  <si>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</si>
  <si>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</si>
  <si>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</si>
  <si>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</si>
  <si>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</si>
  <si>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</si>
  <si>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</si>
  <si>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</si>
  <si>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</si>
  <si>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</si>
  <si>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</si>
  <si>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</si>
  <si>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</si>
  <si>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</si>
  <si>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</si>
  <si>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</si>
  <si>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</si>
  <si>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</si>
  <si>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</si>
  <si>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</si>
  <si>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</si>
  <si>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</si>
  <si>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</si>
  <si>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</si>
  <si>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</si>
  <si>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</si>
  <si>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</si>
  <si>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</si>
  <si>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</si>
  <si>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</si>
  <si>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</si>
  <si>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</si>
  <si>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</si>
  <si>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</si>
  <si>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</si>
  <si>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</si>
  <si>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</si>
  <si>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</si>
  <si>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</si>
  <si>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</si>
  <si>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</si>
  <si>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</si>
  <si>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</si>
  <si>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</si>
  <si>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</si>
  <si>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</si>
  <si>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</si>
  <si>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</si>
  <si>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</si>
  <si>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</si>
  <si>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</si>
  <si>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</si>
  <si>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</si>
  <si>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</si>
  <si>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</si>
  <si>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</si>
  <si>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</si>
  <si>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</si>
  <si>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</si>
  <si>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</si>
  <si>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</si>
  <si>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</si>
  <si>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</si>
  <si>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</si>
  <si>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</si>
  <si>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</si>
  <si>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</si>
  <si>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</si>
  <si>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</si>
  <si>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</si>
  <si>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</si>
  <si>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</si>
  <si>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</si>
  <si>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</si>
  <si>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</si>
  <si>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</si>
  <si>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</si>
  <si>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</si>
  <si>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</si>
  <si>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</si>
  <si>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</si>
  <si>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</si>
  <si>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</si>
  <si>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</si>
  <si>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</si>
  <si>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</si>
  <si>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</si>
  <si>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</si>
  <si>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</si>
  <si>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</si>
  <si>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</si>
  <si>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</si>
  <si>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</si>
  <si>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</si>
  <si>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</si>
  <si>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</si>
  <si>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</si>
  <si>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</si>
  <si>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</si>
  <si>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</si>
  <si>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</si>
  <si>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</si>
  <si>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</si>
  <si>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</si>
  <si>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</si>
  <si>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</si>
  <si>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</si>
  <si>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</si>
  <si>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</si>
  <si>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</si>
  <si>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</si>
  <si>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</si>
  <si>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</si>
  <si>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</si>
  <si>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</si>
  <si>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</si>
  <si>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</si>
  <si>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</si>
  <si>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</si>
  <si>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</si>
  <si>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</si>
  <si>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</si>
  <si>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</si>
  <si>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</si>
  <si>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</si>
  <si>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</si>
  <si>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</si>
  <si>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</si>
  <si>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</si>
  <si>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</si>
  <si>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</si>
  <si>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</si>
  <si>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</si>
  <si>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</si>
  <si>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</si>
  <si>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</si>
  <si>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</si>
  <si>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</si>
  <si>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</si>
  <si>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</si>
  <si>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</si>
  <si>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</si>
  <si>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</si>
  <si>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</si>
  <si>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</si>
  <si>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</si>
  <si>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</si>
  <si>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</si>
  <si>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</si>
  <si>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</si>
  <si>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</si>
  <si>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</si>
  <si>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</si>
  <si>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</si>
  <si>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</si>
  <si>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</si>
  <si>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</si>
  <si>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</si>
  <si>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</si>
  <si>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</si>
  <si>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</si>
  <si>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</si>
  <si>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</si>
  <si>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</si>
  <si>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</si>
  <si>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</si>
  <si>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</si>
  <si>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</si>
  <si>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</si>
  <si>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</si>
  <si>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</si>
  <si>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</si>
  <si>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</si>
  <si>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</si>
  <si>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</si>
  <si>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</si>
  <si>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</si>
  <si>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</si>
  <si>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</si>
  <si>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</si>
  <si>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</si>
  <si>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</si>
  <si>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</si>
  <si>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</si>
  <si>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</si>
  <si>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</si>
  <si>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</si>
  <si>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</si>
  <si>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</si>
  <si>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</si>
  <si>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</si>
  <si>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</si>
  <si>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</si>
  <si>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</si>
  <si>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</si>
  <si>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</si>
  <si>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</si>
  <si>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</si>
  <si>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</si>
  <si>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</si>
  <si>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</si>
  <si>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</si>
  <si>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</si>
  <si>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</si>
  <si>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</si>
  <si>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</si>
  <si>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</si>
  <si>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</si>
  <si>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</si>
  <si>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</si>
  <si>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</si>
  <si>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</si>
  <si>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</si>
  <si>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</si>
  <si>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</si>
  <si>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</si>
  <si>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</si>
  <si>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</si>
  <si>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</si>
  <si>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</si>
  <si>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</si>
  <si>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</si>
  <si>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</si>
  <si>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</si>
  <si>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</si>
  <si>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</si>
  <si>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</si>
  <si>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</si>
  <si>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</si>
  <si>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</si>
  <si>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</si>
  <si>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</si>
  <si>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</si>
  <si>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</si>
  <si>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</si>
  <si>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</si>
  <si>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</si>
  <si>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</si>
  <si>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</si>
  <si>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</si>
  <si>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</si>
  <si>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</si>
  <si>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</si>
  <si>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</si>
  <si>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</si>
  <si>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</si>
  <si>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</si>
  <si>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</si>
  <si>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</si>
  <si>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</si>
  <si>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</si>
  <si>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</si>
  <si>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</si>
  <si>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</si>
  <si>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</si>
  <si>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</si>
  <si>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</si>
  <si>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</si>
  <si>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</si>
  <si>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</si>
  <si>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</si>
  <si>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</si>
  <si>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</si>
  <si>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</si>
  <si>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</si>
  <si>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</si>
  <si>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</si>
  <si>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</si>
  <si>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</si>
  <si>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</si>
  <si>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</si>
  <si>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</si>
  <si>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</si>
  <si>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</si>
  <si>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</si>
  <si>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</si>
  <si>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</si>
  <si>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</si>
  <si>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</si>
  <si>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</si>
  <si>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</si>
  <si>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</si>
  <si>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</si>
  <si>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</si>
  <si>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</si>
  <si>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</si>
  <si>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</si>
  <si>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</si>
  <si>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</si>
  <si>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</si>
  <si>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</si>
  <si>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</si>
  <si>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</si>
  <si>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</si>
  <si>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</si>
  <si>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</si>
  <si>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</si>
  <si>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</si>
  <si>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</si>
  <si>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</si>
  <si>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</si>
  <si>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</si>
  <si>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</si>
  <si>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</si>
  <si>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</si>
  <si>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</si>
  <si>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</si>
  <si>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</si>
  <si>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</si>
  <si>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</si>
  <si>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</si>
  <si>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</si>
  <si>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</si>
  <si>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</si>
  <si>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</si>
  <si>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</si>
  <si>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</si>
  <si>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</si>
  <si>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</si>
  <si>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</si>
  <si>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</si>
  <si>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</si>
  <si>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</si>
  <si>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</si>
  <si>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</si>
  <si>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</si>
  <si>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</si>
  <si>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</si>
  <si>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</si>
  <si>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</si>
  <si>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</si>
  <si>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</si>
  <si>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</si>
  <si>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</si>
  <si>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</si>
  <si>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</si>
  <si>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</si>
  <si>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</si>
  <si>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</si>
  <si>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</si>
  <si>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</si>
  <si>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</si>
  <si>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</si>
  <si>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</si>
  <si>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</si>
  <si>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</si>
  <si>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</si>
  <si>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</si>
  <si>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</si>
  <si>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</si>
  <si>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</si>
  <si>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</si>
  <si>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</si>
  <si>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</si>
  <si>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</si>
  <si>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</si>
  <si>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</si>
  <si>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</si>
  <si>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</si>
  <si>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</si>
  <si>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</si>
  <si>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</si>
  <si>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</si>
  <si>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</si>
  <si>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</si>
  <si>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</si>
  <si>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</si>
  <si>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</si>
  <si>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</si>
  <si>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</si>
  <si>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</si>
  <si>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</si>
  <si>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</si>
  <si>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</si>
  <si>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</si>
  <si>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</si>
  <si>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</si>
  <si>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</si>
  <si>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</si>
  <si>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</si>
  <si>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</si>
  <si>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</si>
  <si>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</si>
  <si>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</si>
  <si>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</si>
  <si>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</si>
  <si>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</si>
  <si>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</si>
  <si>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</si>
  <si>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</si>
  <si>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</si>
  <si>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</si>
  <si>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</si>
  <si>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</si>
  <si>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</si>
  <si>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</si>
  <si>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</si>
  <si>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</si>
  <si>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</si>
  <si>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</si>
  <si>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</si>
  <si>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</si>
  <si>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</si>
  <si>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</si>
  <si>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</si>
  <si>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24008</t>
  </si>
  <si>
    <t>BEKKEVOORT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</si>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</sst>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73B01C1E-AFF3-40A3-8CCF-879075C5C510}"/>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55472.435252560055</c:v>
                </c:pt>
                <c:pt idx="1">
                  <c:v>12955.609952947234</c:v>
                </c:pt>
                <c:pt idx="2">
                  <c:v>495.56099999999998</c:v>
                </c:pt>
                <c:pt idx="3">
                  <c:v>12631.797029992718</c:v>
                </c:pt>
                <c:pt idx="4">
                  <c:v>7768.2836473007555</c:v>
                </c:pt>
                <c:pt idx="5">
                  <c:v>191377.49893691938</c:v>
                </c:pt>
                <c:pt idx="6">
                  <c:v>1190.459554106948</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55472.435252560055</c:v>
                </c:pt>
                <c:pt idx="1">
                  <c:v>12955.609952947234</c:v>
                </c:pt>
                <c:pt idx="2">
                  <c:v>495.56099999999998</c:v>
                </c:pt>
                <c:pt idx="3">
                  <c:v>12631.797029992718</c:v>
                </c:pt>
                <c:pt idx="4">
                  <c:v>7768.2836473007555</c:v>
                </c:pt>
                <c:pt idx="5">
                  <c:v>191377.49893691938</c:v>
                </c:pt>
                <c:pt idx="6">
                  <c:v>1190.459554106948</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11600.406248775551</c:v>
                </c:pt>
                <c:pt idx="2">
                  <c:v>1829.4875602426318</c:v>
                </c:pt>
                <c:pt idx="3">
                  <c:v>58.314672126625979</c:v>
                </c:pt>
                <c:pt idx="4">
                  <c:v>2905.4138456135797</c:v>
                </c:pt>
                <c:pt idx="5">
                  <c:v>1412.3367720276885</c:v>
                </c:pt>
                <c:pt idx="6">
                  <c:v>47999.656504046317</c:v>
                </c:pt>
                <c:pt idx="7">
                  <c:v>299.75382977346288</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11600.406248775551</c:v>
                </c:pt>
                <c:pt idx="2">
                  <c:v>1829.4875602426318</c:v>
                </c:pt>
                <c:pt idx="3">
                  <c:v>58.314672126625979</c:v>
                </c:pt>
                <c:pt idx="4">
                  <c:v>2905.4138456135797</c:v>
                </c:pt>
                <c:pt idx="5">
                  <c:v>1412.3367720276885</c:v>
                </c:pt>
                <c:pt idx="6">
                  <c:v>47999.656504046317</c:v>
                </c:pt>
                <c:pt idx="7">
                  <c:v>299.75382977346288</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24008</v>
      </c>
      <c r="B6" s="383"/>
      <c r="C6" s="384"/>
    </row>
    <row r="7" spans="1:7" s="381" customFormat="1" ht="15.75" customHeight="1">
      <c r="A7" s="385" t="str">
        <f>txtMunicipality</f>
        <v>BEKKEVOORT</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10033.663999999999</v>
      </c>
      <c r="D10" s="983">
        <f ca="1">tertiair!C16</f>
        <v>0</v>
      </c>
      <c r="E10" s="983">
        <f ca="1">tertiair!D16</f>
        <v>1835.5113699999999</v>
      </c>
      <c r="F10" s="983">
        <f>tertiair!E16</f>
        <v>62.928953138581882</v>
      </c>
      <c r="G10" s="983">
        <f ca="1">tertiair!F16</f>
        <v>1206.1503325990921</v>
      </c>
      <c r="H10" s="983">
        <f>tertiair!G16</f>
        <v>0</v>
      </c>
      <c r="I10" s="983">
        <f>tertiair!H16</f>
        <v>0</v>
      </c>
      <c r="J10" s="983">
        <f>tertiair!I16</f>
        <v>0</v>
      </c>
      <c r="K10" s="983">
        <f>tertiair!J16</f>
        <v>0</v>
      </c>
      <c r="L10" s="983">
        <f>tertiair!K16</f>
        <v>0</v>
      </c>
      <c r="M10" s="983">
        <f ca="1">tertiair!L16</f>
        <v>0</v>
      </c>
      <c r="N10" s="983">
        <f>tertiair!M16</f>
        <v>0</v>
      </c>
      <c r="O10" s="983">
        <f ca="1">tertiair!N16</f>
        <v>292.28629720955945</v>
      </c>
      <c r="P10" s="983">
        <f>tertiair!O16</f>
        <v>1.5633333333333335</v>
      </c>
      <c r="Q10" s="984">
        <f>tertiair!P16</f>
        <v>19.066666666666666</v>
      </c>
      <c r="R10" s="667">
        <f ca="1">SUM(C10:Q10)</f>
        <v>13451.170952947234</v>
      </c>
      <c r="S10" s="67"/>
    </row>
    <row r="11" spans="1:19" s="440" customFormat="1">
      <c r="A11" s="776" t="s">
        <v>214</v>
      </c>
      <c r="B11" s="781"/>
      <c r="C11" s="983">
        <f>huishoudens!B8</f>
        <v>11495.182071883075</v>
      </c>
      <c r="D11" s="983">
        <f>huishoudens!C8</f>
        <v>0</v>
      </c>
      <c r="E11" s="983">
        <f>huishoudens!D8</f>
        <v>7547.5878279999997</v>
      </c>
      <c r="F11" s="983">
        <f>huishoudens!E8</f>
        <v>978.97567459887466</v>
      </c>
      <c r="G11" s="983">
        <f>huishoudens!F8</f>
        <v>30883.62832011058</v>
      </c>
      <c r="H11" s="983">
        <f>huishoudens!G8</f>
        <v>0</v>
      </c>
      <c r="I11" s="983">
        <f>huishoudens!H8</f>
        <v>0</v>
      </c>
      <c r="J11" s="983">
        <f>huishoudens!I8</f>
        <v>0</v>
      </c>
      <c r="K11" s="983">
        <f>huishoudens!J8</f>
        <v>720.2050457522937</v>
      </c>
      <c r="L11" s="983">
        <f>huishoudens!K8</f>
        <v>0</v>
      </c>
      <c r="M11" s="983">
        <f>huishoudens!L8</f>
        <v>0</v>
      </c>
      <c r="N11" s="983">
        <f>huishoudens!M8</f>
        <v>0</v>
      </c>
      <c r="O11" s="983">
        <f>huishoudens!N8</f>
        <v>3171.9829788818997</v>
      </c>
      <c r="P11" s="983">
        <f>huishoudens!O8</f>
        <v>121.94000000000001</v>
      </c>
      <c r="Q11" s="984">
        <f>huishoudens!P8</f>
        <v>552.93333333333339</v>
      </c>
      <c r="R11" s="667">
        <f>SUM(C11:Q11)</f>
        <v>55472.435252560055</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2523.5186551724141</v>
      </c>
      <c r="D13" s="983">
        <f>industrie!C18</f>
        <v>0</v>
      </c>
      <c r="E13" s="983">
        <f>industrie!D18</f>
        <v>549.73201800000004</v>
      </c>
      <c r="F13" s="983">
        <f>industrie!E18</f>
        <v>164.85004759177085</v>
      </c>
      <c r="G13" s="983">
        <f>industrie!F18</f>
        <v>3567.5431807879631</v>
      </c>
      <c r="H13" s="983">
        <f>industrie!G18</f>
        <v>0</v>
      </c>
      <c r="I13" s="983">
        <f>industrie!H18</f>
        <v>0</v>
      </c>
      <c r="J13" s="983">
        <f>industrie!I18</f>
        <v>0</v>
      </c>
      <c r="K13" s="983">
        <f>industrie!J18</f>
        <v>40.630628627874749</v>
      </c>
      <c r="L13" s="983">
        <f>industrie!K18</f>
        <v>0</v>
      </c>
      <c r="M13" s="983">
        <f>industrie!L18</f>
        <v>0</v>
      </c>
      <c r="N13" s="983">
        <f>industrie!M18</f>
        <v>0</v>
      </c>
      <c r="O13" s="983">
        <f>industrie!N18</f>
        <v>922.00911712073207</v>
      </c>
      <c r="P13" s="983">
        <f>industrie!O18</f>
        <v>0</v>
      </c>
      <c r="Q13" s="984">
        <f>industrie!P18</f>
        <v>0</v>
      </c>
      <c r="R13" s="667">
        <f>SUM(C13:Q13)</f>
        <v>7768.2836473007555</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24052.36472705549</v>
      </c>
      <c r="D16" s="699">
        <f t="shared" ref="D16:R16" ca="1" si="0">SUM(D9:D15)</f>
        <v>0</v>
      </c>
      <c r="E16" s="699">
        <f t="shared" ca="1" si="0"/>
        <v>9932.8312160000005</v>
      </c>
      <c r="F16" s="699">
        <f t="shared" si="0"/>
        <v>1206.7546753292274</v>
      </c>
      <c r="G16" s="699">
        <f t="shared" ca="1" si="0"/>
        <v>35657.321833497634</v>
      </c>
      <c r="H16" s="699">
        <f t="shared" si="0"/>
        <v>0</v>
      </c>
      <c r="I16" s="699">
        <f t="shared" si="0"/>
        <v>0</v>
      </c>
      <c r="J16" s="699">
        <f t="shared" si="0"/>
        <v>0</v>
      </c>
      <c r="K16" s="699">
        <f t="shared" si="0"/>
        <v>760.83567438016848</v>
      </c>
      <c r="L16" s="699">
        <f t="shared" si="0"/>
        <v>0</v>
      </c>
      <c r="M16" s="699">
        <f t="shared" ca="1" si="0"/>
        <v>0</v>
      </c>
      <c r="N16" s="699">
        <f t="shared" si="0"/>
        <v>0</v>
      </c>
      <c r="O16" s="699">
        <f t="shared" ca="1" si="0"/>
        <v>4386.2783932121911</v>
      </c>
      <c r="P16" s="699">
        <f t="shared" si="0"/>
        <v>123.50333333333334</v>
      </c>
      <c r="Q16" s="699">
        <f t="shared" si="0"/>
        <v>572.00000000000011</v>
      </c>
      <c r="R16" s="699">
        <f t="shared" ca="1" si="0"/>
        <v>76691.889852808032</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5.9110625449134844</v>
      </c>
      <c r="D19" s="983">
        <f>transport!C54</f>
        <v>0</v>
      </c>
      <c r="E19" s="983">
        <f>transport!D54</f>
        <v>0</v>
      </c>
      <c r="F19" s="983">
        <f>transport!E54</f>
        <v>0</v>
      </c>
      <c r="G19" s="983">
        <f>transport!F54</f>
        <v>0</v>
      </c>
      <c r="H19" s="983">
        <f>transport!G54</f>
        <v>1120.0683560949269</v>
      </c>
      <c r="I19" s="983">
        <f>transport!H54</f>
        <v>0</v>
      </c>
      <c r="J19" s="983">
        <f>transport!I54</f>
        <v>0</v>
      </c>
      <c r="K19" s="983">
        <f>transport!J54</f>
        <v>0</v>
      </c>
      <c r="L19" s="983">
        <f>transport!K54</f>
        <v>0</v>
      </c>
      <c r="M19" s="983">
        <f>transport!L54</f>
        <v>0</v>
      </c>
      <c r="N19" s="983">
        <f>transport!M54</f>
        <v>64.480135467107601</v>
      </c>
      <c r="O19" s="983">
        <f>transport!N54</f>
        <v>0</v>
      </c>
      <c r="P19" s="983">
        <f>transport!O54</f>
        <v>0</v>
      </c>
      <c r="Q19" s="984">
        <f>transport!P54</f>
        <v>0</v>
      </c>
      <c r="R19" s="667">
        <f>SUM(C19:Q19)</f>
        <v>1190.459554106948</v>
      </c>
      <c r="S19" s="67"/>
    </row>
    <row r="20" spans="1:19" s="440" customFormat="1">
      <c r="A20" s="776" t="s">
        <v>296</v>
      </c>
      <c r="B20" s="781"/>
      <c r="C20" s="983">
        <f>transport!B14</f>
        <v>29.624077170044092</v>
      </c>
      <c r="D20" s="983">
        <f>transport!C14</f>
        <v>0</v>
      </c>
      <c r="E20" s="983">
        <f>transport!D14</f>
        <v>42.558655226813038</v>
      </c>
      <c r="F20" s="983">
        <f>transport!E14</f>
        <v>471.7331666157441</v>
      </c>
      <c r="G20" s="983">
        <f>transport!F14</f>
        <v>0</v>
      </c>
      <c r="H20" s="983">
        <f>transport!G14</f>
        <v>155741.99727669719</v>
      </c>
      <c r="I20" s="983">
        <f>transport!H14</f>
        <v>25290.670557103938</v>
      </c>
      <c r="J20" s="983">
        <f>transport!I14</f>
        <v>0</v>
      </c>
      <c r="K20" s="983">
        <f>transport!J14</f>
        <v>0</v>
      </c>
      <c r="L20" s="983">
        <f>transport!K14</f>
        <v>0</v>
      </c>
      <c r="M20" s="983">
        <f>transport!L14</f>
        <v>0</v>
      </c>
      <c r="N20" s="983">
        <f>transport!M14</f>
        <v>9800.9152041056714</v>
      </c>
      <c r="O20" s="983">
        <f>transport!N14</f>
        <v>0</v>
      </c>
      <c r="P20" s="983">
        <f>transport!O14</f>
        <v>0</v>
      </c>
      <c r="Q20" s="984">
        <f>transport!P14</f>
        <v>0</v>
      </c>
      <c r="R20" s="667">
        <f>SUM(C20:Q20)</f>
        <v>191377.49893691938</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35.53513971495758</v>
      </c>
      <c r="D22" s="779">
        <f t="shared" ref="D22:R22" si="1">SUM(D18:D21)</f>
        <v>0</v>
      </c>
      <c r="E22" s="779">
        <f t="shared" si="1"/>
        <v>42.558655226813038</v>
      </c>
      <c r="F22" s="779">
        <f t="shared" si="1"/>
        <v>471.7331666157441</v>
      </c>
      <c r="G22" s="779">
        <f t="shared" si="1"/>
        <v>0</v>
      </c>
      <c r="H22" s="779">
        <f t="shared" si="1"/>
        <v>156862.06563279213</v>
      </c>
      <c r="I22" s="779">
        <f t="shared" si="1"/>
        <v>25290.670557103938</v>
      </c>
      <c r="J22" s="779">
        <f t="shared" si="1"/>
        <v>0</v>
      </c>
      <c r="K22" s="779">
        <f t="shared" si="1"/>
        <v>0</v>
      </c>
      <c r="L22" s="779">
        <f t="shared" si="1"/>
        <v>0</v>
      </c>
      <c r="M22" s="779">
        <f t="shared" si="1"/>
        <v>0</v>
      </c>
      <c r="N22" s="779">
        <f t="shared" si="1"/>
        <v>9865.3953395727785</v>
      </c>
      <c r="O22" s="779">
        <f t="shared" si="1"/>
        <v>0</v>
      </c>
      <c r="P22" s="779">
        <f t="shared" si="1"/>
        <v>0</v>
      </c>
      <c r="Q22" s="779">
        <f t="shared" si="1"/>
        <v>0</v>
      </c>
      <c r="R22" s="779">
        <f t="shared" si="1"/>
        <v>192567.95849102634</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3397.7089999999998</v>
      </c>
      <c r="D24" s="983">
        <f>+landbouw!C8</f>
        <v>0</v>
      </c>
      <c r="E24" s="983">
        <f>+landbouw!D8</f>
        <v>61.075322</v>
      </c>
      <c r="F24" s="983">
        <f>+landbouw!E8</f>
        <v>31.471003849342491</v>
      </c>
      <c r="G24" s="983">
        <f>+landbouw!F8</f>
        <v>8620.6349959002673</v>
      </c>
      <c r="H24" s="983">
        <f>+landbouw!G8</f>
        <v>0</v>
      </c>
      <c r="I24" s="983">
        <f>+landbouw!H8</f>
        <v>0</v>
      </c>
      <c r="J24" s="983">
        <f>+landbouw!I8</f>
        <v>0</v>
      </c>
      <c r="K24" s="983">
        <f>+landbouw!J8</f>
        <v>520.90670824310894</v>
      </c>
      <c r="L24" s="983">
        <f>+landbouw!K8</f>
        <v>0</v>
      </c>
      <c r="M24" s="983">
        <f>+landbouw!L8</f>
        <v>0</v>
      </c>
      <c r="N24" s="983">
        <f>+landbouw!M8</f>
        <v>0</v>
      </c>
      <c r="O24" s="983">
        <f>+landbouw!N8</f>
        <v>0</v>
      </c>
      <c r="P24" s="983">
        <f>+landbouw!O8</f>
        <v>0</v>
      </c>
      <c r="Q24" s="984">
        <f>+landbouw!P8</f>
        <v>0</v>
      </c>
      <c r="R24" s="667">
        <f>SUM(C24:Q24)</f>
        <v>12631.797029992718</v>
      </c>
      <c r="S24" s="67"/>
    </row>
    <row r="25" spans="1:19" s="440" customFormat="1" ht="15" thickBot="1">
      <c r="A25" s="798" t="s">
        <v>829</v>
      </c>
      <c r="B25" s="986"/>
      <c r="C25" s="987">
        <f>IF(Onbekend_ele_kWh="---",0,Onbekend_ele_kWh)/1000+IF(REST_rest_ele_kWh="---",0,REST_rest_ele_kWh)/1000</f>
        <v>160.35300000000001</v>
      </c>
      <c r="D25" s="987"/>
      <c r="E25" s="987">
        <f>IF(onbekend_gas_kWh="---",0,onbekend_gas_kWh)/1000+IF(REST_rest_gas_kWh="---",0,REST_rest_gas_kWh)/1000</f>
        <v>252.416</v>
      </c>
      <c r="F25" s="987"/>
      <c r="G25" s="987"/>
      <c r="H25" s="987"/>
      <c r="I25" s="987"/>
      <c r="J25" s="987"/>
      <c r="K25" s="987"/>
      <c r="L25" s="987"/>
      <c r="M25" s="987"/>
      <c r="N25" s="987"/>
      <c r="O25" s="987"/>
      <c r="P25" s="987"/>
      <c r="Q25" s="988"/>
      <c r="R25" s="667">
        <f>SUM(C25:Q25)</f>
        <v>412.76900000000001</v>
      </c>
      <c r="S25" s="67"/>
    </row>
    <row r="26" spans="1:19" s="440" customFormat="1" ht="15.75" thickBot="1">
      <c r="A26" s="672" t="s">
        <v>830</v>
      </c>
      <c r="B26" s="784"/>
      <c r="C26" s="779">
        <f>SUM(C24:C25)</f>
        <v>3558.0619999999999</v>
      </c>
      <c r="D26" s="779">
        <f t="shared" ref="D26:R26" si="2">SUM(D24:D25)</f>
        <v>0</v>
      </c>
      <c r="E26" s="779">
        <f t="shared" si="2"/>
        <v>313.49132199999997</v>
      </c>
      <c r="F26" s="779">
        <f t="shared" si="2"/>
        <v>31.471003849342491</v>
      </c>
      <c r="G26" s="779">
        <f t="shared" si="2"/>
        <v>8620.6349959002673</v>
      </c>
      <c r="H26" s="779">
        <f t="shared" si="2"/>
        <v>0</v>
      </c>
      <c r="I26" s="779">
        <f t="shared" si="2"/>
        <v>0</v>
      </c>
      <c r="J26" s="779">
        <f t="shared" si="2"/>
        <v>0</v>
      </c>
      <c r="K26" s="779">
        <f t="shared" si="2"/>
        <v>520.90670824310894</v>
      </c>
      <c r="L26" s="779">
        <f t="shared" si="2"/>
        <v>0</v>
      </c>
      <c r="M26" s="779">
        <f t="shared" si="2"/>
        <v>0</v>
      </c>
      <c r="N26" s="779">
        <f t="shared" si="2"/>
        <v>0</v>
      </c>
      <c r="O26" s="779">
        <f t="shared" si="2"/>
        <v>0</v>
      </c>
      <c r="P26" s="779">
        <f t="shared" si="2"/>
        <v>0</v>
      </c>
      <c r="Q26" s="779">
        <f t="shared" si="2"/>
        <v>0</v>
      </c>
      <c r="R26" s="779">
        <f t="shared" si="2"/>
        <v>13044.566029992719</v>
      </c>
      <c r="S26" s="67"/>
    </row>
    <row r="27" spans="1:19" s="440" customFormat="1" ht="17.25" thickTop="1" thickBot="1">
      <c r="A27" s="673" t="s">
        <v>109</v>
      </c>
      <c r="B27" s="772"/>
      <c r="C27" s="674">
        <f ca="1">C22+C16+C26</f>
        <v>27645.961866770449</v>
      </c>
      <c r="D27" s="674">
        <f t="shared" ref="D27:R27" ca="1" si="3">D22+D16+D26</f>
        <v>0</v>
      </c>
      <c r="E27" s="674">
        <f t="shared" ca="1" si="3"/>
        <v>10288.881193226813</v>
      </c>
      <c r="F27" s="674">
        <f t="shared" si="3"/>
        <v>1709.9588457943139</v>
      </c>
      <c r="G27" s="674">
        <f t="shared" ca="1" si="3"/>
        <v>44277.956829397903</v>
      </c>
      <c r="H27" s="674">
        <f t="shared" si="3"/>
        <v>156862.06563279213</v>
      </c>
      <c r="I27" s="674">
        <f t="shared" si="3"/>
        <v>25290.670557103938</v>
      </c>
      <c r="J27" s="674">
        <f t="shared" si="3"/>
        <v>0</v>
      </c>
      <c r="K27" s="674">
        <f t="shared" si="3"/>
        <v>1281.7423826232775</v>
      </c>
      <c r="L27" s="674">
        <f t="shared" si="3"/>
        <v>0</v>
      </c>
      <c r="M27" s="674">
        <f t="shared" ca="1" si="3"/>
        <v>0</v>
      </c>
      <c r="N27" s="674">
        <f t="shared" si="3"/>
        <v>9865.3953395727785</v>
      </c>
      <c r="O27" s="674">
        <f t="shared" ca="1" si="3"/>
        <v>4386.2783932121911</v>
      </c>
      <c r="P27" s="674">
        <f t="shared" si="3"/>
        <v>123.50333333333334</v>
      </c>
      <c r="Q27" s="674">
        <f t="shared" si="3"/>
        <v>572.00000000000011</v>
      </c>
      <c r="R27" s="674">
        <f t="shared" ca="1" si="3"/>
        <v>282304.41437382711</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1180.701924462842</v>
      </c>
      <c r="D40" s="983">
        <f ca="1">tertiair!C20</f>
        <v>0</v>
      </c>
      <c r="E40" s="983">
        <f ca="1">tertiair!D20</f>
        <v>370.77329674000003</v>
      </c>
      <c r="F40" s="983">
        <f>tertiair!E20</f>
        <v>14.284872362458088</v>
      </c>
      <c r="G40" s="983">
        <f ca="1">tertiair!F20</f>
        <v>322.04213880395758</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1887.8022323692578</v>
      </c>
    </row>
    <row r="41" spans="1:18">
      <c r="A41" s="789" t="s">
        <v>214</v>
      </c>
      <c r="B41" s="796"/>
      <c r="C41" s="983">
        <f ca="1">huishoudens!B12</f>
        <v>1352.6846817197693</v>
      </c>
      <c r="D41" s="983">
        <f ca="1">huishoudens!C12</f>
        <v>0</v>
      </c>
      <c r="E41" s="983">
        <f>huishoudens!D12</f>
        <v>1524.6127412559999</v>
      </c>
      <c r="F41" s="983">
        <f>huishoudens!E12</f>
        <v>222.22747813394454</v>
      </c>
      <c r="G41" s="983">
        <f>huishoudens!F12</f>
        <v>8245.9287614695259</v>
      </c>
      <c r="H41" s="983">
        <f>huishoudens!G12</f>
        <v>0</v>
      </c>
      <c r="I41" s="983">
        <f>huishoudens!H12</f>
        <v>0</v>
      </c>
      <c r="J41" s="983">
        <f>huishoudens!I12</f>
        <v>0</v>
      </c>
      <c r="K41" s="983">
        <f>huishoudens!J12</f>
        <v>254.95258619631196</v>
      </c>
      <c r="L41" s="983">
        <f>huishoudens!K12</f>
        <v>0</v>
      </c>
      <c r="M41" s="983">
        <f>huishoudens!L12</f>
        <v>0</v>
      </c>
      <c r="N41" s="983">
        <f>huishoudens!M12</f>
        <v>0</v>
      </c>
      <c r="O41" s="983">
        <f>huishoudens!N12</f>
        <v>0</v>
      </c>
      <c r="P41" s="983">
        <f>huishoudens!O12</f>
        <v>0</v>
      </c>
      <c r="Q41" s="741">
        <f>huishoudens!P12</f>
        <v>0</v>
      </c>
      <c r="R41" s="817">
        <f t="shared" ca="1" si="4"/>
        <v>11600.406248775551</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296.95267178370261</v>
      </c>
      <c r="D43" s="983">
        <f ca="1">industrie!C22</f>
        <v>0</v>
      </c>
      <c r="E43" s="983">
        <f>industrie!D22</f>
        <v>111.04586763600001</v>
      </c>
      <c r="F43" s="983">
        <f>industrie!E22</f>
        <v>37.420960803331987</v>
      </c>
      <c r="G43" s="983">
        <f>industrie!F22</f>
        <v>952.53402927038621</v>
      </c>
      <c r="H43" s="983">
        <f>industrie!G22</f>
        <v>0</v>
      </c>
      <c r="I43" s="983">
        <f>industrie!H22</f>
        <v>0</v>
      </c>
      <c r="J43" s="983">
        <f>industrie!I22</f>
        <v>0</v>
      </c>
      <c r="K43" s="983">
        <f>industrie!J22</f>
        <v>14.38324253426766</v>
      </c>
      <c r="L43" s="983">
        <f>industrie!K22</f>
        <v>0</v>
      </c>
      <c r="M43" s="983">
        <f>industrie!L22</f>
        <v>0</v>
      </c>
      <c r="N43" s="983">
        <f>industrie!M22</f>
        <v>0</v>
      </c>
      <c r="O43" s="983">
        <f>industrie!N22</f>
        <v>0</v>
      </c>
      <c r="P43" s="983">
        <f>industrie!O22</f>
        <v>0</v>
      </c>
      <c r="Q43" s="741">
        <f>industrie!P22</f>
        <v>0</v>
      </c>
      <c r="R43" s="816">
        <f t="shared" ca="1" si="4"/>
        <v>1412.3367720276885</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2830.3392779663136</v>
      </c>
      <c r="D46" s="699">
        <f t="shared" ref="D46:Q46" ca="1" si="5">SUM(D39:D45)</f>
        <v>0</v>
      </c>
      <c r="E46" s="699">
        <f t="shared" ca="1" si="5"/>
        <v>2006.4319056319998</v>
      </c>
      <c r="F46" s="699">
        <f t="shared" si="5"/>
        <v>273.93331129973461</v>
      </c>
      <c r="G46" s="699">
        <f t="shared" ca="1" si="5"/>
        <v>9520.5049295438694</v>
      </c>
      <c r="H46" s="699">
        <f t="shared" si="5"/>
        <v>0</v>
      </c>
      <c r="I46" s="699">
        <f t="shared" si="5"/>
        <v>0</v>
      </c>
      <c r="J46" s="699">
        <f t="shared" si="5"/>
        <v>0</v>
      </c>
      <c r="K46" s="699">
        <f t="shared" si="5"/>
        <v>269.33582873057964</v>
      </c>
      <c r="L46" s="699">
        <f t="shared" si="5"/>
        <v>0</v>
      </c>
      <c r="M46" s="699">
        <f t="shared" ca="1" si="5"/>
        <v>0</v>
      </c>
      <c r="N46" s="699">
        <f t="shared" si="5"/>
        <v>0</v>
      </c>
      <c r="O46" s="699">
        <f t="shared" ca="1" si="5"/>
        <v>0</v>
      </c>
      <c r="P46" s="699">
        <f t="shared" si="5"/>
        <v>0</v>
      </c>
      <c r="Q46" s="699">
        <f t="shared" si="5"/>
        <v>0</v>
      </c>
      <c r="R46" s="699">
        <f ca="1">SUM(R39:R45)</f>
        <v>14900.545253172499</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0.69557869611734824</v>
      </c>
      <c r="D49" s="983">
        <f ca="1">transport!C58</f>
        <v>0</v>
      </c>
      <c r="E49" s="983">
        <f>transport!D58</f>
        <v>0</v>
      </c>
      <c r="F49" s="983">
        <f>transport!E58</f>
        <v>0</v>
      </c>
      <c r="G49" s="983">
        <f>transport!F58</f>
        <v>0</v>
      </c>
      <c r="H49" s="983">
        <f>transport!G58</f>
        <v>299.05825107734552</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299.75382977346288</v>
      </c>
    </row>
    <row r="50" spans="1:18">
      <c r="A50" s="792" t="s">
        <v>296</v>
      </c>
      <c r="B50" s="802"/>
      <c r="C50" s="670">
        <f ca="1">transport!B18</f>
        <v>3.4859852716920567</v>
      </c>
      <c r="D50" s="670">
        <f>transport!C18</f>
        <v>0</v>
      </c>
      <c r="E50" s="670">
        <f>transport!D18</f>
        <v>8.5968483558162347</v>
      </c>
      <c r="F50" s="670">
        <f>transport!E18</f>
        <v>107.08342882177391</v>
      </c>
      <c r="G50" s="670">
        <f>transport!F18</f>
        <v>0</v>
      </c>
      <c r="H50" s="670">
        <f>transport!G18</f>
        <v>41583.113272878152</v>
      </c>
      <c r="I50" s="670">
        <f>transport!H18</f>
        <v>6297.3769687188806</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47999.656504046317</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4.1815639678094048</v>
      </c>
      <c r="D52" s="699">
        <f t="shared" ref="D52:Q52" ca="1" si="6">SUM(D48:D51)</f>
        <v>0</v>
      </c>
      <c r="E52" s="699">
        <f t="shared" si="6"/>
        <v>8.5968483558162347</v>
      </c>
      <c r="F52" s="699">
        <f t="shared" si="6"/>
        <v>107.08342882177391</v>
      </c>
      <c r="G52" s="699">
        <f t="shared" si="6"/>
        <v>0</v>
      </c>
      <c r="H52" s="699">
        <f t="shared" si="6"/>
        <v>41882.171523955498</v>
      </c>
      <c r="I52" s="699">
        <f t="shared" si="6"/>
        <v>6297.3769687188806</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48299.410333819782</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399.82219407234675</v>
      </c>
      <c r="D54" s="670">
        <f ca="1">+landbouw!C12</f>
        <v>0</v>
      </c>
      <c r="E54" s="670">
        <f>+landbouw!D12</f>
        <v>12.337215044000001</v>
      </c>
      <c r="F54" s="670">
        <f>+landbouw!E12</f>
        <v>7.1439178738007456</v>
      </c>
      <c r="G54" s="670">
        <f>+landbouw!F12</f>
        <v>2301.7095439053714</v>
      </c>
      <c r="H54" s="670">
        <f>+landbouw!G12</f>
        <v>0</v>
      </c>
      <c r="I54" s="670">
        <f>+landbouw!H12</f>
        <v>0</v>
      </c>
      <c r="J54" s="670">
        <f>+landbouw!I12</f>
        <v>0</v>
      </c>
      <c r="K54" s="670">
        <f>+landbouw!J12</f>
        <v>184.40097471806055</v>
      </c>
      <c r="L54" s="670">
        <f>+landbouw!K12</f>
        <v>0</v>
      </c>
      <c r="M54" s="670">
        <f>+landbouw!L12</f>
        <v>0</v>
      </c>
      <c r="N54" s="670">
        <f>+landbouw!M12</f>
        <v>0</v>
      </c>
      <c r="O54" s="670">
        <f>+landbouw!N12</f>
        <v>0</v>
      </c>
      <c r="P54" s="670">
        <f>+landbouw!O12</f>
        <v>0</v>
      </c>
      <c r="Q54" s="671">
        <f>+landbouw!P12</f>
        <v>0</v>
      </c>
      <c r="R54" s="698">
        <f ca="1">SUM(C54:Q54)</f>
        <v>2905.4138456135797</v>
      </c>
    </row>
    <row r="55" spans="1:18" ht="15" thickBot="1">
      <c r="A55" s="792" t="s">
        <v>829</v>
      </c>
      <c r="B55" s="802"/>
      <c r="C55" s="670">
        <f ca="1">C25*'EF ele_warmte'!B12</f>
        <v>18.869387662711262</v>
      </c>
      <c r="D55" s="670"/>
      <c r="E55" s="670">
        <f>E25*EF_CO2_aardgas</f>
        <v>50.988032000000004</v>
      </c>
      <c r="F55" s="670"/>
      <c r="G55" s="670"/>
      <c r="H55" s="670"/>
      <c r="I55" s="670"/>
      <c r="J55" s="670"/>
      <c r="K55" s="670"/>
      <c r="L55" s="670"/>
      <c r="M55" s="670"/>
      <c r="N55" s="670"/>
      <c r="O55" s="670"/>
      <c r="P55" s="670"/>
      <c r="Q55" s="671"/>
      <c r="R55" s="698">
        <f ca="1">SUM(C55:Q55)</f>
        <v>69.857419662711266</v>
      </c>
    </row>
    <row r="56" spans="1:18" ht="15.75" thickBot="1">
      <c r="A56" s="790" t="s">
        <v>830</v>
      </c>
      <c r="B56" s="803"/>
      <c r="C56" s="699">
        <f ca="1">SUM(C54:C55)</f>
        <v>418.69158173505798</v>
      </c>
      <c r="D56" s="699">
        <f t="shared" ref="D56:Q56" ca="1" si="7">SUM(D54:D55)</f>
        <v>0</v>
      </c>
      <c r="E56" s="699">
        <f t="shared" si="7"/>
        <v>63.325247044000008</v>
      </c>
      <c r="F56" s="699">
        <f t="shared" si="7"/>
        <v>7.1439178738007456</v>
      </c>
      <c r="G56" s="699">
        <f t="shared" si="7"/>
        <v>2301.7095439053714</v>
      </c>
      <c r="H56" s="699">
        <f t="shared" si="7"/>
        <v>0</v>
      </c>
      <c r="I56" s="699">
        <f t="shared" si="7"/>
        <v>0</v>
      </c>
      <c r="J56" s="699">
        <f t="shared" si="7"/>
        <v>0</v>
      </c>
      <c r="K56" s="699">
        <f t="shared" si="7"/>
        <v>184.40097471806055</v>
      </c>
      <c r="L56" s="699">
        <f t="shared" si="7"/>
        <v>0</v>
      </c>
      <c r="M56" s="699">
        <f t="shared" si="7"/>
        <v>0</v>
      </c>
      <c r="N56" s="699">
        <f t="shared" si="7"/>
        <v>0</v>
      </c>
      <c r="O56" s="699">
        <f t="shared" si="7"/>
        <v>0</v>
      </c>
      <c r="P56" s="699">
        <f t="shared" si="7"/>
        <v>0</v>
      </c>
      <c r="Q56" s="700">
        <f t="shared" si="7"/>
        <v>0</v>
      </c>
      <c r="R56" s="701">
        <f ca="1">SUM(R54:R55)</f>
        <v>2975.2712652762912</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3253.2124236691807</v>
      </c>
      <c r="D61" s="707">
        <f t="shared" ref="D61:Q61" ca="1" si="8">D46+D52+D56</f>
        <v>0</v>
      </c>
      <c r="E61" s="707">
        <f t="shared" ca="1" si="8"/>
        <v>2078.3540010318161</v>
      </c>
      <c r="F61" s="707">
        <f t="shared" si="8"/>
        <v>388.16065799530929</v>
      </c>
      <c r="G61" s="707">
        <f t="shared" ca="1" si="8"/>
        <v>11822.214473449241</v>
      </c>
      <c r="H61" s="707">
        <f t="shared" si="8"/>
        <v>41882.171523955498</v>
      </c>
      <c r="I61" s="707">
        <f t="shared" si="8"/>
        <v>6297.3769687188806</v>
      </c>
      <c r="J61" s="707">
        <f t="shared" si="8"/>
        <v>0</v>
      </c>
      <c r="K61" s="707">
        <f t="shared" si="8"/>
        <v>453.73680344864022</v>
      </c>
      <c r="L61" s="707">
        <f t="shared" si="8"/>
        <v>0</v>
      </c>
      <c r="M61" s="707">
        <f t="shared" ca="1" si="8"/>
        <v>0</v>
      </c>
      <c r="N61" s="707">
        <f t="shared" si="8"/>
        <v>0</v>
      </c>
      <c r="O61" s="707">
        <f t="shared" ca="1" si="8"/>
        <v>0</v>
      </c>
      <c r="P61" s="707">
        <f t="shared" si="8"/>
        <v>0</v>
      </c>
      <c r="Q61" s="707">
        <f t="shared" si="8"/>
        <v>0</v>
      </c>
      <c r="R61" s="707">
        <f ca="1">R46+R52+R56</f>
        <v>66175.226852268563</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0.11767405450918446</v>
      </c>
      <c r="D63" s="748">
        <f t="shared" ca="1" si="9"/>
        <v>0</v>
      </c>
      <c r="E63" s="994">
        <f t="shared" ca="1" si="9"/>
        <v>0.20199999999999999</v>
      </c>
      <c r="F63" s="748">
        <f t="shared" si="9"/>
        <v>0.22700000000000004</v>
      </c>
      <c r="G63" s="748">
        <f t="shared" ca="1" si="9"/>
        <v>0.26700000000000002</v>
      </c>
      <c r="H63" s="748">
        <f t="shared" si="9"/>
        <v>0.26700000000000002</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8058.9268886539867</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4866.6167714685807</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12925.543660122567</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11495.182071883075</v>
      </c>
      <c r="C4" s="444">
        <f>huishoudens!C8</f>
        <v>0</v>
      </c>
      <c r="D4" s="444">
        <f>huishoudens!D8</f>
        <v>7547.5878279999997</v>
      </c>
      <c r="E4" s="444">
        <f>huishoudens!E8</f>
        <v>978.97567459887466</v>
      </c>
      <c r="F4" s="444">
        <f>huishoudens!F8</f>
        <v>30883.62832011058</v>
      </c>
      <c r="G4" s="444">
        <f>huishoudens!G8</f>
        <v>0</v>
      </c>
      <c r="H4" s="444">
        <f>huishoudens!H8</f>
        <v>0</v>
      </c>
      <c r="I4" s="444">
        <f>huishoudens!I8</f>
        <v>0</v>
      </c>
      <c r="J4" s="444">
        <f>huishoudens!J8</f>
        <v>720.2050457522937</v>
      </c>
      <c r="K4" s="444">
        <f>huishoudens!K8</f>
        <v>0</v>
      </c>
      <c r="L4" s="444">
        <f>huishoudens!L8</f>
        <v>0</v>
      </c>
      <c r="M4" s="444">
        <f>huishoudens!M8</f>
        <v>0</v>
      </c>
      <c r="N4" s="444">
        <f>huishoudens!N8</f>
        <v>3171.9829788818997</v>
      </c>
      <c r="O4" s="444">
        <f>huishoudens!O8</f>
        <v>121.94000000000001</v>
      </c>
      <c r="P4" s="445">
        <f>huishoudens!P8</f>
        <v>552.93333333333339</v>
      </c>
      <c r="Q4" s="446">
        <f>SUM(B4:P4)</f>
        <v>55472.435252560055</v>
      </c>
    </row>
    <row r="5" spans="1:17">
      <c r="A5" s="443" t="s">
        <v>149</v>
      </c>
      <c r="B5" s="444">
        <f ca="1">tertiair!B16</f>
        <v>9538.1029999999992</v>
      </c>
      <c r="C5" s="444">
        <f ca="1">tertiair!C16</f>
        <v>0</v>
      </c>
      <c r="D5" s="444">
        <f ca="1">tertiair!D16</f>
        <v>1835.5113699999999</v>
      </c>
      <c r="E5" s="444">
        <f>tertiair!E16</f>
        <v>62.928953138581882</v>
      </c>
      <c r="F5" s="444">
        <f ca="1">tertiair!F16</f>
        <v>1206.1503325990921</v>
      </c>
      <c r="G5" s="444">
        <f>tertiair!G16</f>
        <v>0</v>
      </c>
      <c r="H5" s="444">
        <f>tertiair!H16</f>
        <v>0</v>
      </c>
      <c r="I5" s="444">
        <f>tertiair!I16</f>
        <v>0</v>
      </c>
      <c r="J5" s="444">
        <f>tertiair!J16</f>
        <v>0</v>
      </c>
      <c r="K5" s="444">
        <f>tertiair!K16</f>
        <v>0</v>
      </c>
      <c r="L5" s="444">
        <f ca="1">tertiair!L16</f>
        <v>0</v>
      </c>
      <c r="M5" s="444">
        <f>tertiair!M16</f>
        <v>0</v>
      </c>
      <c r="N5" s="444">
        <f ca="1">tertiair!N16</f>
        <v>292.28629720955945</v>
      </c>
      <c r="O5" s="444">
        <f>tertiair!O16</f>
        <v>1.5633333333333335</v>
      </c>
      <c r="P5" s="445">
        <f>tertiair!P16</f>
        <v>19.066666666666666</v>
      </c>
      <c r="Q5" s="443">
        <f t="shared" ref="Q5:Q14" ca="1" si="0">SUM(B5:P5)</f>
        <v>12955.609952947234</v>
      </c>
    </row>
    <row r="6" spans="1:17">
      <c r="A6" s="443" t="s">
        <v>187</v>
      </c>
      <c r="B6" s="444">
        <f>'openbare verlichting'!B8</f>
        <v>495.56099999999998</v>
      </c>
      <c r="C6" s="444"/>
      <c r="D6" s="444"/>
      <c r="E6" s="444"/>
      <c r="F6" s="444"/>
      <c r="G6" s="444"/>
      <c r="H6" s="444"/>
      <c r="I6" s="444"/>
      <c r="J6" s="444"/>
      <c r="K6" s="444"/>
      <c r="L6" s="444"/>
      <c r="M6" s="444"/>
      <c r="N6" s="444"/>
      <c r="O6" s="444"/>
      <c r="P6" s="445"/>
      <c r="Q6" s="443">
        <f t="shared" si="0"/>
        <v>495.56099999999998</v>
      </c>
    </row>
    <row r="7" spans="1:17">
      <c r="A7" s="443" t="s">
        <v>105</v>
      </c>
      <c r="B7" s="444">
        <f>landbouw!B8</f>
        <v>3397.7089999999998</v>
      </c>
      <c r="C7" s="444">
        <f>landbouw!C8</f>
        <v>0</v>
      </c>
      <c r="D7" s="444">
        <f>landbouw!D8</f>
        <v>61.075322</v>
      </c>
      <c r="E7" s="444">
        <f>landbouw!E8</f>
        <v>31.471003849342491</v>
      </c>
      <c r="F7" s="444">
        <f>landbouw!F8</f>
        <v>8620.6349959002673</v>
      </c>
      <c r="G7" s="444">
        <f>landbouw!G8</f>
        <v>0</v>
      </c>
      <c r="H7" s="444">
        <f>landbouw!H8</f>
        <v>0</v>
      </c>
      <c r="I7" s="444">
        <f>landbouw!I8</f>
        <v>0</v>
      </c>
      <c r="J7" s="444">
        <f>landbouw!J8</f>
        <v>520.90670824310894</v>
      </c>
      <c r="K7" s="444">
        <f>landbouw!K8</f>
        <v>0</v>
      </c>
      <c r="L7" s="444">
        <f>landbouw!L8</f>
        <v>0</v>
      </c>
      <c r="M7" s="444">
        <f>landbouw!M8</f>
        <v>0</v>
      </c>
      <c r="N7" s="444">
        <f>landbouw!N8</f>
        <v>0</v>
      </c>
      <c r="O7" s="444">
        <f>landbouw!O8</f>
        <v>0</v>
      </c>
      <c r="P7" s="445">
        <f>landbouw!P8</f>
        <v>0</v>
      </c>
      <c r="Q7" s="443">
        <f t="shared" si="0"/>
        <v>12631.797029992718</v>
      </c>
    </row>
    <row r="8" spans="1:17">
      <c r="A8" s="443" t="s">
        <v>637</v>
      </c>
      <c r="B8" s="444">
        <f>industrie!B18</f>
        <v>2523.5186551724141</v>
      </c>
      <c r="C8" s="444">
        <f>industrie!C18</f>
        <v>0</v>
      </c>
      <c r="D8" s="444">
        <f>industrie!D18</f>
        <v>549.73201800000004</v>
      </c>
      <c r="E8" s="444">
        <f>industrie!E18</f>
        <v>164.85004759177085</v>
      </c>
      <c r="F8" s="444">
        <f>industrie!F18</f>
        <v>3567.5431807879631</v>
      </c>
      <c r="G8" s="444">
        <f>industrie!G18</f>
        <v>0</v>
      </c>
      <c r="H8" s="444">
        <f>industrie!H18</f>
        <v>0</v>
      </c>
      <c r="I8" s="444">
        <f>industrie!I18</f>
        <v>0</v>
      </c>
      <c r="J8" s="444">
        <f>industrie!J18</f>
        <v>40.630628627874749</v>
      </c>
      <c r="K8" s="444">
        <f>industrie!K18</f>
        <v>0</v>
      </c>
      <c r="L8" s="444">
        <f>industrie!L18</f>
        <v>0</v>
      </c>
      <c r="M8" s="444">
        <f>industrie!M18</f>
        <v>0</v>
      </c>
      <c r="N8" s="444">
        <f>industrie!N18</f>
        <v>922.00911712073207</v>
      </c>
      <c r="O8" s="444">
        <f>industrie!O18</f>
        <v>0</v>
      </c>
      <c r="P8" s="445">
        <f>industrie!P18</f>
        <v>0</v>
      </c>
      <c r="Q8" s="443">
        <f t="shared" si="0"/>
        <v>7768.2836473007555</v>
      </c>
    </row>
    <row r="9" spans="1:17" s="449" customFormat="1">
      <c r="A9" s="447" t="s">
        <v>558</v>
      </c>
      <c r="B9" s="448">
        <f>transport!B14</f>
        <v>29.624077170044092</v>
      </c>
      <c r="C9" s="448">
        <f>transport!C14</f>
        <v>0</v>
      </c>
      <c r="D9" s="448">
        <f>transport!D14</f>
        <v>42.558655226813038</v>
      </c>
      <c r="E9" s="448">
        <f>transport!E14</f>
        <v>471.7331666157441</v>
      </c>
      <c r="F9" s="448">
        <f>transport!F14</f>
        <v>0</v>
      </c>
      <c r="G9" s="448">
        <f>transport!G14</f>
        <v>155741.99727669719</v>
      </c>
      <c r="H9" s="448">
        <f>transport!H14</f>
        <v>25290.670557103938</v>
      </c>
      <c r="I9" s="448">
        <f>transport!I14</f>
        <v>0</v>
      </c>
      <c r="J9" s="448">
        <f>transport!J14</f>
        <v>0</v>
      </c>
      <c r="K9" s="448">
        <f>transport!K14</f>
        <v>0</v>
      </c>
      <c r="L9" s="448">
        <f>transport!L14</f>
        <v>0</v>
      </c>
      <c r="M9" s="448">
        <f>transport!M14</f>
        <v>9800.9152041056714</v>
      </c>
      <c r="N9" s="448">
        <f>transport!N14</f>
        <v>0</v>
      </c>
      <c r="O9" s="448">
        <f>transport!O14</f>
        <v>0</v>
      </c>
      <c r="P9" s="448">
        <f>transport!P14</f>
        <v>0</v>
      </c>
      <c r="Q9" s="447">
        <f>SUM(B9:P9)</f>
        <v>191377.49893691938</v>
      </c>
    </row>
    <row r="10" spans="1:17">
      <c r="A10" s="443" t="s">
        <v>548</v>
      </c>
      <c r="B10" s="444">
        <f>transport!B54</f>
        <v>5.9110625449134844</v>
      </c>
      <c r="C10" s="444">
        <f>transport!C54</f>
        <v>0</v>
      </c>
      <c r="D10" s="444">
        <f>transport!D54</f>
        <v>0</v>
      </c>
      <c r="E10" s="444">
        <f>transport!E54</f>
        <v>0</v>
      </c>
      <c r="F10" s="444">
        <f>transport!F54</f>
        <v>0</v>
      </c>
      <c r="G10" s="444">
        <f>transport!G54</f>
        <v>1120.0683560949269</v>
      </c>
      <c r="H10" s="444">
        <f>transport!H54</f>
        <v>0</v>
      </c>
      <c r="I10" s="444">
        <f>transport!I54</f>
        <v>0</v>
      </c>
      <c r="J10" s="444">
        <f>transport!J54</f>
        <v>0</v>
      </c>
      <c r="K10" s="444">
        <f>transport!K54</f>
        <v>0</v>
      </c>
      <c r="L10" s="444">
        <f>transport!L54</f>
        <v>0</v>
      </c>
      <c r="M10" s="444">
        <f>transport!M54</f>
        <v>64.480135467107601</v>
      </c>
      <c r="N10" s="444">
        <f>transport!N54</f>
        <v>0</v>
      </c>
      <c r="O10" s="444">
        <f>transport!O54</f>
        <v>0</v>
      </c>
      <c r="P10" s="445">
        <f>transport!P54</f>
        <v>0</v>
      </c>
      <c r="Q10" s="443">
        <f t="shared" si="0"/>
        <v>1190.459554106948</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160.35300000000001</v>
      </c>
      <c r="C14" s="451"/>
      <c r="D14" s="451">
        <f>'SEAP template'!E25</f>
        <v>252.416</v>
      </c>
      <c r="E14" s="451"/>
      <c r="F14" s="451"/>
      <c r="G14" s="451"/>
      <c r="H14" s="451"/>
      <c r="I14" s="451"/>
      <c r="J14" s="451"/>
      <c r="K14" s="451"/>
      <c r="L14" s="451"/>
      <c r="M14" s="451"/>
      <c r="N14" s="451"/>
      <c r="O14" s="451"/>
      <c r="P14" s="452"/>
      <c r="Q14" s="443">
        <f t="shared" si="0"/>
        <v>412.76900000000001</v>
      </c>
    </row>
    <row r="15" spans="1:17" s="453" customFormat="1">
      <c r="A15" s="1009" t="s">
        <v>552</v>
      </c>
      <c r="B15" s="949">
        <f ca="1">SUM(B4:B14)</f>
        <v>27645.961866770445</v>
      </c>
      <c r="C15" s="949">
        <f t="shared" ref="C15:Q15" ca="1" si="1">SUM(C4:C14)</f>
        <v>0</v>
      </c>
      <c r="D15" s="949">
        <f t="shared" ca="1" si="1"/>
        <v>10288.881193226813</v>
      </c>
      <c r="E15" s="949">
        <f t="shared" si="1"/>
        <v>1709.9588457943139</v>
      </c>
      <c r="F15" s="949">
        <f t="shared" ca="1" si="1"/>
        <v>44277.956829397903</v>
      </c>
      <c r="G15" s="949">
        <f t="shared" si="1"/>
        <v>156862.06563279213</v>
      </c>
      <c r="H15" s="949">
        <f t="shared" si="1"/>
        <v>25290.670557103938</v>
      </c>
      <c r="I15" s="949">
        <f t="shared" si="1"/>
        <v>0</v>
      </c>
      <c r="J15" s="949">
        <f t="shared" si="1"/>
        <v>1281.7423826232773</v>
      </c>
      <c r="K15" s="949">
        <f t="shared" si="1"/>
        <v>0</v>
      </c>
      <c r="L15" s="949">
        <f t="shared" ca="1" si="1"/>
        <v>0</v>
      </c>
      <c r="M15" s="949">
        <f t="shared" si="1"/>
        <v>9865.3953395727785</v>
      </c>
      <c r="N15" s="949">
        <f t="shared" ca="1" si="1"/>
        <v>4386.2783932121911</v>
      </c>
      <c r="O15" s="949">
        <f t="shared" si="1"/>
        <v>123.50333333333334</v>
      </c>
      <c r="P15" s="949">
        <f t="shared" si="1"/>
        <v>572.00000000000011</v>
      </c>
      <c r="Q15" s="949">
        <f t="shared" ca="1" si="1"/>
        <v>282304.41437382705</v>
      </c>
    </row>
    <row r="17" spans="1:17">
      <c r="A17" s="454" t="s">
        <v>553</v>
      </c>
      <c r="B17" s="753">
        <f ca="1">huishoudens!B10</f>
        <v>0.1176740545091845</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1352.6846817197693</v>
      </c>
      <c r="C22" s="444">
        <f t="shared" ref="C22:C32" ca="1" si="3">C4*$C$17</f>
        <v>0</v>
      </c>
      <c r="D22" s="444">
        <f t="shared" ref="D22:D32" si="4">D4*$D$17</f>
        <v>1524.6127412559999</v>
      </c>
      <c r="E22" s="444">
        <f t="shared" ref="E22:E32" si="5">E4*$E$17</f>
        <v>222.22747813394454</v>
      </c>
      <c r="F22" s="444">
        <f t="shared" ref="F22:F32" si="6">F4*$F$17</f>
        <v>8245.9287614695259</v>
      </c>
      <c r="G22" s="444">
        <f t="shared" ref="G22:G32" si="7">G4*$G$17</f>
        <v>0</v>
      </c>
      <c r="H22" s="444">
        <f t="shared" ref="H22:H32" si="8">H4*$H$17</f>
        <v>0</v>
      </c>
      <c r="I22" s="444">
        <f t="shared" ref="I22:I32" si="9">I4*$I$17</f>
        <v>0</v>
      </c>
      <c r="J22" s="444">
        <f t="shared" ref="J22:J32" si="10">J4*$J$17</f>
        <v>254.95258619631196</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11600.406248775551</v>
      </c>
    </row>
    <row r="23" spans="1:17">
      <c r="A23" s="443" t="s">
        <v>149</v>
      </c>
      <c r="B23" s="444">
        <f t="shared" ca="1" si="2"/>
        <v>1122.3872523362161</v>
      </c>
      <c r="C23" s="444">
        <f t="shared" ca="1" si="3"/>
        <v>0</v>
      </c>
      <c r="D23" s="444">
        <f t="shared" ca="1" si="4"/>
        <v>370.77329674000003</v>
      </c>
      <c r="E23" s="444">
        <f t="shared" si="5"/>
        <v>14.284872362458088</v>
      </c>
      <c r="F23" s="444">
        <f t="shared" ca="1" si="6"/>
        <v>322.04213880395758</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1829.4875602426318</v>
      </c>
    </row>
    <row r="24" spans="1:17">
      <c r="A24" s="443" t="s">
        <v>187</v>
      </c>
      <c r="B24" s="444">
        <f t="shared" ca="1" si="2"/>
        <v>58.314672126625979</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58.314672126625979</v>
      </c>
    </row>
    <row r="25" spans="1:17">
      <c r="A25" s="443" t="s">
        <v>105</v>
      </c>
      <c r="B25" s="444">
        <f t="shared" ca="1" si="2"/>
        <v>399.82219407234675</v>
      </c>
      <c r="C25" s="444">
        <f t="shared" ca="1" si="3"/>
        <v>0</v>
      </c>
      <c r="D25" s="444">
        <f t="shared" si="4"/>
        <v>12.337215044000001</v>
      </c>
      <c r="E25" s="444">
        <f t="shared" si="5"/>
        <v>7.1439178738007456</v>
      </c>
      <c r="F25" s="444">
        <f t="shared" si="6"/>
        <v>2301.7095439053714</v>
      </c>
      <c r="G25" s="444">
        <f t="shared" si="7"/>
        <v>0</v>
      </c>
      <c r="H25" s="444">
        <f t="shared" si="8"/>
        <v>0</v>
      </c>
      <c r="I25" s="444">
        <f t="shared" si="9"/>
        <v>0</v>
      </c>
      <c r="J25" s="444">
        <f t="shared" si="10"/>
        <v>184.40097471806055</v>
      </c>
      <c r="K25" s="444">
        <f t="shared" si="11"/>
        <v>0</v>
      </c>
      <c r="L25" s="444">
        <f t="shared" si="12"/>
        <v>0</v>
      </c>
      <c r="M25" s="444">
        <f t="shared" si="13"/>
        <v>0</v>
      </c>
      <c r="N25" s="444">
        <f t="shared" si="14"/>
        <v>0</v>
      </c>
      <c r="O25" s="444">
        <f t="shared" si="15"/>
        <v>0</v>
      </c>
      <c r="P25" s="445">
        <f t="shared" si="16"/>
        <v>0</v>
      </c>
      <c r="Q25" s="443">
        <f t="shared" ca="1" si="17"/>
        <v>2905.4138456135797</v>
      </c>
    </row>
    <row r="26" spans="1:17">
      <c r="A26" s="443" t="s">
        <v>637</v>
      </c>
      <c r="B26" s="444">
        <f t="shared" ca="1" si="2"/>
        <v>296.95267178370261</v>
      </c>
      <c r="C26" s="444">
        <f t="shared" ca="1" si="3"/>
        <v>0</v>
      </c>
      <c r="D26" s="444">
        <f t="shared" si="4"/>
        <v>111.04586763600001</v>
      </c>
      <c r="E26" s="444">
        <f t="shared" si="5"/>
        <v>37.420960803331987</v>
      </c>
      <c r="F26" s="444">
        <f t="shared" si="6"/>
        <v>952.53402927038621</v>
      </c>
      <c r="G26" s="444">
        <f t="shared" si="7"/>
        <v>0</v>
      </c>
      <c r="H26" s="444">
        <f t="shared" si="8"/>
        <v>0</v>
      </c>
      <c r="I26" s="444">
        <f t="shared" si="9"/>
        <v>0</v>
      </c>
      <c r="J26" s="444">
        <f t="shared" si="10"/>
        <v>14.38324253426766</v>
      </c>
      <c r="K26" s="444">
        <f t="shared" si="11"/>
        <v>0</v>
      </c>
      <c r="L26" s="444">
        <f t="shared" si="12"/>
        <v>0</v>
      </c>
      <c r="M26" s="444">
        <f t="shared" si="13"/>
        <v>0</v>
      </c>
      <c r="N26" s="444">
        <f t="shared" si="14"/>
        <v>0</v>
      </c>
      <c r="O26" s="444">
        <f t="shared" si="15"/>
        <v>0</v>
      </c>
      <c r="P26" s="445">
        <f t="shared" si="16"/>
        <v>0</v>
      </c>
      <c r="Q26" s="443">
        <f t="shared" ca="1" si="17"/>
        <v>1412.3367720276885</v>
      </c>
    </row>
    <row r="27" spans="1:17" s="449" customFormat="1">
      <c r="A27" s="447" t="s">
        <v>558</v>
      </c>
      <c r="B27" s="747">
        <f t="shared" ca="1" si="2"/>
        <v>3.4859852716920567</v>
      </c>
      <c r="C27" s="448">
        <f t="shared" ca="1" si="3"/>
        <v>0</v>
      </c>
      <c r="D27" s="448">
        <f t="shared" si="4"/>
        <v>8.5968483558162347</v>
      </c>
      <c r="E27" s="448">
        <f t="shared" si="5"/>
        <v>107.08342882177391</v>
      </c>
      <c r="F27" s="448">
        <f t="shared" si="6"/>
        <v>0</v>
      </c>
      <c r="G27" s="448">
        <f t="shared" si="7"/>
        <v>41583.113272878152</v>
      </c>
      <c r="H27" s="448">
        <f t="shared" si="8"/>
        <v>6297.3769687188806</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47999.656504046317</v>
      </c>
    </row>
    <row r="28" spans="1:17">
      <c r="A28" s="443" t="s">
        <v>548</v>
      </c>
      <c r="B28" s="444">
        <f t="shared" ca="1" si="2"/>
        <v>0.69557869611734824</v>
      </c>
      <c r="C28" s="444">
        <f t="shared" ca="1" si="3"/>
        <v>0</v>
      </c>
      <c r="D28" s="444">
        <f t="shared" si="4"/>
        <v>0</v>
      </c>
      <c r="E28" s="444">
        <f t="shared" si="5"/>
        <v>0</v>
      </c>
      <c r="F28" s="444">
        <f t="shared" si="6"/>
        <v>0</v>
      </c>
      <c r="G28" s="444">
        <f t="shared" si="7"/>
        <v>299.05825107734552</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299.75382977346288</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18.869387662711262</v>
      </c>
      <c r="C32" s="444">
        <f t="shared" ca="1" si="3"/>
        <v>0</v>
      </c>
      <c r="D32" s="444">
        <f t="shared" si="4"/>
        <v>50.988032000000004</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69.857419662711266</v>
      </c>
    </row>
    <row r="33" spans="1:17" s="453" customFormat="1">
      <c r="A33" s="1009" t="s">
        <v>552</v>
      </c>
      <c r="B33" s="949">
        <f ca="1">SUM(B22:B32)</f>
        <v>3253.2124236691816</v>
      </c>
      <c r="C33" s="949">
        <f t="shared" ref="C33:Q33" ca="1" si="18">SUM(C22:C32)</f>
        <v>0</v>
      </c>
      <c r="D33" s="949">
        <f t="shared" ca="1" si="18"/>
        <v>2078.3540010318161</v>
      </c>
      <c r="E33" s="949">
        <f t="shared" si="18"/>
        <v>388.16065799530929</v>
      </c>
      <c r="F33" s="949">
        <f t="shared" ca="1" si="18"/>
        <v>11822.214473449241</v>
      </c>
      <c r="G33" s="949">
        <f t="shared" si="18"/>
        <v>41882.171523955498</v>
      </c>
      <c r="H33" s="949">
        <f t="shared" si="18"/>
        <v>6297.3769687188806</v>
      </c>
      <c r="I33" s="949">
        <f t="shared" si="18"/>
        <v>0</v>
      </c>
      <c r="J33" s="949">
        <f t="shared" si="18"/>
        <v>453.73680344864016</v>
      </c>
      <c r="K33" s="949">
        <f t="shared" si="18"/>
        <v>0</v>
      </c>
      <c r="L33" s="949">
        <f t="shared" ca="1" si="18"/>
        <v>0</v>
      </c>
      <c r="M33" s="949">
        <f t="shared" si="18"/>
        <v>0</v>
      </c>
      <c r="N33" s="949">
        <f t="shared" ca="1" si="18"/>
        <v>0</v>
      </c>
      <c r="O33" s="949">
        <f t="shared" si="18"/>
        <v>0</v>
      </c>
      <c r="P33" s="949">
        <f t="shared" si="18"/>
        <v>0</v>
      </c>
      <c r="Q33" s="949">
        <f t="shared" ca="1" si="18"/>
        <v>66175.226852268563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8058.9268886539867</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4866.6167714685807</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12925.543660122567</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0.1176740545091845</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0.1176740545091845</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0.1176740545091845</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0.1176740545091845</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2449</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2410</v>
      </c>
      <c r="C14" s="324"/>
      <c r="D14" s="324"/>
      <c r="E14" s="324"/>
      <c r="F14" s="324"/>
    </row>
    <row r="15" spans="1:6">
      <c r="A15" s="1302" t="s">
        <v>177</v>
      </c>
      <c r="B15" s="1303">
        <v>9</v>
      </c>
      <c r="C15" s="324"/>
      <c r="D15" s="324"/>
      <c r="E15" s="324"/>
      <c r="F15" s="324"/>
    </row>
    <row r="16" spans="1:6">
      <c r="A16" s="1302" t="s">
        <v>6</v>
      </c>
      <c r="B16" s="1303">
        <v>298</v>
      </c>
      <c r="C16" s="324"/>
      <c r="D16" s="324"/>
      <c r="E16" s="324"/>
      <c r="F16" s="324"/>
    </row>
    <row r="17" spans="1:6">
      <c r="A17" s="1302" t="s">
        <v>7</v>
      </c>
      <c r="B17" s="1303">
        <v>203</v>
      </c>
      <c r="C17" s="324"/>
      <c r="D17" s="324"/>
      <c r="E17" s="324"/>
      <c r="F17" s="324"/>
    </row>
    <row r="18" spans="1:6">
      <c r="A18" s="1302" t="s">
        <v>8</v>
      </c>
      <c r="B18" s="1303">
        <v>340</v>
      </c>
      <c r="C18" s="324"/>
      <c r="D18" s="324"/>
      <c r="E18" s="324"/>
      <c r="F18" s="324"/>
    </row>
    <row r="19" spans="1:6">
      <c r="A19" s="1302" t="s">
        <v>9</v>
      </c>
      <c r="B19" s="1303">
        <v>387</v>
      </c>
      <c r="C19" s="324"/>
      <c r="D19" s="324"/>
      <c r="E19" s="324"/>
      <c r="F19" s="324"/>
    </row>
    <row r="20" spans="1:6">
      <c r="A20" s="1302" t="s">
        <v>10</v>
      </c>
      <c r="B20" s="1303">
        <v>401</v>
      </c>
      <c r="C20" s="324"/>
      <c r="D20" s="324"/>
      <c r="E20" s="324"/>
      <c r="F20" s="324"/>
    </row>
    <row r="21" spans="1:6">
      <c r="A21" s="1302" t="s">
        <v>11</v>
      </c>
      <c r="B21" s="1303">
        <v>7601</v>
      </c>
      <c r="C21" s="324"/>
      <c r="D21" s="324"/>
      <c r="E21" s="324"/>
      <c r="F21" s="324"/>
    </row>
    <row r="22" spans="1:6">
      <c r="A22" s="1302" t="s">
        <v>12</v>
      </c>
      <c r="B22" s="1303">
        <v>8942</v>
      </c>
      <c r="C22" s="324"/>
      <c r="D22" s="324"/>
      <c r="E22" s="324"/>
      <c r="F22" s="324"/>
    </row>
    <row r="23" spans="1:6">
      <c r="A23" s="1302" t="s">
        <v>13</v>
      </c>
      <c r="B23" s="1303">
        <v>312</v>
      </c>
      <c r="C23" s="324"/>
      <c r="D23" s="324"/>
      <c r="E23" s="324"/>
      <c r="F23" s="324"/>
    </row>
    <row r="24" spans="1:6">
      <c r="A24" s="1302" t="s">
        <v>14</v>
      </c>
      <c r="B24" s="1303">
        <v>6</v>
      </c>
      <c r="C24" s="324"/>
      <c r="D24" s="324"/>
      <c r="E24" s="324"/>
      <c r="F24" s="324"/>
    </row>
    <row r="25" spans="1:6">
      <c r="A25" s="1302" t="s">
        <v>15</v>
      </c>
      <c r="B25" s="1303">
        <v>1653</v>
      </c>
      <c r="C25" s="324"/>
      <c r="D25" s="324"/>
      <c r="E25" s="324"/>
      <c r="F25" s="324"/>
    </row>
    <row r="26" spans="1:6">
      <c r="A26" s="1302" t="s">
        <v>16</v>
      </c>
      <c r="B26" s="1303">
        <v>247</v>
      </c>
      <c r="C26" s="324"/>
      <c r="D26" s="324"/>
      <c r="E26" s="324"/>
      <c r="F26" s="324"/>
    </row>
    <row r="27" spans="1:6">
      <c r="A27" s="1302" t="s">
        <v>17</v>
      </c>
      <c r="B27" s="1303">
        <v>0</v>
      </c>
      <c r="C27" s="324"/>
      <c r="D27" s="324"/>
      <c r="E27" s="324"/>
      <c r="F27" s="324"/>
    </row>
    <row r="28" spans="1:6">
      <c r="A28" s="1302" t="s">
        <v>18</v>
      </c>
      <c r="B28" s="1304">
        <v>80308</v>
      </c>
      <c r="C28" s="324"/>
      <c r="D28" s="324"/>
      <c r="E28" s="324"/>
      <c r="F28" s="324"/>
    </row>
    <row r="29" spans="1:6">
      <c r="A29" s="1302" t="s">
        <v>918</v>
      </c>
      <c r="B29" s="1304">
        <v>145</v>
      </c>
      <c r="C29" s="324"/>
      <c r="D29" s="324"/>
      <c r="E29" s="324"/>
      <c r="F29" s="324"/>
    </row>
    <row r="30" spans="1:6">
      <c r="A30" s="1297" t="s">
        <v>919</v>
      </c>
      <c r="B30" s="1305">
        <v>21</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3</v>
      </c>
      <c r="F36" s="1303">
        <v>844</v>
      </c>
    </row>
    <row r="37" spans="1:6">
      <c r="A37" s="1302" t="s">
        <v>24</v>
      </c>
      <c r="B37" s="1302" t="s">
        <v>27</v>
      </c>
      <c r="C37" s="1303">
        <v>0</v>
      </c>
      <c r="D37" s="1303">
        <v>0</v>
      </c>
      <c r="E37" s="1303">
        <v>0</v>
      </c>
      <c r="F37" s="1303">
        <v>0</v>
      </c>
    </row>
    <row r="38" spans="1:6">
      <c r="A38" s="1302" t="s">
        <v>24</v>
      </c>
      <c r="B38" s="1302" t="s">
        <v>28</v>
      </c>
      <c r="C38" s="1303">
        <v>0</v>
      </c>
      <c r="D38" s="1303">
        <v>0</v>
      </c>
      <c r="E38" s="1303">
        <v>0</v>
      </c>
      <c r="F38" s="1303">
        <v>0</v>
      </c>
    </row>
    <row r="39" spans="1:6">
      <c r="A39" s="1302" t="s">
        <v>29</v>
      </c>
      <c r="B39" s="1302" t="s">
        <v>30</v>
      </c>
      <c r="C39" s="1303">
        <v>500</v>
      </c>
      <c r="D39" s="1303">
        <v>8367614</v>
      </c>
      <c r="E39" s="1303">
        <v>2333</v>
      </c>
      <c r="F39" s="1303">
        <v>9515334</v>
      </c>
    </row>
    <row r="40" spans="1:6">
      <c r="A40" s="1302" t="s">
        <v>29</v>
      </c>
      <c r="B40" s="1302" t="s">
        <v>28</v>
      </c>
      <c r="C40" s="1303">
        <v>0</v>
      </c>
      <c r="D40" s="1303">
        <v>0</v>
      </c>
      <c r="E40" s="1303">
        <v>0</v>
      </c>
      <c r="F40" s="1303">
        <v>0</v>
      </c>
    </row>
    <row r="41" spans="1:6">
      <c r="A41" s="1302" t="s">
        <v>31</v>
      </c>
      <c r="B41" s="1302" t="s">
        <v>32</v>
      </c>
      <c r="C41" s="1303">
        <v>13</v>
      </c>
      <c r="D41" s="1303">
        <v>565366</v>
      </c>
      <c r="E41" s="1303">
        <v>60</v>
      </c>
      <c r="F41" s="1303">
        <v>469532.6551724138</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12</v>
      </c>
      <c r="F44" s="1303">
        <v>80221</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1</v>
      </c>
      <c r="D48" s="1303">
        <v>44093</v>
      </c>
      <c r="E48" s="1303">
        <v>2</v>
      </c>
      <c r="F48" s="1303">
        <v>334788</v>
      </c>
    </row>
    <row r="49" spans="1:6">
      <c r="A49" s="1302" t="s">
        <v>31</v>
      </c>
      <c r="B49" s="1302" t="s">
        <v>39</v>
      </c>
      <c r="C49" s="1303">
        <v>0</v>
      </c>
      <c r="D49" s="1303">
        <v>0</v>
      </c>
      <c r="E49" s="1303">
        <v>0</v>
      </c>
      <c r="F49" s="1303">
        <v>0</v>
      </c>
    </row>
    <row r="50" spans="1:6">
      <c r="A50" s="1302" t="s">
        <v>31</v>
      </c>
      <c r="B50" s="1302" t="s">
        <v>40</v>
      </c>
      <c r="C50" s="1303">
        <v>0</v>
      </c>
      <c r="D50" s="1303">
        <v>0</v>
      </c>
      <c r="E50" s="1303">
        <v>7</v>
      </c>
      <c r="F50" s="1303">
        <v>1638977</v>
      </c>
    </row>
    <row r="51" spans="1:6">
      <c r="A51" s="1302" t="s">
        <v>41</v>
      </c>
      <c r="B51" s="1302" t="s">
        <v>42</v>
      </c>
      <c r="C51" s="1303">
        <v>3</v>
      </c>
      <c r="D51" s="1303">
        <v>67711</v>
      </c>
      <c r="E51" s="1303">
        <v>106</v>
      </c>
      <c r="F51" s="1303">
        <v>3397709</v>
      </c>
    </row>
    <row r="52" spans="1:6">
      <c r="A52" s="1302" t="s">
        <v>41</v>
      </c>
      <c r="B52" s="1302" t="s">
        <v>28</v>
      </c>
      <c r="C52" s="1303">
        <v>0</v>
      </c>
      <c r="D52" s="1303">
        <v>0</v>
      </c>
      <c r="E52" s="1303">
        <v>0</v>
      </c>
      <c r="F52" s="1303">
        <v>0</v>
      </c>
    </row>
    <row r="53" spans="1:6">
      <c r="A53" s="1302" t="s">
        <v>43</v>
      </c>
      <c r="B53" s="1302" t="s">
        <v>44</v>
      </c>
      <c r="C53" s="1303">
        <v>0</v>
      </c>
      <c r="D53" s="1303">
        <v>0</v>
      </c>
      <c r="E53" s="1303">
        <v>0</v>
      </c>
      <c r="F53" s="1303">
        <v>0</v>
      </c>
    </row>
    <row r="54" spans="1:6">
      <c r="A54" s="1302" t="s">
        <v>45</v>
      </c>
      <c r="B54" s="1302" t="s">
        <v>46</v>
      </c>
      <c r="C54" s="1303">
        <v>0</v>
      </c>
      <c r="D54" s="1303">
        <v>0</v>
      </c>
      <c r="E54" s="1303">
        <v>2</v>
      </c>
      <c r="F54" s="1303">
        <v>495561</v>
      </c>
    </row>
    <row r="55" spans="1:6">
      <c r="A55" s="1302" t="s">
        <v>45</v>
      </c>
      <c r="B55" s="1302" t="s">
        <v>28</v>
      </c>
      <c r="C55" s="1303">
        <v>0</v>
      </c>
      <c r="D55" s="1303">
        <v>0</v>
      </c>
      <c r="E55" s="1303">
        <v>0</v>
      </c>
      <c r="F55" s="1303">
        <v>0</v>
      </c>
    </row>
    <row r="56" spans="1:6">
      <c r="A56" s="1302" t="s">
        <v>47</v>
      </c>
      <c r="B56" s="1302" t="s">
        <v>28</v>
      </c>
      <c r="C56" s="1303">
        <v>8</v>
      </c>
      <c r="D56" s="1303">
        <v>252416</v>
      </c>
      <c r="E56" s="1303">
        <v>44</v>
      </c>
      <c r="F56" s="1303">
        <v>160353</v>
      </c>
    </row>
    <row r="57" spans="1:6">
      <c r="A57" s="1302" t="s">
        <v>48</v>
      </c>
      <c r="B57" s="1302" t="s">
        <v>49</v>
      </c>
      <c r="C57" s="1303">
        <v>0</v>
      </c>
      <c r="D57" s="1303">
        <v>0</v>
      </c>
      <c r="E57" s="1303">
        <v>27</v>
      </c>
      <c r="F57" s="1303">
        <v>297307</v>
      </c>
    </row>
    <row r="58" spans="1:6">
      <c r="A58" s="1302" t="s">
        <v>48</v>
      </c>
      <c r="B58" s="1302" t="s">
        <v>50</v>
      </c>
      <c r="C58" s="1303">
        <v>3</v>
      </c>
      <c r="D58" s="1303">
        <v>516786</v>
      </c>
      <c r="E58" s="1303">
        <v>9</v>
      </c>
      <c r="F58" s="1303">
        <v>242269</v>
      </c>
    </row>
    <row r="59" spans="1:6">
      <c r="A59" s="1302" t="s">
        <v>48</v>
      </c>
      <c r="B59" s="1302" t="s">
        <v>51</v>
      </c>
      <c r="C59" s="1303">
        <v>6</v>
      </c>
      <c r="D59" s="1303">
        <v>197709</v>
      </c>
      <c r="E59" s="1303">
        <v>68</v>
      </c>
      <c r="F59" s="1303">
        <v>1658164</v>
      </c>
    </row>
    <row r="60" spans="1:6">
      <c r="A60" s="1302" t="s">
        <v>48</v>
      </c>
      <c r="B60" s="1302" t="s">
        <v>52</v>
      </c>
      <c r="C60" s="1303">
        <v>7</v>
      </c>
      <c r="D60" s="1303">
        <v>310964</v>
      </c>
      <c r="E60" s="1303">
        <v>22</v>
      </c>
      <c r="F60" s="1303">
        <v>581525</v>
      </c>
    </row>
    <row r="61" spans="1:6">
      <c r="A61" s="1302" t="s">
        <v>48</v>
      </c>
      <c r="B61" s="1302" t="s">
        <v>53</v>
      </c>
      <c r="C61" s="1303">
        <v>26</v>
      </c>
      <c r="D61" s="1303">
        <v>948269</v>
      </c>
      <c r="E61" s="1303">
        <v>91</v>
      </c>
      <c r="F61" s="1303">
        <v>6720306</v>
      </c>
    </row>
    <row r="62" spans="1:6">
      <c r="A62" s="1302" t="s">
        <v>48</v>
      </c>
      <c r="B62" s="1302" t="s">
        <v>54</v>
      </c>
      <c r="C62" s="1303">
        <v>0</v>
      </c>
      <c r="D62" s="1303">
        <v>0</v>
      </c>
      <c r="E62" s="1303">
        <v>6</v>
      </c>
      <c r="F62" s="1303">
        <v>38532</v>
      </c>
    </row>
    <row r="63" spans="1:6">
      <c r="A63" s="1302" t="s">
        <v>48</v>
      </c>
      <c r="B63" s="1302" t="s">
        <v>28</v>
      </c>
      <c r="C63" s="1303">
        <v>2</v>
      </c>
      <c r="D63" s="1303">
        <v>61207</v>
      </c>
      <c r="E63" s="1303">
        <v>0</v>
      </c>
      <c r="F63" s="1303">
        <v>0</v>
      </c>
    </row>
    <row r="64" spans="1:6">
      <c r="A64" s="1302" t="s">
        <v>55</v>
      </c>
      <c r="B64" s="1302" t="s">
        <v>56</v>
      </c>
      <c r="C64" s="1303">
        <v>0</v>
      </c>
      <c r="D64" s="1303">
        <v>0</v>
      </c>
      <c r="E64" s="1303">
        <v>0</v>
      </c>
      <c r="F64" s="1303">
        <v>0</v>
      </c>
    </row>
    <row r="65" spans="1:6">
      <c r="A65" s="1302" t="s">
        <v>55</v>
      </c>
      <c r="B65" s="1302" t="s">
        <v>28</v>
      </c>
      <c r="C65" s="1303">
        <v>0</v>
      </c>
      <c r="D65" s="1303">
        <v>0</v>
      </c>
      <c r="E65" s="1303">
        <v>0</v>
      </c>
      <c r="F65" s="1303">
        <v>0</v>
      </c>
    </row>
    <row r="66" spans="1:6">
      <c r="A66" s="1302" t="s">
        <v>55</v>
      </c>
      <c r="B66" s="1302" t="s">
        <v>57</v>
      </c>
      <c r="C66" s="1303">
        <v>0</v>
      </c>
      <c r="D66" s="1303">
        <v>0</v>
      </c>
      <c r="E66" s="1303">
        <v>0</v>
      </c>
      <c r="F66" s="1303">
        <v>0</v>
      </c>
    </row>
    <row r="67" spans="1:6">
      <c r="A67" s="1302" t="s">
        <v>55</v>
      </c>
      <c r="B67" s="1302" t="s">
        <v>58</v>
      </c>
      <c r="C67" s="1303">
        <v>0</v>
      </c>
      <c r="D67" s="1303">
        <v>0</v>
      </c>
      <c r="E67" s="1303">
        <v>0</v>
      </c>
      <c r="F67" s="1303">
        <v>0</v>
      </c>
    </row>
    <row r="68" spans="1:6">
      <c r="A68" s="1297" t="s">
        <v>55</v>
      </c>
      <c r="B68" s="1297" t="s">
        <v>59</v>
      </c>
      <c r="C68" s="1305">
        <v>0</v>
      </c>
      <c r="D68" s="1305">
        <v>0</v>
      </c>
      <c r="E68" s="1305">
        <v>3</v>
      </c>
      <c r="F68" s="1305">
        <v>25364</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48355614</v>
      </c>
      <c r="E73" s="442"/>
      <c r="F73" s="324"/>
    </row>
    <row r="74" spans="1:6">
      <c r="A74" s="1302" t="s">
        <v>63</v>
      </c>
      <c r="B74" s="1302" t="s">
        <v>695</v>
      </c>
      <c r="C74" s="1315" t="s">
        <v>697</v>
      </c>
      <c r="D74" s="1303">
        <v>5704998.4227919476</v>
      </c>
      <c r="E74" s="442"/>
      <c r="F74" s="324"/>
    </row>
    <row r="75" spans="1:6">
      <c r="A75" s="1302" t="s">
        <v>64</v>
      </c>
      <c r="B75" s="1302" t="s">
        <v>694</v>
      </c>
      <c r="C75" s="1315" t="s">
        <v>698</v>
      </c>
      <c r="D75" s="1303">
        <v>21778155</v>
      </c>
      <c r="E75" s="442"/>
      <c r="F75" s="324"/>
    </row>
    <row r="76" spans="1:6">
      <c r="A76" s="1302" t="s">
        <v>64</v>
      </c>
      <c r="B76" s="1302" t="s">
        <v>695</v>
      </c>
      <c r="C76" s="1315" t="s">
        <v>699</v>
      </c>
      <c r="D76" s="1303">
        <v>823617.42279194784</v>
      </c>
      <c r="E76" s="442"/>
      <c r="F76" s="324"/>
    </row>
    <row r="77" spans="1:6">
      <c r="A77" s="1302" t="s">
        <v>65</v>
      </c>
      <c r="B77" s="1302" t="s">
        <v>694</v>
      </c>
      <c r="C77" s="1315" t="s">
        <v>700</v>
      </c>
      <c r="D77" s="1303">
        <v>129011301</v>
      </c>
      <c r="E77" s="442"/>
      <c r="F77" s="324"/>
    </row>
    <row r="78" spans="1:6">
      <c r="A78" s="1297" t="s">
        <v>65</v>
      </c>
      <c r="B78" s="1297" t="s">
        <v>695</v>
      </c>
      <c r="C78" s="1297" t="s">
        <v>701</v>
      </c>
      <c r="D78" s="1305">
        <v>14967967</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319737.15441610431</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8058.9268886539867</v>
      </c>
      <c r="C90" s="324"/>
      <c r="D90" s="324"/>
      <c r="E90" s="324"/>
      <c r="F90" s="324"/>
    </row>
    <row r="91" spans="1:6">
      <c r="A91" s="1302" t="s">
        <v>67</v>
      </c>
      <c r="B91" s="1303">
        <v>1979.8480718830733</v>
      </c>
      <c r="C91" s="324"/>
      <c r="D91" s="324"/>
      <c r="E91" s="324"/>
      <c r="F91" s="324"/>
    </row>
    <row r="92" spans="1:6">
      <c r="A92" s="1297" t="s">
        <v>68</v>
      </c>
      <c r="B92" s="1298">
        <v>2886.7686995855074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92</v>
      </c>
      <c r="C97" s="324"/>
      <c r="D97" s="324"/>
      <c r="E97" s="324"/>
      <c r="F97" s="324"/>
    </row>
    <row r="98" spans="1:6">
      <c r="A98" s="1302" t="s">
        <v>71</v>
      </c>
      <c r="B98" s="1303">
        <v>0</v>
      </c>
      <c r="C98" s="324"/>
      <c r="D98" s="324"/>
      <c r="E98" s="324"/>
      <c r="F98" s="324"/>
    </row>
    <row r="99" spans="1:6">
      <c r="A99" s="1302" t="s">
        <v>72</v>
      </c>
      <c r="B99" s="1303">
        <v>59</v>
      </c>
      <c r="C99" s="324"/>
      <c r="D99" s="324"/>
      <c r="E99" s="324"/>
      <c r="F99" s="324"/>
    </row>
    <row r="100" spans="1:6">
      <c r="A100" s="1302" t="s">
        <v>73</v>
      </c>
      <c r="B100" s="1303">
        <v>74</v>
      </c>
      <c r="C100" s="324"/>
      <c r="D100" s="324"/>
      <c r="E100" s="324"/>
      <c r="F100" s="324"/>
    </row>
    <row r="101" spans="1:6">
      <c r="A101" s="1302" t="s">
        <v>74</v>
      </c>
      <c r="B101" s="1303">
        <v>37</v>
      </c>
      <c r="C101" s="324"/>
      <c r="D101" s="324"/>
      <c r="E101" s="324"/>
      <c r="F101" s="324"/>
    </row>
    <row r="102" spans="1:6">
      <c r="A102" s="1302" t="s">
        <v>75</v>
      </c>
      <c r="B102" s="1303">
        <v>32</v>
      </c>
      <c r="C102" s="324"/>
      <c r="D102" s="324"/>
      <c r="E102" s="324"/>
      <c r="F102" s="324"/>
    </row>
    <row r="103" spans="1:6">
      <c r="A103" s="1302" t="s">
        <v>76</v>
      </c>
      <c r="B103" s="1303">
        <v>118</v>
      </c>
      <c r="C103" s="324"/>
      <c r="D103" s="324"/>
      <c r="E103" s="324"/>
      <c r="F103" s="324"/>
    </row>
    <row r="104" spans="1:6">
      <c r="A104" s="1302" t="s">
        <v>77</v>
      </c>
      <c r="B104" s="1303">
        <v>1754</v>
      </c>
      <c r="C104" s="324"/>
      <c r="D104" s="324"/>
      <c r="E104" s="324"/>
      <c r="F104" s="324"/>
    </row>
    <row r="105" spans="1:6">
      <c r="A105" s="1297" t="s">
        <v>78</v>
      </c>
      <c r="B105" s="1305">
        <v>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10</v>
      </c>
      <c r="C123" s="1303">
        <v>8</v>
      </c>
      <c r="D123" s="324"/>
      <c r="E123" s="324"/>
      <c r="F123" s="324"/>
    </row>
    <row r="124" spans="1:6">
      <c r="A124" s="1302" t="s">
        <v>88</v>
      </c>
      <c r="B124" s="1303">
        <v>2</v>
      </c>
      <c r="C124" s="1303">
        <v>2</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68</v>
      </c>
      <c r="C129" s="324"/>
      <c r="D129" s="324"/>
      <c r="E129" s="324"/>
      <c r="F129" s="324"/>
    </row>
    <row r="130" spans="1:6">
      <c r="A130" s="1302" t="s">
        <v>284</v>
      </c>
      <c r="B130" s="1303">
        <v>1</v>
      </c>
      <c r="C130" s="324"/>
      <c r="D130" s="324"/>
      <c r="E130" s="324"/>
      <c r="F130" s="324"/>
    </row>
    <row r="131" spans="1:6">
      <c r="A131" s="1302" t="s">
        <v>285</v>
      </c>
      <c r="B131" s="1303">
        <v>1</v>
      </c>
      <c r="C131" s="324"/>
      <c r="D131" s="324"/>
      <c r="E131" s="324"/>
      <c r="F131" s="324"/>
    </row>
    <row r="132" spans="1:6">
      <c r="A132" s="1297" t="s">
        <v>286</v>
      </c>
      <c r="B132" s="1298">
        <v>17</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27645.961866770449</v>
      </c>
      <c r="C3" s="43" t="s">
        <v>163</v>
      </c>
      <c r="D3" s="43"/>
      <c r="E3" s="154"/>
      <c r="F3" s="43"/>
      <c r="G3" s="43"/>
      <c r="H3" s="43"/>
      <c r="I3" s="43"/>
      <c r="J3" s="43"/>
      <c r="K3" s="96"/>
    </row>
    <row r="4" spans="1:11">
      <c r="A4" s="351" t="s">
        <v>164</v>
      </c>
      <c r="B4" s="49">
        <f>IF(ISERROR('SEAP template'!B78+'SEAP template'!C78),0,'SEAP template'!B78+'SEAP template'!C78)</f>
        <v>12925.543660122567</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0.1176740545091845</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495.56099999999998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495.56099999999998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0.1176740545091845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58.314672126625979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9515.3340000000007</v>
      </c>
      <c r="C5" s="17">
        <f>IF(ISERROR('Eigen informatie GS &amp; warmtenet'!B57),0,'Eigen informatie GS &amp; warmtenet'!B57)</f>
        <v>0</v>
      </c>
      <c r="D5" s="30">
        <f>(SUM(HH_hh_gas_kWh,HH_rest_gas_kWh)/1000)*0.902</f>
        <v>7547.5878279999997</v>
      </c>
      <c r="E5" s="17">
        <f>B32*B41</f>
        <v>978.97567459887466</v>
      </c>
      <c r="F5" s="17">
        <f>B36*B45</f>
        <v>30883.62832011058</v>
      </c>
      <c r="G5" s="18"/>
      <c r="H5" s="17"/>
      <c r="I5" s="17"/>
      <c r="J5" s="17">
        <f>B35*B44+C35*C44</f>
        <v>720.2050457522937</v>
      </c>
      <c r="K5" s="17"/>
      <c r="L5" s="17"/>
      <c r="M5" s="17"/>
      <c r="N5" s="17">
        <f>B34*B43+C34*C43</f>
        <v>3171.9829788818997</v>
      </c>
      <c r="O5" s="17">
        <f>B52*B53*B54</f>
        <v>121.94000000000001</v>
      </c>
      <c r="P5" s="17">
        <f>B60*B61*B62/1000-B60*B61*B62/1000/B63</f>
        <v>552.93333333333339</v>
      </c>
    </row>
    <row r="6" spans="1:16">
      <c r="A6" s="16" t="s">
        <v>618</v>
      </c>
      <c r="B6" s="755">
        <f>kWh_PV_kleiner_dan_10kW</f>
        <v>1979.8480718830733</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11495.182071883075</v>
      </c>
      <c r="C8" s="21">
        <f>C5</f>
        <v>0</v>
      </c>
      <c r="D8" s="21">
        <f>D5</f>
        <v>7547.5878279999997</v>
      </c>
      <c r="E8" s="21">
        <f>E5</f>
        <v>978.97567459887466</v>
      </c>
      <c r="F8" s="21">
        <f>F5</f>
        <v>30883.62832011058</v>
      </c>
      <c r="G8" s="21"/>
      <c r="H8" s="21"/>
      <c r="I8" s="21"/>
      <c r="J8" s="21">
        <f>J5</f>
        <v>720.2050457522937</v>
      </c>
      <c r="K8" s="21"/>
      <c r="L8" s="21">
        <f>L5</f>
        <v>0</v>
      </c>
      <c r="M8" s="21">
        <f>M5</f>
        <v>0</v>
      </c>
      <c r="N8" s="21">
        <f>N5</f>
        <v>3171.9829788818997</v>
      </c>
      <c r="O8" s="21">
        <f>O5</f>
        <v>121.94000000000001</v>
      </c>
      <c r="P8" s="21">
        <f>P5</f>
        <v>552.93333333333339</v>
      </c>
    </row>
    <row r="9" spans="1:16">
      <c r="B9" s="19"/>
      <c r="C9" s="19"/>
      <c r="D9" s="254"/>
      <c r="E9" s="19"/>
      <c r="F9" s="19"/>
      <c r="G9" s="19"/>
      <c r="H9" s="19"/>
      <c r="I9" s="19"/>
      <c r="J9" s="19"/>
      <c r="K9" s="19"/>
      <c r="L9" s="19"/>
      <c r="M9" s="19"/>
      <c r="N9" s="19"/>
      <c r="O9" s="19"/>
      <c r="P9" s="19"/>
    </row>
    <row r="10" spans="1:16">
      <c r="A10" s="24" t="s">
        <v>207</v>
      </c>
      <c r="B10" s="25">
        <f ca="1">'EF ele_warmte'!B12</f>
        <v>0.1176740545091845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1352.6846817197693</v>
      </c>
      <c r="C12" s="23">
        <f ca="1">C10*C8</f>
        <v>0</v>
      </c>
      <c r="D12" s="23">
        <f>D8*D10</f>
        <v>1524.6127412559999</v>
      </c>
      <c r="E12" s="23">
        <f>E10*E8</f>
        <v>222.22747813394454</v>
      </c>
      <c r="F12" s="23">
        <f>F10*F8</f>
        <v>8245.9287614695259</v>
      </c>
      <c r="G12" s="23"/>
      <c r="H12" s="23"/>
      <c r="I12" s="23"/>
      <c r="J12" s="23">
        <f>J10*J8</f>
        <v>254.95258619631196</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2449</v>
      </c>
      <c r="C26" s="36"/>
      <c r="D26" s="225"/>
    </row>
    <row r="27" spans="1:5" s="15" customFormat="1">
      <c r="A27" s="227" t="s">
        <v>721</v>
      </c>
      <c r="B27" s="37">
        <f>SUM(HH_hh_gas_aantal,HH_rest_gas_aantal)</f>
        <v>500</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475</v>
      </c>
      <c r="C31" s="34" t="s">
        <v>104</v>
      </c>
      <c r="D31" s="171"/>
    </row>
    <row r="32" spans="1:5">
      <c r="A32" s="168" t="s">
        <v>72</v>
      </c>
      <c r="B32" s="33">
        <f>IF((B21*($B$26-($B$27-0.05*$B$27)-$B$60))&lt;0,0,B21*($B$26-($B$27-0.05*$B$27)-$B$60))</f>
        <v>12.263653774481147</v>
      </c>
      <c r="C32" s="34" t="s">
        <v>104</v>
      </c>
      <c r="D32" s="171"/>
    </row>
    <row r="33" spans="1:6">
      <c r="A33" s="168" t="s">
        <v>73</v>
      </c>
      <c r="B33" s="33">
        <f>IF((B22*($B$26-($B$27-0.05*$B$27)-$B$60))&lt;0,0,B22*($B$26-($B$27-0.05*$B$27)-$B$60))</f>
        <v>427.06497478033231</v>
      </c>
      <c r="C33" s="34" t="s">
        <v>104</v>
      </c>
      <c r="D33" s="171"/>
    </row>
    <row r="34" spans="1:6">
      <c r="A34" s="168" t="s">
        <v>74</v>
      </c>
      <c r="B34" s="33">
        <f>IF((B24*($B$26-($B$27-0.05*$B$27)-$B$60))&lt;0,0,B24*($B$26-($B$27-0.05*$B$27)-$B$60))</f>
        <v>84.770508190186092</v>
      </c>
      <c r="C34" s="33">
        <f>B26*C24</f>
        <v>501.06462225759799</v>
      </c>
      <c r="D34" s="230"/>
    </row>
    <row r="35" spans="1:6">
      <c r="A35" s="168" t="s">
        <v>76</v>
      </c>
      <c r="B35" s="33">
        <f>IF((B19*($B$26-($B$27-0.05*$B$27)-$B$60))&lt;0,0,B19*($B$26-($B$27-0.05*$B$27)-$B$60))</f>
        <v>41.415214113971579</v>
      </c>
      <c r="C35" s="33">
        <f>B35/2</f>
        <v>20.70760705698579</v>
      </c>
      <c r="D35" s="230"/>
    </row>
    <row r="36" spans="1:6">
      <c r="A36" s="168" t="s">
        <v>77</v>
      </c>
      <c r="B36" s="33">
        <f>IF((B18*($B$26-($B$27-0.05*$B$27)-$B$60))&lt;0,0,B18*($B$26-($B$27-0.05*$B$27)-$B$60))</f>
        <v>1379.4856491410294</v>
      </c>
      <c r="C36" s="34" t="s">
        <v>104</v>
      </c>
      <c r="D36" s="171"/>
    </row>
    <row r="37" spans="1:6">
      <c r="A37" s="168" t="s">
        <v>78</v>
      </c>
      <c r="B37" s="33">
        <f>B60</f>
        <v>29</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78</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29</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9538.1029999999992</v>
      </c>
      <c r="C5" s="17">
        <f>IF(ISERROR('Eigen informatie GS &amp; warmtenet'!B58),0,'Eigen informatie GS &amp; warmtenet'!B58)</f>
        <v>0</v>
      </c>
      <c r="D5" s="30">
        <f>SUM(D6:D12)</f>
        <v>1835.5113699999999</v>
      </c>
      <c r="E5" s="17">
        <f>SUM(E6:E12)</f>
        <v>62.928953138581882</v>
      </c>
      <c r="F5" s="17">
        <f>SUM(F6:F12)</f>
        <v>1206.1503325990921</v>
      </c>
      <c r="G5" s="18"/>
      <c r="H5" s="17"/>
      <c r="I5" s="17"/>
      <c r="J5" s="17">
        <f>SUM(J6:J12)</f>
        <v>0</v>
      </c>
      <c r="K5" s="17"/>
      <c r="L5" s="17"/>
      <c r="M5" s="17"/>
      <c r="N5" s="17">
        <f>SUM(N6:N12)</f>
        <v>292.28629720955945</v>
      </c>
      <c r="O5" s="17">
        <f>B38*B39*B40</f>
        <v>1.5633333333333335</v>
      </c>
      <c r="P5" s="17">
        <f>B46*B47*B48/1000-B46*B47*B48/1000/B49</f>
        <v>19.066666666666666</v>
      </c>
      <c r="R5" s="32"/>
    </row>
    <row r="6" spans="1:18">
      <c r="A6" s="32" t="s">
        <v>53</v>
      </c>
      <c r="B6" s="37">
        <f>B26</f>
        <v>6720.3059999999996</v>
      </c>
      <c r="C6" s="33"/>
      <c r="D6" s="37">
        <f>IF(ISERROR(TER_kantoor_gas_kWh/1000),0,TER_kantoor_gas_kWh/1000)*0.902</f>
        <v>855.33863800000006</v>
      </c>
      <c r="E6" s="33">
        <f>$C$26*'E Balans VL '!I12/100/3.6*1000000</f>
        <v>19.469712490698935</v>
      </c>
      <c r="F6" s="33">
        <f>$C$26*('E Balans VL '!L12+'E Balans VL '!N12)/100/3.6*1000000</f>
        <v>760.59057937939497</v>
      </c>
      <c r="G6" s="34"/>
      <c r="H6" s="33"/>
      <c r="I6" s="33"/>
      <c r="J6" s="33">
        <f>$C$26*('E Balans VL '!D12+'E Balans VL '!E12)/100/3.6*1000000</f>
        <v>0</v>
      </c>
      <c r="K6" s="33"/>
      <c r="L6" s="33"/>
      <c r="M6" s="33"/>
      <c r="N6" s="33">
        <f>$C$26*'E Balans VL '!Y12/100/3.6*1000000</f>
        <v>67.265311317449999</v>
      </c>
      <c r="O6" s="33"/>
      <c r="P6" s="33"/>
      <c r="R6" s="32"/>
    </row>
    <row r="7" spans="1:18">
      <c r="A7" s="32" t="s">
        <v>52</v>
      </c>
      <c r="B7" s="37">
        <f t="shared" ref="B7:B12" si="0">B27</f>
        <v>581.52499999999998</v>
      </c>
      <c r="C7" s="33"/>
      <c r="D7" s="37">
        <f>IF(ISERROR(TER_horeca_gas_kWh/1000),0,TER_horeca_gas_kWh/1000)*0.902</f>
        <v>280.48952800000001</v>
      </c>
      <c r="E7" s="33">
        <f>$C$27*'E Balans VL '!I9/100/3.6*1000000</f>
        <v>24.41079475126126</v>
      </c>
      <c r="F7" s="33">
        <f>$C$27*('E Balans VL '!L9+'E Balans VL '!N9)/100/3.6*1000000</f>
        <v>124.95257154328428</v>
      </c>
      <c r="G7" s="34"/>
      <c r="H7" s="33"/>
      <c r="I7" s="33"/>
      <c r="J7" s="33">
        <f>$C$27*('E Balans VL '!D9+'E Balans VL '!E9)/100/3.6*1000000</f>
        <v>0</v>
      </c>
      <c r="K7" s="33"/>
      <c r="L7" s="33"/>
      <c r="M7" s="33"/>
      <c r="N7" s="33">
        <f>$C$27*'E Balans VL '!Y9/100/3.6*1000000</f>
        <v>0.14985390687938235</v>
      </c>
      <c r="O7" s="33"/>
      <c r="P7" s="33"/>
      <c r="R7" s="32"/>
    </row>
    <row r="8" spans="1:18">
      <c r="A8" s="6" t="s">
        <v>51</v>
      </c>
      <c r="B8" s="37">
        <f t="shared" si="0"/>
        <v>1658.164</v>
      </c>
      <c r="C8" s="33"/>
      <c r="D8" s="37">
        <f>IF(ISERROR(TER_handel_gas_kWh/1000),0,TER_handel_gas_kWh/1000)*0.902</f>
        <v>178.333518</v>
      </c>
      <c r="E8" s="33">
        <f>$C$28*'E Balans VL '!I13/100/3.6*1000000</f>
        <v>17.810061410667064</v>
      </c>
      <c r="F8" s="33">
        <f>$C$28*('E Balans VL '!L13+'E Balans VL '!N13)/100/3.6*1000000</f>
        <v>214.663022636037</v>
      </c>
      <c r="G8" s="34"/>
      <c r="H8" s="33"/>
      <c r="I8" s="33"/>
      <c r="J8" s="33">
        <f>$C$28*('E Balans VL '!D13+'E Balans VL '!E13)/100/3.6*1000000</f>
        <v>0</v>
      </c>
      <c r="K8" s="33"/>
      <c r="L8" s="33"/>
      <c r="M8" s="33"/>
      <c r="N8" s="33">
        <f>$C$28*'E Balans VL '!Y13/100/3.6*1000000</f>
        <v>13.451116907691024</v>
      </c>
      <c r="O8" s="33"/>
      <c r="P8" s="33"/>
      <c r="R8" s="32"/>
    </row>
    <row r="9" spans="1:18">
      <c r="A9" s="32" t="s">
        <v>50</v>
      </c>
      <c r="B9" s="37">
        <f t="shared" si="0"/>
        <v>242.26900000000001</v>
      </c>
      <c r="C9" s="33"/>
      <c r="D9" s="37">
        <f>IF(ISERROR(TER_gezond_gas_kWh/1000),0,TER_gezond_gas_kWh/1000)*0.902</f>
        <v>466.14097199999998</v>
      </c>
      <c r="E9" s="33">
        <f>$C$29*'E Balans VL '!I10/100/3.6*1000000</f>
        <v>0.19286179353912067</v>
      </c>
      <c r="F9" s="33">
        <f>$C$29*('E Balans VL '!L10+'E Balans VL '!N10)/100/3.6*1000000</f>
        <v>29.45129805239571</v>
      </c>
      <c r="G9" s="34"/>
      <c r="H9" s="33"/>
      <c r="I9" s="33"/>
      <c r="J9" s="33">
        <f>$C$29*('E Balans VL '!D10+'E Balans VL '!E10)/100/3.6*1000000</f>
        <v>0</v>
      </c>
      <c r="K9" s="33"/>
      <c r="L9" s="33"/>
      <c r="M9" s="33"/>
      <c r="N9" s="33">
        <f>$C$29*'E Balans VL '!Y10/100/3.6*1000000</f>
        <v>1.9569847970456398</v>
      </c>
      <c r="O9" s="33"/>
      <c r="P9" s="33"/>
      <c r="R9" s="32"/>
    </row>
    <row r="10" spans="1:18">
      <c r="A10" s="32" t="s">
        <v>49</v>
      </c>
      <c r="B10" s="37">
        <f t="shared" si="0"/>
        <v>297.30700000000002</v>
      </c>
      <c r="C10" s="33"/>
      <c r="D10" s="37">
        <f>IF(ISERROR(TER_ander_gas_kWh/1000),0,TER_ander_gas_kWh/1000)*0.902</f>
        <v>0</v>
      </c>
      <c r="E10" s="33">
        <f>$C$30*'E Balans VL '!I14/100/3.6*1000000</f>
        <v>1.0188867075077068</v>
      </c>
      <c r="F10" s="33">
        <f>$C$30*('E Balans VL '!L14+'E Balans VL '!N14)/100/3.6*1000000</f>
        <v>66.406302666635256</v>
      </c>
      <c r="G10" s="34"/>
      <c r="H10" s="33"/>
      <c r="I10" s="33"/>
      <c r="J10" s="33">
        <f>$C$30*('E Balans VL '!D14+'E Balans VL '!E14)/100/3.6*1000000</f>
        <v>0</v>
      </c>
      <c r="K10" s="33"/>
      <c r="L10" s="33"/>
      <c r="M10" s="33"/>
      <c r="N10" s="33">
        <f>$C$30*'E Balans VL '!Y14/100/3.6*1000000</f>
        <v>209.42467495639312</v>
      </c>
      <c r="O10" s="33"/>
      <c r="P10" s="33"/>
      <c r="R10" s="32"/>
    </row>
    <row r="11" spans="1:18">
      <c r="A11" s="32" t="s">
        <v>54</v>
      </c>
      <c r="B11" s="37">
        <f t="shared" si="0"/>
        <v>38.531999999999996</v>
      </c>
      <c r="C11" s="33"/>
      <c r="D11" s="37">
        <f>IF(ISERROR(TER_onderwijs_gas_kWh/1000),0,TER_onderwijs_gas_kWh/1000)*0.902</f>
        <v>0</v>
      </c>
      <c r="E11" s="33">
        <f>$C$31*'E Balans VL '!I11/100/3.6*1000000</f>
        <v>2.663598490779415E-2</v>
      </c>
      <c r="F11" s="33">
        <f>$C$31*('E Balans VL '!L11+'E Balans VL '!N11)/100/3.6*1000000</f>
        <v>10.08655832134488</v>
      </c>
      <c r="G11" s="34"/>
      <c r="H11" s="33"/>
      <c r="I11" s="33"/>
      <c r="J11" s="33">
        <f>$C$31*('E Balans VL '!D11+'E Balans VL '!E11)/100/3.6*1000000</f>
        <v>0</v>
      </c>
      <c r="K11" s="33"/>
      <c r="L11" s="33"/>
      <c r="M11" s="33"/>
      <c r="N11" s="33">
        <f>$C$31*'E Balans VL '!Y11/100/3.6*1000000</f>
        <v>3.8355324100255286E-2</v>
      </c>
      <c r="O11" s="33"/>
      <c r="P11" s="33"/>
      <c r="R11" s="32"/>
    </row>
    <row r="12" spans="1:18">
      <c r="A12" s="32" t="s">
        <v>249</v>
      </c>
      <c r="B12" s="37">
        <f t="shared" si="0"/>
        <v>0</v>
      </c>
      <c r="C12" s="33"/>
      <c r="D12" s="37">
        <f>IF(ISERROR(TER_rest_gas_kWh/1000),0,TER_rest_gas_kWh/1000)*0.902</f>
        <v>55.208714000000001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9538.1029999999992</v>
      </c>
      <c r="C16" s="21">
        <f t="shared" ca="1" si="1"/>
        <v>0</v>
      </c>
      <c r="D16" s="21">
        <f t="shared" ca="1" si="1"/>
        <v>1835.5113699999999</v>
      </c>
      <c r="E16" s="21">
        <f t="shared" si="1"/>
        <v>62.928953138581882</v>
      </c>
      <c r="F16" s="21">
        <f t="shared" ca="1" si="1"/>
        <v>1206.1503325990921</v>
      </c>
      <c r="G16" s="21">
        <f t="shared" si="1"/>
        <v>0</v>
      </c>
      <c r="H16" s="21">
        <f t="shared" si="1"/>
        <v>0</v>
      </c>
      <c r="I16" s="21">
        <f t="shared" si="1"/>
        <v>0</v>
      </c>
      <c r="J16" s="21">
        <f t="shared" si="1"/>
        <v>0</v>
      </c>
      <c r="K16" s="21">
        <f t="shared" si="1"/>
        <v>0</v>
      </c>
      <c r="L16" s="21">
        <f t="shared" ca="1" si="1"/>
        <v>0</v>
      </c>
      <c r="M16" s="21">
        <f t="shared" si="1"/>
        <v>0</v>
      </c>
      <c r="N16" s="21">
        <f t="shared" ca="1" si="1"/>
        <v>292.28629720955945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0.1176740545091845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1122.3872523362161</v>
      </c>
      <c r="C20" s="23">
        <f t="shared" ref="C20:P20" ca="1" si="2">C16*C18</f>
        <v>0</v>
      </c>
      <c r="D20" s="23">
        <f t="shared" ca="1" si="2"/>
        <v>370.77329674000003</v>
      </c>
      <c r="E20" s="23">
        <f t="shared" si="2"/>
        <v>14.284872362458088</v>
      </c>
      <c r="F20" s="23">
        <f t="shared" ca="1" si="2"/>
        <v>322.04213880395758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6720.3059999999996</v>
      </c>
      <c r="C26" s="39">
        <f>IF(ISERROR(B26*3.6/1000000/'E Balans VL '!Z12*100),0,B26*3.6/1000000/'E Balans VL '!Z12*100)</f>
        <v>0.14761929074174748</v>
      </c>
      <c r="D26" s="233" t="s">
        <v>676</v>
      </c>
      <c r="F26" s="6"/>
    </row>
    <row r="27" spans="1:18">
      <c r="A27" s="228" t="s">
        <v>52</v>
      </c>
      <c r="B27" s="33">
        <f>IF(ISERROR(TER_horeca_ele_kWh/1000),0,TER_horeca_ele_kWh/1000)</f>
        <v>581.52499999999998</v>
      </c>
      <c r="C27" s="39">
        <f>IF(ISERROR(B27*3.6/1000000/'E Balans VL '!Z9*100),0,B27*3.6/1000000/'E Balans VL '!Z9*100)</f>
        <v>4.6731330459665398E-2</v>
      </c>
      <c r="D27" s="233" t="s">
        <v>676</v>
      </c>
      <c r="F27" s="6"/>
    </row>
    <row r="28" spans="1:18">
      <c r="A28" s="168" t="s">
        <v>51</v>
      </c>
      <c r="B28" s="33">
        <f>IF(ISERROR(TER_handel_ele_kWh/1000),0,TER_handel_ele_kWh/1000)</f>
        <v>1658.164</v>
      </c>
      <c r="C28" s="39">
        <f>IF(ISERROR(B28*3.6/1000000/'E Balans VL '!Z13*100),0,B28*3.6/1000000/'E Balans VL '!Z13*100)</f>
        <v>4.9030751062306796E-2</v>
      </c>
      <c r="D28" s="233" t="s">
        <v>676</v>
      </c>
      <c r="F28" s="6"/>
    </row>
    <row r="29" spans="1:18">
      <c r="A29" s="228" t="s">
        <v>50</v>
      </c>
      <c r="B29" s="33">
        <f>IF(ISERROR(TER_gezond_ele_kWh/1000),0,TER_gezond_ele_kWh/1000)</f>
        <v>242.26900000000001</v>
      </c>
      <c r="C29" s="39">
        <f>IF(ISERROR(B29*3.6/1000000/'E Balans VL '!Z10*100),0,B29*3.6/1000000/'E Balans VL '!Z10*100)</f>
        <v>2.7297461465785034E-2</v>
      </c>
      <c r="D29" s="233" t="s">
        <v>676</v>
      </c>
      <c r="F29" s="6"/>
    </row>
    <row r="30" spans="1:18">
      <c r="A30" s="228" t="s">
        <v>49</v>
      </c>
      <c r="B30" s="33">
        <f>IF(ISERROR(TER_ander_ele_kWh/1000),0,TER_ander_ele_kWh/1000)</f>
        <v>297.30700000000002</v>
      </c>
      <c r="C30" s="39">
        <f>IF(ISERROR(B30*3.6/1000000/'E Balans VL '!Z14*100),0,B30*3.6/1000000/'E Balans VL '!Z14*100)</f>
        <v>2.248482018663998E-2</v>
      </c>
      <c r="D30" s="233" t="s">
        <v>676</v>
      </c>
      <c r="F30" s="6"/>
    </row>
    <row r="31" spans="1:18">
      <c r="A31" s="228" t="s">
        <v>54</v>
      </c>
      <c r="B31" s="33">
        <f>IF(ISERROR(TER_onderwijs_ele_kWh/1000),0,TER_onderwijs_ele_kWh/1000)</f>
        <v>38.531999999999996</v>
      </c>
      <c r="C31" s="39">
        <f>IF(ISERROR(B31*3.6/1000000/'E Balans VL '!Z11*100),0,B31*3.6/1000000/'E Balans VL '!Z11*100)</f>
        <v>7.9983487180204909E-3</v>
      </c>
      <c r="D31" s="233" t="s">
        <v>676</v>
      </c>
    </row>
    <row r="32" spans="1:18">
      <c r="A32" s="228" t="s">
        <v>249</v>
      </c>
      <c r="B32" s="33">
        <f>IF(ISERROR(TER_rest_ele_kWh/1000),0,TER_rest_ele_kWh/1000)</f>
        <v>0</v>
      </c>
      <c r="C32" s="39">
        <f>IF(ISERROR(B32*3.6/1000000/'E Balans VL '!Z8*100),0,B32*3.6/1000000/'E Balans VL '!Z8*100)</f>
        <v>0</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1</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1</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2523.5186551724141</v>
      </c>
      <c r="C5" s="17">
        <f>IF(ISERROR('Eigen informatie GS &amp; warmtenet'!B59),0,'Eigen informatie GS &amp; warmtenet'!B59)</f>
        <v>0</v>
      </c>
      <c r="D5" s="30">
        <f>SUM(D6:D15)</f>
        <v>549.73201800000004</v>
      </c>
      <c r="E5" s="17">
        <f>SUM(E6:E15)</f>
        <v>164.85004759177085</v>
      </c>
      <c r="F5" s="17">
        <f>SUM(F6:F15)</f>
        <v>3567.5431807879631</v>
      </c>
      <c r="G5" s="18"/>
      <c r="H5" s="17"/>
      <c r="I5" s="17"/>
      <c r="J5" s="17">
        <f>SUM(J6:J15)</f>
        <v>40.630628627874749</v>
      </c>
      <c r="K5" s="17"/>
      <c r="L5" s="17"/>
      <c r="M5" s="17"/>
      <c r="N5" s="17">
        <f>SUM(N6:N15)</f>
        <v>922.00911712073207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80.221000000000004</v>
      </c>
      <c r="C8" s="33"/>
      <c r="D8" s="37">
        <f>IF( ISERROR(IND_metaal_Gas_kWH/1000),0,IND_metaal_Gas_kWH/1000)*0.902</f>
        <v>0</v>
      </c>
      <c r="E8" s="33">
        <f>C30*'E Balans VL '!I18/100/3.6*1000000</f>
        <v>2.0076508625150518</v>
      </c>
      <c r="F8" s="33">
        <f>C30*'E Balans VL '!L18/100/3.6*1000000+C30*'E Balans VL '!N18/100/3.6*1000000</f>
        <v>25.141660439775805</v>
      </c>
      <c r="G8" s="34"/>
      <c r="H8" s="33"/>
      <c r="I8" s="33"/>
      <c r="J8" s="40">
        <f>C30*'E Balans VL '!D18/100/3.6*1000000+C30*'E Balans VL '!E18/100/3.6*1000000</f>
        <v>0</v>
      </c>
      <c r="K8" s="33"/>
      <c r="L8" s="33"/>
      <c r="M8" s="33"/>
      <c r="N8" s="33">
        <f>C30*'E Balans VL '!Y18/100/3.6*1000000</f>
        <v>2.0153597116494524</v>
      </c>
      <c r="O8" s="33"/>
      <c r="P8" s="33"/>
      <c r="R8" s="32"/>
    </row>
    <row r="9" spans="1:18">
      <c r="A9" s="6" t="s">
        <v>32</v>
      </c>
      <c r="B9" s="37">
        <f t="shared" si="0"/>
        <v>469.5326551724138</v>
      </c>
      <c r="C9" s="33"/>
      <c r="D9" s="37">
        <f>IF( ISERROR(IND_andere_gas_kWh/1000),0,IND_andere_gas_kWh/1000)*0.902</f>
        <v>509.96013199999999</v>
      </c>
      <c r="E9" s="33">
        <f>C31*'E Balans VL '!I19/100/3.6*1000000</f>
        <v>129.10222226445859</v>
      </c>
      <c r="F9" s="33">
        <f>C31*'E Balans VL '!L19/100/3.6*1000000+C31*'E Balans VL '!N19/100/3.6*1000000</f>
        <v>370.07343682408202</v>
      </c>
      <c r="G9" s="34"/>
      <c r="H9" s="33"/>
      <c r="I9" s="33"/>
      <c r="J9" s="40">
        <f>C31*'E Balans VL '!D19/100/3.6*1000000+C31*'E Balans VL '!E19/100/3.6*1000000</f>
        <v>0</v>
      </c>
      <c r="K9" s="33"/>
      <c r="L9" s="33"/>
      <c r="M9" s="33"/>
      <c r="N9" s="33">
        <f>C31*'E Balans VL '!Y19/100/3.6*1000000</f>
        <v>37.825846579262105</v>
      </c>
      <c r="O9" s="33"/>
      <c r="P9" s="33"/>
      <c r="R9" s="32"/>
    </row>
    <row r="10" spans="1:18">
      <c r="A10" s="6" t="s">
        <v>40</v>
      </c>
      <c r="B10" s="37">
        <f t="shared" si="0"/>
        <v>1638.9770000000001</v>
      </c>
      <c r="C10" s="33"/>
      <c r="D10" s="37">
        <f>IF( ISERROR(IND_voed_gas_kWh/1000),0,IND_voed_gas_kWh/1000)*0.902</f>
        <v>0</v>
      </c>
      <c r="E10" s="33">
        <f>C32*'E Balans VL '!I20/100/3.6*1000000</f>
        <v>16.708467597418629</v>
      </c>
      <c r="F10" s="33">
        <f>C32*'E Balans VL '!L20/100/3.6*1000000+C32*'E Balans VL '!N20/100/3.6*1000000</f>
        <v>3096.0173021883861</v>
      </c>
      <c r="G10" s="34"/>
      <c r="H10" s="33"/>
      <c r="I10" s="33"/>
      <c r="J10" s="40">
        <f>C32*'E Balans VL '!D20/100/3.6*1000000+C32*'E Balans VL '!E20/100/3.6*1000000</f>
        <v>39.226082367023338</v>
      </c>
      <c r="K10" s="33"/>
      <c r="L10" s="33"/>
      <c r="M10" s="33"/>
      <c r="N10" s="33">
        <f>C32*'E Balans VL '!Y20/100/3.6*1000000</f>
        <v>863.92966600066484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334.78800000000001</v>
      </c>
      <c r="C15" s="33"/>
      <c r="D15" s="37">
        <f>IF( ISERROR(IND_rest_gas_kWh/1000),0,IND_rest_gas_kWh/1000)*0.902</f>
        <v>39.771886000000002</v>
      </c>
      <c r="E15" s="33">
        <f>C37*'E Balans VL '!I15/100/3.6*1000000</f>
        <v>17.031706867378563</v>
      </c>
      <c r="F15" s="33">
        <f>C37*'E Balans VL '!L15/100/3.6*1000000+C37*'E Balans VL '!N15/100/3.6*1000000</f>
        <v>76.310781335719383</v>
      </c>
      <c r="G15" s="34"/>
      <c r="H15" s="33"/>
      <c r="I15" s="33"/>
      <c r="J15" s="40">
        <f>C37*'E Balans VL '!D15/100/3.6*1000000+C37*'E Balans VL '!E15/100/3.6*1000000</f>
        <v>1.4045462608514081</v>
      </c>
      <c r="K15" s="33"/>
      <c r="L15" s="33"/>
      <c r="M15" s="33"/>
      <c r="N15" s="33">
        <f>C37*'E Balans VL '!Y15/100/3.6*1000000</f>
        <v>18.238244829155647</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2523.5186551724141</v>
      </c>
      <c r="C18" s="21">
        <f>C5+C16</f>
        <v>0</v>
      </c>
      <c r="D18" s="21">
        <f>MAX((D5+D16),0)</f>
        <v>549.73201800000004</v>
      </c>
      <c r="E18" s="21">
        <f>MAX((E5+E16),0)</f>
        <v>164.85004759177085</v>
      </c>
      <c r="F18" s="21">
        <f>MAX((F5+F16),0)</f>
        <v>3567.5431807879631</v>
      </c>
      <c r="G18" s="21"/>
      <c r="H18" s="21"/>
      <c r="I18" s="21"/>
      <c r="J18" s="21">
        <f>MAX((J5+J16),0)</f>
        <v>40.630628627874749</v>
      </c>
      <c r="K18" s="21"/>
      <c r="L18" s="21">
        <f>MAX((L5+L16),0)</f>
        <v>0</v>
      </c>
      <c r="M18" s="21"/>
      <c r="N18" s="21">
        <f>MAX((N5+N16),0)</f>
        <v>922.00911712073207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0.1176740545091845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296.95267178370261</v>
      </c>
      <c r="C22" s="23">
        <f ca="1">C18*C20</f>
        <v>0</v>
      </c>
      <c r="D22" s="23">
        <f>D18*D20</f>
        <v>111.04586763600001</v>
      </c>
      <c r="E22" s="23">
        <f>E18*E20</f>
        <v>37.420960803331987</v>
      </c>
      <c r="F22" s="23">
        <f>F18*F20</f>
        <v>952.53402927038621</v>
      </c>
      <c r="G22" s="23"/>
      <c r="H22" s="23"/>
      <c r="I22" s="23"/>
      <c r="J22" s="23">
        <f>J18*J20</f>
        <v>14.38324253426766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80.221000000000004</v>
      </c>
      <c r="C30" s="39">
        <f>IF(ISERROR(B30*3.6/1000000/'E Balans VL '!Z18*100),0,B30*3.6/1000000/'E Balans VL '!Z18*100)</f>
        <v>1.1228266605641198E-2</v>
      </c>
      <c r="D30" s="233" t="s">
        <v>676</v>
      </c>
    </row>
    <row r="31" spans="1:18">
      <c r="A31" s="6" t="s">
        <v>32</v>
      </c>
      <c r="B31" s="37">
        <f>IF( ISERROR(IND_ander_ele_kWh/1000),0,IND_ander_ele_kWh/1000)</f>
        <v>469.5326551724138</v>
      </c>
      <c r="C31" s="39">
        <f>IF(ISERROR(B31*3.6/1000000/'E Balans VL '!Z19*100),0,B31*3.6/1000000/'E Balans VL '!Z19*100)</f>
        <v>2.055136814787822E-2</v>
      </c>
      <c r="D31" s="233" t="s">
        <v>676</v>
      </c>
    </row>
    <row r="32" spans="1:18">
      <c r="A32" s="168" t="s">
        <v>40</v>
      </c>
      <c r="B32" s="37">
        <f>IF( ISERROR(IND_voed_ele_kWh/1000),0,IND_voed_ele_kWh/1000)</f>
        <v>1638.9770000000001</v>
      </c>
      <c r="C32" s="39">
        <f>IF(ISERROR(B32*3.6/1000000/'E Balans VL '!Z20*100),0,B32*3.6/1000000/'E Balans VL '!Z20*100)</f>
        <v>0.40575627745850451</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334.78800000000001</v>
      </c>
      <c r="C37" s="39">
        <f>IF(ISERROR(B37*3.6/1000000/'E Balans VL '!Z15*100),0,B37*3.6/1000000/'E Balans VL '!Z15*100)</f>
        <v>2.4823957018689012E-3</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3397.7089999999998</v>
      </c>
      <c r="C5" s="17">
        <f>'Eigen informatie GS &amp; warmtenet'!B60</f>
        <v>0</v>
      </c>
      <c r="D5" s="30">
        <f>IF(ISERROR(SUM(LB_lb_gas_kWh,LB_rest_gas_kWh)/1000),0,SUM(LB_lb_gas_kWh,LB_rest_gas_kWh)/1000)*0.902</f>
        <v>61.075322</v>
      </c>
      <c r="E5" s="17">
        <f>B17*'E Balans VL '!I25/3.6*1000000/100</f>
        <v>31.471003849342491</v>
      </c>
      <c r="F5" s="17">
        <f>B17*('E Balans VL '!L25/3.6*1000000+'E Balans VL '!N25/3.6*1000000)/100</f>
        <v>8620.6349959002673</v>
      </c>
      <c r="G5" s="18"/>
      <c r="H5" s="17"/>
      <c r="I5" s="17"/>
      <c r="J5" s="17">
        <f>('E Balans VL '!D25+'E Balans VL '!E25)/3.6*1000000*landbouw!B17/100</f>
        <v>520.90670824310894</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3397.7089999999998</v>
      </c>
      <c r="C8" s="21">
        <f>C5+C6</f>
        <v>0</v>
      </c>
      <c r="D8" s="21">
        <f>MAX((D5+D6),0)</f>
        <v>61.075322</v>
      </c>
      <c r="E8" s="21">
        <f>MAX((E5+E6),0)</f>
        <v>31.471003849342491</v>
      </c>
      <c r="F8" s="21">
        <f>MAX((F5+F6),0)</f>
        <v>8620.6349959002673</v>
      </c>
      <c r="G8" s="21"/>
      <c r="H8" s="21"/>
      <c r="I8" s="21"/>
      <c r="J8" s="21">
        <f>MAX((J5+J6),0)</f>
        <v>520.90670824310894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0.1176740545091845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399.82219407234675</v>
      </c>
      <c r="C12" s="23">
        <f ca="1">C8*C10</f>
        <v>0</v>
      </c>
      <c r="D12" s="23">
        <f>D8*D10</f>
        <v>12.337215044000001</v>
      </c>
      <c r="E12" s="23">
        <f>E8*E10</f>
        <v>7.1439178738007456</v>
      </c>
      <c r="F12" s="23">
        <f>F8*F10</f>
        <v>2301.7095439053714</v>
      </c>
      <c r="G12" s="23"/>
      <c r="H12" s="23"/>
      <c r="I12" s="23"/>
      <c r="J12" s="23">
        <f>J8*J10</f>
        <v>184.40097471806055</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0.48308217591648178</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128.84702237321989</v>
      </c>
      <c r="C26" s="243">
        <f>B26*'GWP N2O_CH4'!B5</f>
        <v>2705.7874698376177</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93.040540704087945</v>
      </c>
      <c r="C27" s="243">
        <f>B27*'GWP N2O_CH4'!B5</f>
        <v>1953.8513547858468</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2.1585092208616916</v>
      </c>
      <c r="C28" s="243">
        <f>B28*'GWP N2O_CH4'!B4</f>
        <v>669.13785846712437</v>
      </c>
      <c r="D28" s="50"/>
    </row>
    <row r="29" spans="1:4">
      <c r="A29" s="41" t="s">
        <v>266</v>
      </c>
      <c r="B29" s="243">
        <f>B34*'ha_N2O bodem landbouw'!B4</f>
        <v>15.953687025690401</v>
      </c>
      <c r="C29" s="243">
        <f>B29*'GWP N2O_CH4'!B4</f>
        <v>4945.6429779640248</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3.5781309388065374E-3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1.0664667781215873E-4</v>
      </c>
      <c r="C5" s="430" t="s">
        <v>204</v>
      </c>
      <c r="D5" s="415">
        <f>SUM(D6:D11)</f>
        <v>1.5321115881652693E-4</v>
      </c>
      <c r="E5" s="415">
        <f>SUM(E6:E11)</f>
        <v>1.6982393998166789E-3</v>
      </c>
      <c r="F5" s="428" t="s">
        <v>204</v>
      </c>
      <c r="G5" s="415">
        <f>SUM(G6:G11)</f>
        <v>0.56067119019610989</v>
      </c>
      <c r="H5" s="415">
        <f>SUM(H6:H11)</f>
        <v>9.1046414005574186E-2</v>
      </c>
      <c r="I5" s="430" t="s">
        <v>204</v>
      </c>
      <c r="J5" s="430" t="s">
        <v>204</v>
      </c>
      <c r="K5" s="430" t="s">
        <v>204</v>
      </c>
      <c r="L5" s="430" t="s">
        <v>204</v>
      </c>
      <c r="M5" s="415">
        <f>SUM(M6:M11)</f>
        <v>3.5283294734780417E-2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2.2681168550749186E-5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3.4256232551313044E-5</v>
      </c>
      <c r="E6" s="858">
        <f>vkm_GW_PW*SUMIFS(TableVerdeelsleutelVkm[LPG],TableVerdeelsleutelVkm[Voertuigtype],"Lichte voertuigen")*SUMIFS(TableECFTransport[EnergieConsumptieFactor (PJ per km)],TableECFTransport[Index],CONCATENATE($A6,"_LPG_LPG"))</f>
        <v>3.3740708951583308E-4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7.7191654160631049E-2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1.9920290582754872E-2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5.0829782749263665E-3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1.3906641475933372E-6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5.3374269290303804E-2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1.0092235590248107E-6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3.0945186779130184E-3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1.1637660428613731E-5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2.6514353658808595E-5</v>
      </c>
      <c r="E8" s="418">
        <f>vkm_NGW_PW*SUMIFS(TableVerdeelsleutelVkm[LPG],TableVerdeelsleutelVkm[Voertuigtype],"Lichte voertuigen")*SUMIFS(TableECFTransport[EnergieConsumptieFactor (PJ per km)],TableECFTransport[Index],CONCATENATE($A8,"_LPG_LPG"))</f>
        <v>2.4906612170490255E-4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5.2885534021231598E-2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1.4894290623703666E-2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3.5204712569338317E-3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2.0076696544456788E-7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9.9001616515761934E-3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1.7586273487003964E-7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5.7398849858489428E-4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6.7087790055620281E-5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9.2440572606405287E-5</v>
      </c>
      <c r="E10" s="418">
        <f>vkm_SW_PW*SUMIFS(TableVerdeelsleutelVkm[LPG],TableVerdeelsleutelVkm[Voertuigtype],"Lichte voertuigen")*SUMIFS(TableECFTransport[EnergieConsumptieFactor (PJ per km)],TableECFTransport[Index],CONCATENATE($A10,"_LPG_LPG"))</f>
        <v>1.1117661885959433E-3</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0.23383386251677005</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5.6227922345101974E-2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1.5272134254929046E-2</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3.6486276641376218E-6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0.1334857085555971</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2.7253677197822554E-6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7.73920377149326E-3</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29.624077170044092</v>
      </c>
      <c r="C14" s="21"/>
      <c r="D14" s="21">
        <f t="shared" ref="D14:M14" si="0">((D5)*10^9/3600)+D12</f>
        <v>42.558655226813038</v>
      </c>
      <c r="E14" s="21">
        <f t="shared" si="0"/>
        <v>471.7331666157441</v>
      </c>
      <c r="F14" s="21"/>
      <c r="G14" s="21">
        <f t="shared" si="0"/>
        <v>155741.99727669719</v>
      </c>
      <c r="H14" s="21">
        <f t="shared" si="0"/>
        <v>25290.670557103938</v>
      </c>
      <c r="I14" s="21"/>
      <c r="J14" s="21"/>
      <c r="K14" s="21"/>
      <c r="L14" s="21"/>
      <c r="M14" s="21">
        <f t="shared" si="0"/>
        <v>9800.9152041056714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0.1176740545091845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3.4859852716920567</v>
      </c>
      <c r="C18" s="23"/>
      <c r="D18" s="23">
        <f t="shared" ref="D18:M18" si="1">D14*D16</f>
        <v>8.5968483558162347</v>
      </c>
      <c r="E18" s="23">
        <f t="shared" si="1"/>
        <v>107.08342882177391</v>
      </c>
      <c r="F18" s="23"/>
      <c r="G18" s="23">
        <f t="shared" si="1"/>
        <v>41583.113272878152</v>
      </c>
      <c r="H18" s="23">
        <f t="shared" si="1"/>
        <v>6297.3769687188806</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2.1279825161688541E-5</v>
      </c>
      <c r="C50" s="313">
        <f t="shared" ref="C50:P50" si="2">SUM(C51:C52)</f>
        <v>0</v>
      </c>
      <c r="D50" s="313">
        <f t="shared" si="2"/>
        <v>0</v>
      </c>
      <c r="E50" s="313">
        <f t="shared" si="2"/>
        <v>0</v>
      </c>
      <c r="F50" s="313">
        <f t="shared" si="2"/>
        <v>0</v>
      </c>
      <c r="G50" s="313">
        <f t="shared" si="2"/>
        <v>4.032246081941737E-3</v>
      </c>
      <c r="H50" s="313">
        <f t="shared" si="2"/>
        <v>0</v>
      </c>
      <c r="I50" s="313">
        <f t="shared" si="2"/>
        <v>0</v>
      </c>
      <c r="J50" s="313">
        <f t="shared" si="2"/>
        <v>0</v>
      </c>
      <c r="K50" s="313">
        <f t="shared" si="2"/>
        <v>0</v>
      </c>
      <c r="L50" s="313">
        <f t="shared" si="2"/>
        <v>0</v>
      </c>
      <c r="M50" s="313">
        <f t="shared" si="2"/>
        <v>2.3212848768158734E-4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2.1279825161688541E-5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4.032246081941737E-3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2.3212848768158734E-4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5.9110625449134844</v>
      </c>
      <c r="C54" s="21">
        <f t="shared" ref="C54:P54" si="3">(C50)*10^9/3600</f>
        <v>0</v>
      </c>
      <c r="D54" s="21">
        <f t="shared" si="3"/>
        <v>0</v>
      </c>
      <c r="E54" s="21">
        <f t="shared" si="3"/>
        <v>0</v>
      </c>
      <c r="F54" s="21">
        <f t="shared" si="3"/>
        <v>0</v>
      </c>
      <c r="G54" s="21">
        <f t="shared" si="3"/>
        <v>1120.0683560949269</v>
      </c>
      <c r="H54" s="21">
        <f t="shared" si="3"/>
        <v>0</v>
      </c>
      <c r="I54" s="21">
        <f t="shared" si="3"/>
        <v>0</v>
      </c>
      <c r="J54" s="21">
        <f t="shared" si="3"/>
        <v>0</v>
      </c>
      <c r="K54" s="21">
        <f t="shared" si="3"/>
        <v>0</v>
      </c>
      <c r="L54" s="21">
        <f t="shared" si="3"/>
        <v>0</v>
      </c>
      <c r="M54" s="21">
        <f t="shared" si="3"/>
        <v>64.480135467107601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0.1176740545091845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0.69557869611734824</v>
      </c>
      <c r="C58" s="23">
        <f t="shared" ref="C58:P58" ca="1" si="4">C54*C56</f>
        <v>0</v>
      </c>
      <c r="D58" s="23">
        <f t="shared" si="4"/>
        <v>0</v>
      </c>
      <c r="E58" s="23">
        <f t="shared" si="4"/>
        <v>0</v>
      </c>
      <c r="F58" s="23">
        <f t="shared" si="4"/>
        <v>0</v>
      </c>
      <c r="G58" s="23">
        <f t="shared" si="4"/>
        <v>299.05825107734552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8058.9268886539867</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4866.6167714685807</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12925.543660122567</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2021-11-11T13:10:14Z</dcterms:modified>
</cp:coreProperties>
</file>