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AFC6D22F-3388-4B9E-9798-7D9231B1157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<sst xmlns="http://schemas.openxmlformats.org/spreadsheetml/2006/main" count="2506" uniqueCount="925">
  <si>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</si>
  <si>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</si>
  <si>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</si>
  <si>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</si>
  <si>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</si>
  <si>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</si>
  <si>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</si>
  <si>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</si>
  <si>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</si>
  <si>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</si>
  <si>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</si>
  <si>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</si>
  <si>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</si>
  <si>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</si>
  <si>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</si>
  <si>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</si>
  <si>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</si>
  <si>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</si>
  <si>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</si>
  <si>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</si>
  <si>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</si>
  <si>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</si>
  <si>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</si>
  <si>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</si>
  <si>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</si>
  <si>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</si>
  <si>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</si>
  <si>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</si>
  <si>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</si>
  <si>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</si>
  <si>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</si>
  <si>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</si>
  <si>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</si>
  <si>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</si>
  <si>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</si>
  <si>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</si>
  <si>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</si>
  <si>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</si>
  <si>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</si>
  <si>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</si>
  <si>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</si>
  <si>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</si>
  <si>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</si>
  <si>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</si>
  <si>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</si>
  <si>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</si>
  <si>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</si>
  <si>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</si>
  <si>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</si>
  <si>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</si>
  <si>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</si>
  <si>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</si>
  <si>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</si>
  <si>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</si>
  <si>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</si>
  <si>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</si>
  <si>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</si>
  <si>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</si>
  <si>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</si>
  <si>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</si>
  <si>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</si>
  <si>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</si>
  <si>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</si>
  <si>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</si>
  <si>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</si>
  <si>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</si>
  <si>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</si>
  <si>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</si>
  <si>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</si>
  <si>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</si>
  <si>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</si>
  <si>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</si>
  <si>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</si>
  <si>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</si>
  <si>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</si>
  <si>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</si>
  <si>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</si>
  <si>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</si>
  <si>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</si>
  <si>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</si>
  <si>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</si>
  <si>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</si>
  <si>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</si>
  <si>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</si>
  <si>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</si>
  <si>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</si>
  <si>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</si>
  <si>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</si>
  <si>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</si>
  <si>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</si>
  <si>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</si>
  <si>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</si>
  <si>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</si>
  <si>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</si>
  <si>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</si>
  <si>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</si>
  <si>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</si>
  <si>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</si>
  <si>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</si>
  <si>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</si>
  <si>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</si>
  <si>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</si>
  <si>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</si>
  <si>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</si>
  <si>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</si>
  <si>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</si>
  <si>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</si>
  <si>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</si>
  <si>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</si>
  <si>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</si>
  <si>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</si>
  <si>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</si>
  <si>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</si>
  <si>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</si>
  <si>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</si>
  <si>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</si>
  <si>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</si>
  <si>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</si>
  <si>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</si>
  <si>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</si>
  <si>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</si>
  <si>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</si>
  <si>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</si>
  <si>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</si>
  <si>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</si>
  <si>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</si>
  <si>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</si>
  <si>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</si>
  <si>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</si>
  <si>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</si>
  <si>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</si>
  <si>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</si>
  <si>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</si>
  <si>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</si>
  <si>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</si>
  <si>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</si>
  <si>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</si>
  <si>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</si>
  <si>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</si>
  <si>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</si>
  <si>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</si>
  <si>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</si>
  <si>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</si>
  <si>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</si>
  <si>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</si>
  <si>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</si>
  <si>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</si>
  <si>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</si>
  <si>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</si>
  <si>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</si>
  <si>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</si>
  <si>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</si>
  <si>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</si>
  <si>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</si>
  <si>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</si>
  <si>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</si>
  <si>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</si>
  <si>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</si>
  <si>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</si>
  <si>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</si>
  <si>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</si>
  <si>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</si>
  <si>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</si>
  <si>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</si>
  <si>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</si>
  <si>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</si>
  <si>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</si>
  <si>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</si>
  <si>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</si>
  <si>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</si>
  <si>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</si>
  <si>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</si>
  <si>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</si>
  <si>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</si>
  <si>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</si>
  <si>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</si>
  <si>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</si>
  <si>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</si>
  <si>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</si>
  <si>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</si>
  <si>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</si>
  <si>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</si>
  <si>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</si>
  <si>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</si>
  <si>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</si>
  <si>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</si>
  <si>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</si>
  <si>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</si>
  <si>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</si>
  <si>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</si>
  <si>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</si>
  <si>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</si>
  <si>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</si>
  <si>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</si>
  <si>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</si>
  <si>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</si>
  <si>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</si>
  <si>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</si>
  <si>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</si>
  <si>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</si>
  <si>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</si>
  <si>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</si>
  <si>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</si>
  <si>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</si>
  <si>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</si>
  <si>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</si>
  <si>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</si>
  <si>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</si>
  <si>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</si>
  <si>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</si>
  <si>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</si>
  <si>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</si>
  <si>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</si>
  <si>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</si>
  <si>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</si>
  <si>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</si>
  <si>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</si>
  <si>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</si>
  <si>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</si>
  <si>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</si>
  <si>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</si>
  <si>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</si>
  <si>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</si>
  <si>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</si>
  <si>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</si>
  <si>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</si>
  <si>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</si>
  <si>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</si>
  <si>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</si>
  <si>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</si>
  <si>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</si>
  <si>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</si>
  <si>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</si>
  <si>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</si>
  <si>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</si>
  <si>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</si>
  <si>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</si>
  <si>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</si>
  <si>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</si>
  <si>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</si>
  <si>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</si>
  <si>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</si>
  <si>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</si>
  <si>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</si>
  <si>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</si>
  <si>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</si>
  <si>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</si>
  <si>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</si>
  <si>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</si>
  <si>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</si>
  <si>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</si>
  <si>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</si>
  <si>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</si>
  <si>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</si>
  <si>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</si>
  <si>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</si>
  <si>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</si>
  <si>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</si>
  <si>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</si>
  <si>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</si>
  <si>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</si>
  <si>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</si>
  <si>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</si>
  <si>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</si>
  <si>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</si>
  <si>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</si>
  <si>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</si>
  <si>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</si>
  <si>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</si>
  <si>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</si>
  <si>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</si>
  <si>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</si>
  <si>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</si>
  <si>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</si>
  <si>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</si>
  <si>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</si>
  <si>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</si>
  <si>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</si>
  <si>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</si>
  <si>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</si>
  <si>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</si>
  <si>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</si>
  <si>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</si>
  <si>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</si>
  <si>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</si>
  <si>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</si>
  <si>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</si>
  <si>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</si>
  <si>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</si>
  <si>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</si>
  <si>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</si>
  <si>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</si>
  <si>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</si>
  <si>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</si>
  <si>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</si>
  <si>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</si>
  <si>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</si>
  <si>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</si>
  <si>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</si>
  <si>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</si>
  <si>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</si>
  <si>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</si>
  <si>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</si>
  <si>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</si>
  <si>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</si>
  <si>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</si>
  <si>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</si>
  <si>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</si>
  <si>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</si>
  <si>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</si>
  <si>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</si>
  <si>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</si>
  <si>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</si>
  <si>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</si>
  <si>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</si>
  <si>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</si>
  <si>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</si>
  <si>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</si>
  <si>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</si>
  <si>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</si>
  <si>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</si>
  <si>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</si>
  <si>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</si>
  <si>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</si>
  <si>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</si>
  <si>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</si>
  <si>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</si>
  <si>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</si>
  <si>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</si>
  <si>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</si>
  <si>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</si>
  <si>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</si>
  <si>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</si>
  <si>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</si>
  <si>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</si>
  <si>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</si>
  <si>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</si>
  <si>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</si>
  <si>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</si>
  <si>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</si>
  <si>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</si>
  <si>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</si>
  <si>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</si>
  <si>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</si>
  <si>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</si>
  <si>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</si>
  <si>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</si>
  <si>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</si>
  <si>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</si>
  <si>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</si>
  <si>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</si>
  <si>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</si>
  <si>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</si>
  <si>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</si>
  <si>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</si>
  <si>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</si>
  <si>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</si>
  <si>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</si>
  <si>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</si>
  <si>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</si>
  <si>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</si>
  <si>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</si>
  <si>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</si>
  <si>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</si>
  <si>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</si>
  <si>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</si>
  <si>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</si>
  <si>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</si>
  <si>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</si>
  <si>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</si>
  <si>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</si>
  <si>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</si>
  <si>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</si>
  <si>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</si>
  <si>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</si>
  <si>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</si>
  <si>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</si>
  <si>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</si>
  <si>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</si>
  <si>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</si>
  <si>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</si>
  <si>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</si>
  <si>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</si>
  <si>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</si>
  <si>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</si>
  <si>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</si>
  <si>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</si>
  <si>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</si>
  <si>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</si>
  <si>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</si>
  <si>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</si>
  <si>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</si>
  <si>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</si>
  <si>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</si>
  <si>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</si>
  <si>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</si>
  <si>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</si>
  <si>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</si>
  <si>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</si>
  <si>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</si>
  <si>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</si>
  <si>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</si>
  <si>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</si>
  <si>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</si>
  <si>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</si>
  <si>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</si>
  <si>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</si>
  <si>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</si>
  <si>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</si>
  <si>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</si>
  <si>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</si>
  <si>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</si>
  <si>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</si>
  <si>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</si>
  <si>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</si>
  <si>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</si>
  <si>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</si>
  <si>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</si>
  <si>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</si>
  <si>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</si>
  <si>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</si>
  <si>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</si>
  <si>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</si>
  <si>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</si>
  <si>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</si>
  <si>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</si>
  <si>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</si>
  <si>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</si>
  <si>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</si>
  <si>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</si>
  <si>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</si>
  <si>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</si>
  <si>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</si>
  <si>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</si>
  <si>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</si>
  <si>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</si>
  <si>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</si>
  <si>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</si>
  <si>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</si>
  <si>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</si>
  <si>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</si>
  <si>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</si>
  <si>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</si>
  <si>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</si>
  <si>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</si>
  <si>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</si>
  <si>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</si>
  <si>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</si>
  <si>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</si>
  <si>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</si>
  <si>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</si>
  <si>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</si>
  <si>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</si>
  <si>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</si>
  <si>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</si>
  <si>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</si>
  <si>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</si>
  <si>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</si>
  <si>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</si>
  <si>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</si>
  <si>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</si>
  <si>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</si>
  <si>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</si>
  <si>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</si>
  <si>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</si>
  <si>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</si>
  <si>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</si>
  <si>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</si>
  <si>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</si>
  <si>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</si>
  <si>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</si>
  <si>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</si>
  <si>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</si>
  <si>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</si>
  <si>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</si>
  <si>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</si>
  <si>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</si>
  <si>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</si>
  <si>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</si>
  <si>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</si>
  <si>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</si>
  <si>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</si>
  <si>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</si>
  <si>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</si>
  <si>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</si>
  <si>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</si>
  <si>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</si>
  <si>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</si>
  <si>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</si>
  <si>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</si>
  <si>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</si>
  <si>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</si>
  <si>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</si>
  <si>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</si>
  <si>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</si>
  <si>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</si>
  <si>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</si>
  <si>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</si>
  <si>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</si>
  <si>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</si>
  <si>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</si>
  <si>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</si>
  <si>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</si>
  <si>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</si>
  <si>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</si>
  <si>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</si>
  <si>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</si>
  <si>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</si>
  <si>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</si>
  <si>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</si>
  <si>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</si>
  <si>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</si>
  <si>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</si>
  <si>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</si>
  <si>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</si>
  <si>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</si>
  <si>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</si>
  <si>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</si>
  <si>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</si>
  <si>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</si>
  <si>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</si>
  <si>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</si>
  <si>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</si>
  <si>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</si>
  <si>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</si>
  <si>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</si>
  <si>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</si>
  <si>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</si>
  <si>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</si>
  <si>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</si>
  <si>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</si>
  <si>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</si>
  <si>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</si>
  <si>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</si>
  <si>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</si>
  <si>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</si>
  <si>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</si>
  <si>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</si>
  <si>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</si>
  <si>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</si>
  <si>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</si>
  <si>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</si>
  <si>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</si>
  <si>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</si>
  <si>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</si>
  <si>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</si>
  <si>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</si>
  <si>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</si>
  <si>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</si>
  <si>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</si>
  <si>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</si>
  <si>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</si>
  <si>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</si>
  <si>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</si>
  <si>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</si>
  <si>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</si>
  <si>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</si>
  <si>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</si>
  <si>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</si>
  <si>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</si>
  <si>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</si>
  <si>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</si>
  <si>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</si>
  <si>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</si>
  <si>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</si>
  <si>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</si>
  <si>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</si>
  <si>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</si>
  <si>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</si>
  <si>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</si>
  <si>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</si>
  <si>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</si>
  <si>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</si>
  <si>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</si>
  <si>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</si>
  <si>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</si>
  <si>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</si>
  <si>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</si>
  <si>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</si>
  <si>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</si>
  <si>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</si>
  <si>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</si>
  <si>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</si>
  <si>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</si>
  <si>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</si>
  <si>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</si>
  <si>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</si>
  <si>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</si>
  <si>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</si>
  <si>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</si>
  <si>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</si>
  <si>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</si>
  <si>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</si>
  <si>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</si>
  <si>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</si>
  <si>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</si>
  <si>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</si>
  <si>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</si>
  <si>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</si>
  <si>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</si>
  <si>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</si>
  <si>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</si>
  <si>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</si>
  <si>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</si>
  <si>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</si>
  <si>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</si>
  <si>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</si>
  <si>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</si>
  <si>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</si>
  <si>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</si>
  <si>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</si>
  <si>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</si>
  <si>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</si>
  <si>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</si>
  <si>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</si>
  <si>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</si>
  <si>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</si>
  <si>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</si>
  <si>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</si>
  <si>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</si>
  <si>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</si>
  <si>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</si>
  <si>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</si>
  <si>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</si>
  <si>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</si>
  <si>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</si>
  <si>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</si>
  <si>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</si>
  <si>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</si>
  <si>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</si>
  <si>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</si>
  <si>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</si>
  <si>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</si>
  <si>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</si>
  <si>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</si>
  <si>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</si>
  <si>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</si>
  <si>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</si>
  <si>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</si>
  <si>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</si>
  <si>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</si>
  <si>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</si>
  <si>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</si>
  <si>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</si>
  <si>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</si>
  <si>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</si>
  <si>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</si>
  <si>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</si>
  <si>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</si>
  <si>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</si>
  <si>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</si>
  <si>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</si>
  <si>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</si>
  <si>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</si>
  <si>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</si>
  <si>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</si>
  <si>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</si>
  <si>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</si>
  <si>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</si>
  <si>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</si>
  <si>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</si>
  <si>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</si>
  <si>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</si>
  <si>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</si>
  <si>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</si>
  <si>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</si>
  <si>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</si>
  <si>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</si>
  <si>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</si>
  <si>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</si>
  <si>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</si>
  <si>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</si>
  <si>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</si>
  <si>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</si>
  <si>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</si>
  <si>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</si>
  <si>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</si>
  <si>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</si>
  <si>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</si>
  <si>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</si>
  <si>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</si>
  <si>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</si>
  <si>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</si>
  <si>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</si>
  <si>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</si>
  <si>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</si>
  <si>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</si>
  <si>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</si>
  <si>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</si>
  <si>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</si>
  <si>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</si>
  <si>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</si>
  <si>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</si>
  <si>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</si>
  <si>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</si>
  <si>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</si>
  <si>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</si>
  <si>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</si>
  <si>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</si>
  <si>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</si>
  <si>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</si>
  <si>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</si>
  <si>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</si>
  <si>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</si>
  <si>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</si>
  <si>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</si>
  <si>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</si>
  <si>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</si>
  <si>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</si>
  <si>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</si>
  <si>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</si>
  <si>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</si>
  <si>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</si>
  <si>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</si>
  <si>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</si>
  <si>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</si>
  <si>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</si>
  <si>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</si>
  <si>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</si>
  <si>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</si>
  <si>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</si>
  <si>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</si>
  <si>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</si>
  <si>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</si>
  <si>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</si>
  <si>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</si>
  <si>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</si>
  <si>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</si>
  <si>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</si>
  <si>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</si>
  <si>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</si>
  <si>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</si>
  <si>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</si>
  <si>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</si>
  <si>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</si>
  <si>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</si>
  <si>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</si>
  <si>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</si>
  <si>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</si>
  <si>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</si>
  <si>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</si>
  <si>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</si>
  <si>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</si>
  <si>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</si>
  <si>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</si>
  <si>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</si>
  <si>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</si>
  <si>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</si>
  <si>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</si>
  <si>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</si>
  <si>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</si>
  <si>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</si>
  <si>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</si>
  <si>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</si>
  <si>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</si>
  <si>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</si>
  <si>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</si>
  <si>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</si>
  <si>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</si>
  <si>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</si>
  <si>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</si>
  <si>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</si>
  <si>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</si>
  <si>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</si>
  <si>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</si>
  <si>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</si>
  <si>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</si>
  <si>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</si>
  <si>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</si>
  <si>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</si>
  <si>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</si>
  <si>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</si>
  <si>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</si>
  <si>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</si>
  <si>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</si>
  <si>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</si>
  <si>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</si>
  <si>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</si>
  <si>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</si>
  <si>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</si>
  <si>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</si>
  <si>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</si>
  <si>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</si>
  <si>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</si>
  <si>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</si>
  <si>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</si>
  <si>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</si>
  <si>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</si>
  <si>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</si>
  <si>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</si>
  <si>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</si>
  <si>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</si>
  <si>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</si>
  <si>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</si>
  <si>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</si>
  <si>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</si>
  <si>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</si>
  <si>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</si>
  <si>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</si>
  <si>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</si>
  <si>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</si>
  <si>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</si>
  <si>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</si>
  <si>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</si>
  <si>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</si>
  <si>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</si>
  <si>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</si>
  <si>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</si>
  <si>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</si>
  <si>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</si>
  <si>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</si>
  <si>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</si>
  <si>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</si>
  <si>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</si>
  <si>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</si>
  <si>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</si>
  <si>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</si>
  <si>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</si>
  <si>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</si>
  <si>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</si>
  <si>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</si>
  <si>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</si>
  <si>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</si>
  <si>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</si>
  <si>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</si>
  <si>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</si>
  <si>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</si>
  <si>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</si>
  <si>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</si>
  <si>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</si>
  <si>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</si>
  <si>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</si>
  <si>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</si>
  <si>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</si>
  <si>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</si>
  <si>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</si>
  <si>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</si>
  <si>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</si>
  <si>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</si>
  <si>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</si>
  <si>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</si>
  <si>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</si>
  <si>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</si>
  <si>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</si>
  <si>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</si>
  <si>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</si>
  <si>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</si>
  <si>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</si>
  <si>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</si>
  <si>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</si>
  <si>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</si>
  <si>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</si>
  <si>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</si>
  <si>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</si>
  <si>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</si>
  <si>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</si>
  <si>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</si>
  <si>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</si>
  <si>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</si>
  <si>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</si>
  <si>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</si>
  <si>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</si>
  <si>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</si>
  <si>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</si>
  <si>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</si>
  <si>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</si>
  <si>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</si>
  <si>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</si>
  <si>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</si>
  <si>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</si>
  <si>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</si>
  <si>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</si>
  <si>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</si>
  <si>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</si>
  <si>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</si>
  <si>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</si>
  <si>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</si>
  <si>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</si>
  <si>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</si>
  <si>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</si>
  <si>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</si>
  <si>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</si>
  <si>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</si>
  <si>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</si>
  <si>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</si>
  <si>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</si>
  <si>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</si>
  <si>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</si>
  <si>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</si>
  <si>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</si>
  <si>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</si>
  <si>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</si>
  <si>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</si>
  <si>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</si>
  <si>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</si>
  <si>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</si>
  <si>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</si>
  <si>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</si>
  <si>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</si>
  <si>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</si>
  <si>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</si>
  <si>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</si>
  <si>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</si>
  <si>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</si>
  <si>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</si>
  <si>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</si>
  <si>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</si>
  <si>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</si>
  <si>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</si>
  <si>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</si>
  <si>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</si>
  <si>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</si>
  <si>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</si>
  <si>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</si>
  <si>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</si>
  <si>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</si>
  <si>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23105</t>
  </si>
  <si>
    <t>AFFLIGEM</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</si>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</sst>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3D099BE0-19C1-42A7-B643-EDCF3465CF9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113563.08249197189</c:v>
                </c:pt>
                <c:pt idx="1">
                  <c:v>17093.638359581364</c:v>
                </c:pt>
                <c:pt idx="2">
                  <c:v>813.82</c:v>
                </c:pt>
                <c:pt idx="3">
                  <c:v>702.89610801006324</c:v>
                </c:pt>
                <c:pt idx="4">
                  <c:v>4274.2982733258114</c:v>
                </c:pt>
                <c:pt idx="5">
                  <c:v>210413.49947347329</c:v>
                </c:pt>
                <c:pt idx="6">
                  <c:v>1475.6450607111315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113563.08249197189</c:v>
                </c:pt>
                <c:pt idx="1">
                  <c:v>17093.638359581364</c:v>
                </c:pt>
                <c:pt idx="2">
                  <c:v>813.82</c:v>
                </c:pt>
                <c:pt idx="3">
                  <c:v>702.89610801006324</c:v>
                </c:pt>
                <c:pt idx="4">
                  <c:v>4274.2982733258114</c:v>
                </c:pt>
                <c:pt idx="5">
                  <c:v>210413.49947347329</c:v>
                </c:pt>
                <c:pt idx="6">
                  <c:v>1475.6450607111315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24874.824875624243</c:v>
                </c:pt>
                <c:pt idx="2">
                  <c:v>3465.2829038377258</c:v>
                </c:pt>
                <c:pt idx="3">
                  <c:v>167.81676491978035</c:v>
                </c:pt>
                <c:pt idx="4">
                  <c:v>176.37225584515161</c:v>
                </c:pt>
                <c:pt idx="5">
                  <c:v>898.26739629666963</c:v>
                </c:pt>
                <c:pt idx="6">
                  <c:v>52777.063104597451</c:v>
                </c:pt>
                <c:pt idx="7">
                  <c:v>372.21131267324779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24874.824875624243</c:v>
                </c:pt>
                <c:pt idx="2">
                  <c:v>3465.2829038377258</c:v>
                </c:pt>
                <c:pt idx="3">
                  <c:v>167.81676491978035</c:v>
                </c:pt>
                <c:pt idx="4">
                  <c:v>176.37225584515161</c:v>
                </c:pt>
                <c:pt idx="5">
                  <c:v>898.26739629666963</c:v>
                </c:pt>
                <c:pt idx="6">
                  <c:v>52777.063104597451</c:v>
                </c:pt>
                <c:pt idx="7">
                  <c:v>372.21131267324779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23105</v>
      </c>
      <c r="B6" s="383"/>
      <c r="C6" s="384"/>
    </row>
    <row r="7" spans="1:7" s="381" customFormat="1" ht="15.75" customHeight="1">
      <c r="A7" s="385" t="str">
        <f>txtMunicipality</f>
        <v>AFFLIGEM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8271.2950000000001</v>
      </c>
      <c r="D10" s="983">
        <f ca="1">tertiair!C16</f>
        <v>57.857142857142861</v>
      </c>
      <c r="E10" s="983">
        <f ca="1">tertiair!D16</f>
        <v>7836.2433410572085</v>
      </c>
      <c r="F10" s="983">
        <f>tertiair!E16</f>
        <v>109.36420784979107</v>
      </c>
      <c r="G10" s="983">
        <f ca="1">tertiair!F16</f>
        <v>1146.0309461185623</v>
      </c>
      <c r="H10" s="983">
        <f>tertiair!G16</f>
        <v>0</v>
      </c>
      <c r="I10" s="983">
        <f>tertiair!H16</f>
        <v>0</v>
      </c>
      <c r="J10" s="983">
        <f>tertiair!I16</f>
        <v>0</v>
      </c>
      <c r="K10" s="983">
        <f>tertiair!J16</f>
        <v>0</v>
      </c>
      <c r="L10" s="983">
        <f>tertiair!K16</f>
        <v>0</v>
      </c>
      <c r="M10" s="983">
        <f ca="1">tertiair!L16</f>
        <v>0</v>
      </c>
      <c r="N10" s="983">
        <f>tertiair!M16</f>
        <v>0</v>
      </c>
      <c r="O10" s="983">
        <f ca="1">tertiair!N16</f>
        <v>464.47438836532706</v>
      </c>
      <c r="P10" s="983">
        <f>tertiair!O16</f>
        <v>3.1266666666666669</v>
      </c>
      <c r="Q10" s="984">
        <f>tertiair!P16</f>
        <v>19.066666666666666</v>
      </c>
      <c r="R10" s="667">
        <f ca="1">SUM(C10:Q10)</f>
        <v>17907.458359581364</v>
      </c>
      <c r="S10" s="67"/>
    </row>
    <row r="11" spans="1:19" s="440" customFormat="1">
      <c r="A11" s="776" t="s">
        <v>214</v>
      </c>
      <c r="B11" s="781"/>
      <c r="C11" s="983">
        <f>huishoudens!B8</f>
        <v>25572.492399471146</v>
      </c>
      <c r="D11" s="983">
        <f>huishoudens!C8</f>
        <v>0</v>
      </c>
      <c r="E11" s="983">
        <f>huishoudens!D8</f>
        <v>30764.284398776752</v>
      </c>
      <c r="F11" s="983">
        <f>huishoudens!E8</f>
        <v>1502.413079636972</v>
      </c>
      <c r="G11" s="983">
        <f>huishoudens!F8</f>
        <v>47396.44542627973</v>
      </c>
      <c r="H11" s="983">
        <f>huishoudens!G8</f>
        <v>0</v>
      </c>
      <c r="I11" s="983">
        <f>huishoudens!H8</f>
        <v>0</v>
      </c>
      <c r="J11" s="983">
        <f>huishoudens!I8</f>
        <v>0</v>
      </c>
      <c r="K11" s="983">
        <f>huishoudens!J8</f>
        <v>1105.2833168731665</v>
      </c>
      <c r="L11" s="983">
        <f>huishoudens!K8</f>
        <v>0</v>
      </c>
      <c r="M11" s="983">
        <f>huishoudens!L8</f>
        <v>0</v>
      </c>
      <c r="N11" s="983">
        <f>huishoudens!M8</f>
        <v>0</v>
      </c>
      <c r="O11" s="983">
        <f>huishoudens!N8</f>
        <v>6220.3372042674582</v>
      </c>
      <c r="P11" s="983">
        <f>huishoudens!O8</f>
        <v>143.82666666666668</v>
      </c>
      <c r="Q11" s="984">
        <f>huishoudens!P8</f>
        <v>858</v>
      </c>
      <c r="R11" s="667">
        <f>SUM(C11:Q11)</f>
        <v>113563.08249197189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1627.52909</v>
      </c>
      <c r="D13" s="983">
        <f>industrie!C18</f>
        <v>0</v>
      </c>
      <c r="E13" s="983">
        <f>industrie!D18</f>
        <v>1132.9099389865896</v>
      </c>
      <c r="F13" s="983">
        <f>industrie!E18</f>
        <v>153.76663114836788</v>
      </c>
      <c r="G13" s="983">
        <f>industrie!F18</f>
        <v>1104.6734963251286</v>
      </c>
      <c r="H13" s="983">
        <f>industrie!G18</f>
        <v>0</v>
      </c>
      <c r="I13" s="983">
        <f>industrie!H18</f>
        <v>0</v>
      </c>
      <c r="J13" s="983">
        <f>industrie!I18</f>
        <v>0</v>
      </c>
      <c r="K13" s="983">
        <f>industrie!J18</f>
        <v>11.175368924687739</v>
      </c>
      <c r="L13" s="983">
        <f>industrie!K18</f>
        <v>0</v>
      </c>
      <c r="M13" s="983">
        <f>industrie!L18</f>
        <v>0</v>
      </c>
      <c r="N13" s="983">
        <f>industrie!M18</f>
        <v>0</v>
      </c>
      <c r="O13" s="983">
        <f>industrie!N18</f>
        <v>244.24374794103738</v>
      </c>
      <c r="P13" s="983">
        <f>industrie!O18</f>
        <v>0</v>
      </c>
      <c r="Q13" s="984">
        <f>industrie!P18</f>
        <v>0</v>
      </c>
      <c r="R13" s="667">
        <f>SUM(C13:Q13)</f>
        <v>4274.2982733258114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35471.316489471152</v>
      </c>
      <c r="D16" s="699">
        <f t="shared" ref="D16:R16" ca="1" si="0">SUM(D9:D15)</f>
        <v>57.857142857142861</v>
      </c>
      <c r="E16" s="699">
        <f t="shared" ca="1" si="0"/>
        <v>39733.437678820548</v>
      </c>
      <c r="F16" s="699">
        <f t="shared" si="0"/>
        <v>1765.5439186351309</v>
      </c>
      <c r="G16" s="699">
        <f t="shared" ca="1" si="0"/>
        <v>49647.14986872342</v>
      </c>
      <c r="H16" s="699">
        <f t="shared" si="0"/>
        <v>0</v>
      </c>
      <c r="I16" s="699">
        <f t="shared" si="0"/>
        <v>0</v>
      </c>
      <c r="J16" s="699">
        <f t="shared" si="0"/>
        <v>0</v>
      </c>
      <c r="K16" s="699">
        <f t="shared" si="0"/>
        <v>1116.4586857978543</v>
      </c>
      <c r="L16" s="699">
        <f t="shared" si="0"/>
        <v>0</v>
      </c>
      <c r="M16" s="699">
        <f t="shared" ca="1" si="0"/>
        <v>0</v>
      </c>
      <c r="N16" s="699">
        <f t="shared" si="0"/>
        <v>0</v>
      </c>
      <c r="O16" s="699">
        <f t="shared" ca="1" si="0"/>
        <v>6929.0553405738228</v>
      </c>
      <c r="P16" s="699">
        <f t="shared" si="0"/>
        <v>146.95333333333335</v>
      </c>
      <c r="Q16" s="699">
        <f t="shared" si="0"/>
        <v>877.06666666666672</v>
      </c>
      <c r="R16" s="699">
        <f t="shared" ca="1" si="0"/>
        <v>135744.83912487907</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7.3271118013745902</v>
      </c>
      <c r="D19" s="983">
        <f>transport!C54</f>
        <v>0</v>
      </c>
      <c r="E19" s="983">
        <f>transport!D54</f>
        <v>0</v>
      </c>
      <c r="F19" s="983">
        <f>transport!E54</f>
        <v>0</v>
      </c>
      <c r="G19" s="983">
        <f>transport!F54</f>
        <v>0</v>
      </c>
      <c r="H19" s="983">
        <f>transport!G54</f>
        <v>1388.3910054972184</v>
      </c>
      <c r="I19" s="983">
        <f>transport!H54</f>
        <v>0</v>
      </c>
      <c r="J19" s="983">
        <f>transport!I54</f>
        <v>0</v>
      </c>
      <c r="K19" s="983">
        <f>transport!J54</f>
        <v>0</v>
      </c>
      <c r="L19" s="983">
        <f>transport!K54</f>
        <v>0</v>
      </c>
      <c r="M19" s="983">
        <f>transport!L54</f>
        <v>0</v>
      </c>
      <c r="N19" s="983">
        <f>transport!M54</f>
        <v>79.926943412538577</v>
      </c>
      <c r="O19" s="983">
        <f>transport!N54</f>
        <v>0</v>
      </c>
      <c r="P19" s="983">
        <f>transport!O54</f>
        <v>0</v>
      </c>
      <c r="Q19" s="984">
        <f>transport!P54</f>
        <v>0</v>
      </c>
      <c r="R19" s="667">
        <f>SUM(C19:Q19)</f>
        <v>1475.6450607111315</v>
      </c>
      <c r="S19" s="67"/>
    </row>
    <row r="20" spans="1:19" s="440" customFormat="1">
      <c r="A20" s="776" t="s">
        <v>296</v>
      </c>
      <c r="B20" s="781"/>
      <c r="C20" s="983">
        <f>transport!B14</f>
        <v>32.480607231811014</v>
      </c>
      <c r="D20" s="983">
        <f>transport!C14</f>
        <v>0</v>
      </c>
      <c r="E20" s="983">
        <f>transport!D14</f>
        <v>46.537787030381814</v>
      </c>
      <c r="F20" s="983">
        <f>transport!E14</f>
        <v>527.42500293849491</v>
      </c>
      <c r="G20" s="983">
        <f>transport!F14</f>
        <v>0</v>
      </c>
      <c r="H20" s="983">
        <f>transport!G14</f>
        <v>171250.31422875679</v>
      </c>
      <c r="I20" s="983">
        <f>transport!H14</f>
        <v>27780.744229125921</v>
      </c>
      <c r="J20" s="983">
        <f>transport!I14</f>
        <v>0</v>
      </c>
      <c r="K20" s="983">
        <f>transport!J14</f>
        <v>0</v>
      </c>
      <c r="L20" s="983">
        <f>transport!K14</f>
        <v>0</v>
      </c>
      <c r="M20" s="983">
        <f>transport!L14</f>
        <v>0</v>
      </c>
      <c r="N20" s="983">
        <f>transport!M14</f>
        <v>10775.997618389907</v>
      </c>
      <c r="O20" s="983">
        <f>transport!N14</f>
        <v>0</v>
      </c>
      <c r="P20" s="983">
        <f>transport!O14</f>
        <v>0</v>
      </c>
      <c r="Q20" s="984">
        <f>transport!P14</f>
        <v>0</v>
      </c>
      <c r="R20" s="667">
        <f>SUM(C20:Q20)</f>
        <v>210413.49947347329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39.807719033185606</v>
      </c>
      <c r="D22" s="779">
        <f t="shared" ref="D22:R22" si="1">SUM(D18:D21)</f>
        <v>0</v>
      </c>
      <c r="E22" s="779">
        <f t="shared" si="1"/>
        <v>46.537787030381814</v>
      </c>
      <c r="F22" s="779">
        <f t="shared" si="1"/>
        <v>527.42500293849491</v>
      </c>
      <c r="G22" s="779">
        <f t="shared" si="1"/>
        <v>0</v>
      </c>
      <c r="H22" s="779">
        <f t="shared" si="1"/>
        <v>172638.70523425401</v>
      </c>
      <c r="I22" s="779">
        <f t="shared" si="1"/>
        <v>27780.744229125921</v>
      </c>
      <c r="J22" s="779">
        <f t="shared" si="1"/>
        <v>0</v>
      </c>
      <c r="K22" s="779">
        <f t="shared" si="1"/>
        <v>0</v>
      </c>
      <c r="L22" s="779">
        <f t="shared" si="1"/>
        <v>0</v>
      </c>
      <c r="M22" s="779">
        <f t="shared" si="1"/>
        <v>0</v>
      </c>
      <c r="N22" s="779">
        <f t="shared" si="1"/>
        <v>10855.924561802445</v>
      </c>
      <c r="O22" s="779">
        <f t="shared" si="1"/>
        <v>0</v>
      </c>
      <c r="P22" s="779">
        <f t="shared" si="1"/>
        <v>0</v>
      </c>
      <c r="Q22" s="779">
        <f t="shared" si="1"/>
        <v>0</v>
      </c>
      <c r="R22" s="779">
        <f t="shared" si="1"/>
        <v>211889.14453418442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178.48579999999998</v>
      </c>
      <c r="D24" s="983">
        <f>+landbouw!C8</f>
        <v>0</v>
      </c>
      <c r="E24" s="983">
        <f>+landbouw!D8</f>
        <v>42.540756616389935</v>
      </c>
      <c r="F24" s="983">
        <f>+landbouw!E8</f>
        <v>1.6532102363248216</v>
      </c>
      <c r="G24" s="983">
        <f>+landbouw!F8</f>
        <v>452.85247611000688</v>
      </c>
      <c r="H24" s="983">
        <f>+landbouw!G8</f>
        <v>0</v>
      </c>
      <c r="I24" s="983">
        <f>+landbouw!H8</f>
        <v>0</v>
      </c>
      <c r="J24" s="983">
        <f>+landbouw!I8</f>
        <v>0</v>
      </c>
      <c r="K24" s="983">
        <f>+landbouw!J8</f>
        <v>27.363865047341569</v>
      </c>
      <c r="L24" s="983">
        <f>+landbouw!K8</f>
        <v>0</v>
      </c>
      <c r="M24" s="983">
        <f>+landbouw!L8</f>
        <v>0</v>
      </c>
      <c r="N24" s="983">
        <f>+landbouw!M8</f>
        <v>0</v>
      </c>
      <c r="O24" s="983">
        <f>+landbouw!N8</f>
        <v>0</v>
      </c>
      <c r="P24" s="983">
        <f>+landbouw!O8</f>
        <v>0</v>
      </c>
      <c r="Q24" s="984">
        <f>+landbouw!P8</f>
        <v>0</v>
      </c>
      <c r="R24" s="667">
        <f>SUM(C24:Q24)</f>
        <v>702.89610801006324</v>
      </c>
      <c r="S24" s="67"/>
    </row>
    <row r="25" spans="1:19" s="440" customFormat="1" ht="15" thickBot="1">
      <c r="A25" s="798" t="s">
        <v>829</v>
      </c>
      <c r="B25" s="986"/>
      <c r="C25" s="987">
        <f>IF(Onbekend_ele_kWh="---",0,Onbekend_ele_kWh)/1000+IF(REST_rest_ele_kWh="---",0,REST_rest_ele_kWh)/1000</f>
        <v>708.28089999999997</v>
      </c>
      <c r="D25" s="987"/>
      <c r="E25" s="987">
        <f>IF(onbekend_gas_kWh="---",0,onbekend_gas_kWh)/1000+IF(REST_rest_gas_kWh="---",0,REST_rest_gas_kWh)/1000</f>
        <v>927.85654433571892</v>
      </c>
      <c r="F25" s="987"/>
      <c r="G25" s="987"/>
      <c r="H25" s="987"/>
      <c r="I25" s="987"/>
      <c r="J25" s="987"/>
      <c r="K25" s="987"/>
      <c r="L25" s="987"/>
      <c r="M25" s="987"/>
      <c r="N25" s="987"/>
      <c r="O25" s="987"/>
      <c r="P25" s="987"/>
      <c r="Q25" s="988"/>
      <c r="R25" s="667">
        <f>SUM(C25:Q25)</f>
        <v>1636.137444335719</v>
      </c>
      <c r="S25" s="67"/>
    </row>
    <row r="26" spans="1:19" s="440" customFormat="1" ht="15.75" thickBot="1">
      <c r="A26" s="672" t="s">
        <v>830</v>
      </c>
      <c r="B26" s="784"/>
      <c r="C26" s="779">
        <f>SUM(C24:C25)</f>
        <v>886.7666999999999</v>
      </c>
      <c r="D26" s="779">
        <f t="shared" ref="D26:R26" si="2">SUM(D24:D25)</f>
        <v>0</v>
      </c>
      <c r="E26" s="779">
        <f t="shared" si="2"/>
        <v>970.39730095210882</v>
      </c>
      <c r="F26" s="779">
        <f t="shared" si="2"/>
        <v>1.6532102363248216</v>
      </c>
      <c r="G26" s="779">
        <f t="shared" si="2"/>
        <v>452.85247611000688</v>
      </c>
      <c r="H26" s="779">
        <f t="shared" si="2"/>
        <v>0</v>
      </c>
      <c r="I26" s="779">
        <f t="shared" si="2"/>
        <v>0</v>
      </c>
      <c r="J26" s="779">
        <f t="shared" si="2"/>
        <v>0</v>
      </c>
      <c r="K26" s="779">
        <f t="shared" si="2"/>
        <v>27.363865047341569</v>
      </c>
      <c r="L26" s="779">
        <f t="shared" si="2"/>
        <v>0</v>
      </c>
      <c r="M26" s="779">
        <f t="shared" si="2"/>
        <v>0</v>
      </c>
      <c r="N26" s="779">
        <f t="shared" si="2"/>
        <v>0</v>
      </c>
      <c r="O26" s="779">
        <f t="shared" si="2"/>
        <v>0</v>
      </c>
      <c r="P26" s="779">
        <f t="shared" si="2"/>
        <v>0</v>
      </c>
      <c r="Q26" s="779">
        <f t="shared" si="2"/>
        <v>0</v>
      </c>
      <c r="R26" s="779">
        <f t="shared" si="2"/>
        <v>2339.0335523457825</v>
      </c>
      <c r="S26" s="67"/>
    </row>
    <row r="27" spans="1:19" s="440" customFormat="1" ht="17.25" thickTop="1" thickBot="1">
      <c r="A27" s="673" t="s">
        <v>109</v>
      </c>
      <c r="B27" s="772"/>
      <c r="C27" s="674">
        <f ca="1">C22+C16+C26</f>
        <v>36397.890908504334</v>
      </c>
      <c r="D27" s="674">
        <f t="shared" ref="D27:R27" ca="1" si="3">D22+D16+D26</f>
        <v>57.857142857142861</v>
      </c>
      <c r="E27" s="674">
        <f t="shared" ca="1" si="3"/>
        <v>40750.372766803033</v>
      </c>
      <c r="F27" s="674">
        <f t="shared" si="3"/>
        <v>2294.6221318099506</v>
      </c>
      <c r="G27" s="674">
        <f t="shared" ca="1" si="3"/>
        <v>50100.002344833425</v>
      </c>
      <c r="H27" s="674">
        <f t="shared" si="3"/>
        <v>172638.70523425401</v>
      </c>
      <c r="I27" s="674">
        <f t="shared" si="3"/>
        <v>27780.744229125921</v>
      </c>
      <c r="J27" s="674">
        <f t="shared" si="3"/>
        <v>0</v>
      </c>
      <c r="K27" s="674">
        <f t="shared" si="3"/>
        <v>1143.8225508451958</v>
      </c>
      <c r="L27" s="674">
        <f t="shared" si="3"/>
        <v>0</v>
      </c>
      <c r="M27" s="674">
        <f t="shared" ca="1" si="3"/>
        <v>0</v>
      </c>
      <c r="N27" s="674">
        <f t="shared" si="3"/>
        <v>10855.924561802445</v>
      </c>
      <c r="O27" s="674">
        <f t="shared" ca="1" si="3"/>
        <v>6929.0553405738228</v>
      </c>
      <c r="P27" s="674">
        <f t="shared" si="3"/>
        <v>146.95333333333335</v>
      </c>
      <c r="Q27" s="674">
        <f t="shared" si="3"/>
        <v>877.06666666666672</v>
      </c>
      <c r="R27" s="674">
        <f t="shared" ca="1" si="3"/>
        <v>349973.01721140923</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1705.6129962364582</v>
      </c>
      <c r="D40" s="983">
        <f ca="1">tertiair!C20</f>
        <v>13.749579831932778</v>
      </c>
      <c r="E40" s="983">
        <f ca="1">tertiair!D20</f>
        <v>1582.9211548935561</v>
      </c>
      <c r="F40" s="983">
        <f>tertiair!E20</f>
        <v>24.825675181902575</v>
      </c>
      <c r="G40" s="983">
        <f ca="1">tertiair!F20</f>
        <v>305.99026261365617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3633.0996687575062</v>
      </c>
    </row>
    <row r="41" spans="1:18">
      <c r="A41" s="789" t="s">
        <v>214</v>
      </c>
      <c r="B41" s="796"/>
      <c r="C41" s="983">
        <f ca="1">huishoudens!B12</f>
        <v>5273.2704350039548</v>
      </c>
      <c r="D41" s="983">
        <f ca="1">huishoudens!C12</f>
        <v>0</v>
      </c>
      <c r="E41" s="983">
        <f>huishoudens!D12</f>
        <v>6214.3854485529046</v>
      </c>
      <c r="F41" s="983">
        <f>huishoudens!E12</f>
        <v>341.04776907759265</v>
      </c>
      <c r="G41" s="983">
        <f>huishoudens!F12</f>
        <v>12654.850928816688</v>
      </c>
      <c r="H41" s="983">
        <f>huishoudens!G12</f>
        <v>0</v>
      </c>
      <c r="I41" s="983">
        <f>huishoudens!H12</f>
        <v>0</v>
      </c>
      <c r="J41" s="983">
        <f>huishoudens!I12</f>
        <v>0</v>
      </c>
      <c r="K41" s="983">
        <f>huishoudens!J12</f>
        <v>391.27029417310092</v>
      </c>
      <c r="L41" s="983">
        <f>huishoudens!K12</f>
        <v>0</v>
      </c>
      <c r="M41" s="983">
        <f>huishoudens!L12</f>
        <v>0</v>
      </c>
      <c r="N41" s="983">
        <f>huishoudens!M12</f>
        <v>0</v>
      </c>
      <c r="O41" s="983">
        <f>huishoudens!N12</f>
        <v>0</v>
      </c>
      <c r="P41" s="983">
        <f>huishoudens!O12</f>
        <v>0</v>
      </c>
      <c r="Q41" s="741">
        <f>huishoudens!P12</f>
        <v>0</v>
      </c>
      <c r="R41" s="817">
        <f t="shared" ca="1" si="4"/>
        <v>24874.824875624243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335.61065923255018</v>
      </c>
      <c r="D43" s="983">
        <f ca="1">industrie!C22</f>
        <v>0</v>
      </c>
      <c r="E43" s="983">
        <f>industrie!D22</f>
        <v>228.84780767529111</v>
      </c>
      <c r="F43" s="983">
        <f>industrie!E22</f>
        <v>34.905025270679509</v>
      </c>
      <c r="G43" s="983">
        <f>industrie!F22</f>
        <v>294.94782351880934</v>
      </c>
      <c r="H43" s="983">
        <f>industrie!G22</f>
        <v>0</v>
      </c>
      <c r="I43" s="983">
        <f>industrie!H22</f>
        <v>0</v>
      </c>
      <c r="J43" s="983">
        <f>industrie!I22</f>
        <v>0</v>
      </c>
      <c r="K43" s="983">
        <f>industrie!J22</f>
        <v>3.9560805993394594</v>
      </c>
      <c r="L43" s="983">
        <f>industrie!K22</f>
        <v>0</v>
      </c>
      <c r="M43" s="983">
        <f>industrie!L22</f>
        <v>0</v>
      </c>
      <c r="N43" s="983">
        <f>industrie!M22</f>
        <v>0</v>
      </c>
      <c r="O43" s="983">
        <f>industrie!N22</f>
        <v>0</v>
      </c>
      <c r="P43" s="983">
        <f>industrie!O22</f>
        <v>0</v>
      </c>
      <c r="Q43" s="741">
        <f>industrie!P22</f>
        <v>0</v>
      </c>
      <c r="R43" s="816">
        <f t="shared" ca="1" si="4"/>
        <v>898.26739629666963</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7314.4940904729638</v>
      </c>
      <c r="D46" s="699">
        <f t="shared" ref="D46:Q46" ca="1" si="5">SUM(D39:D45)</f>
        <v>13.749579831932778</v>
      </c>
      <c r="E46" s="699">
        <f t="shared" ca="1" si="5"/>
        <v>8026.1544111217518</v>
      </c>
      <c r="F46" s="699">
        <f t="shared" si="5"/>
        <v>400.77846953017473</v>
      </c>
      <c r="G46" s="699">
        <f t="shared" ca="1" si="5"/>
        <v>13255.789014949152</v>
      </c>
      <c r="H46" s="699">
        <f t="shared" si="5"/>
        <v>0</v>
      </c>
      <c r="I46" s="699">
        <f t="shared" si="5"/>
        <v>0</v>
      </c>
      <c r="J46" s="699">
        <f t="shared" si="5"/>
        <v>0</v>
      </c>
      <c r="K46" s="699">
        <f t="shared" si="5"/>
        <v>395.22637477244041</v>
      </c>
      <c r="L46" s="699">
        <f t="shared" si="5"/>
        <v>0</v>
      </c>
      <c r="M46" s="699">
        <f t="shared" ca="1" si="5"/>
        <v>0</v>
      </c>
      <c r="N46" s="699">
        <f t="shared" si="5"/>
        <v>0</v>
      </c>
      <c r="O46" s="699">
        <f t="shared" ca="1" si="5"/>
        <v>0</v>
      </c>
      <c r="P46" s="699">
        <f t="shared" si="5"/>
        <v>0</v>
      </c>
      <c r="Q46" s="699">
        <f t="shared" si="5"/>
        <v>0</v>
      </c>
      <c r="R46" s="699">
        <f ca="1">SUM(R39:R45)</f>
        <v>29406.191940678418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1.5109142054904374</v>
      </c>
      <c r="D49" s="983">
        <f ca="1">transport!C58</f>
        <v>0</v>
      </c>
      <c r="E49" s="983">
        <f>transport!D58</f>
        <v>0</v>
      </c>
      <c r="F49" s="983">
        <f>transport!E58</f>
        <v>0</v>
      </c>
      <c r="G49" s="983">
        <f>transport!F58</f>
        <v>0</v>
      </c>
      <c r="H49" s="983">
        <f>transport!G58</f>
        <v>370.70039846775734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372.21131267324779</v>
      </c>
    </row>
    <row r="50" spans="1:18">
      <c r="A50" s="792" t="s">
        <v>296</v>
      </c>
      <c r="B50" s="802"/>
      <c r="C50" s="670">
        <f ca="1">transport!B18</f>
        <v>6.6977838198527264</v>
      </c>
      <c r="D50" s="670">
        <f>transport!C18</f>
        <v>0</v>
      </c>
      <c r="E50" s="670">
        <f>transport!D18</f>
        <v>9.4006329801371269</v>
      </c>
      <c r="F50" s="670">
        <f>transport!E18</f>
        <v>119.72547566703835</v>
      </c>
      <c r="G50" s="670">
        <f>transport!F18</f>
        <v>0</v>
      </c>
      <c r="H50" s="670">
        <f>transport!G18</f>
        <v>45723.833899078068</v>
      </c>
      <c r="I50" s="670">
        <f>transport!H18</f>
        <v>6917.4053130523544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52777.063104597451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8.2086980253431641</v>
      </c>
      <c r="D52" s="699">
        <f t="shared" ref="D52:Q52" ca="1" si="6">SUM(D48:D51)</f>
        <v>0</v>
      </c>
      <c r="E52" s="699">
        <f t="shared" si="6"/>
        <v>9.4006329801371269</v>
      </c>
      <c r="F52" s="699">
        <f t="shared" si="6"/>
        <v>119.72547566703835</v>
      </c>
      <c r="G52" s="699">
        <f t="shared" si="6"/>
        <v>0</v>
      </c>
      <c r="H52" s="699">
        <f t="shared" si="6"/>
        <v>46094.534297545826</v>
      </c>
      <c r="I52" s="699">
        <f t="shared" si="6"/>
        <v>6917.4053130523544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53149.274417270703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36.805324936864324</v>
      </c>
      <c r="D54" s="670">
        <f ca="1">+landbouw!C12</f>
        <v>0</v>
      </c>
      <c r="E54" s="670">
        <f>+landbouw!D12</f>
        <v>8.5932328365107669</v>
      </c>
      <c r="F54" s="670">
        <f>+landbouw!E12</f>
        <v>0.3752787236457345</v>
      </c>
      <c r="G54" s="670">
        <f>+landbouw!F12</f>
        <v>120.91161112137185</v>
      </c>
      <c r="H54" s="670">
        <f>+landbouw!G12</f>
        <v>0</v>
      </c>
      <c r="I54" s="670">
        <f>+landbouw!H12</f>
        <v>0</v>
      </c>
      <c r="J54" s="670">
        <f>+landbouw!I12</f>
        <v>0</v>
      </c>
      <c r="K54" s="670">
        <f>+landbouw!J12</f>
        <v>9.6868082267589148</v>
      </c>
      <c r="L54" s="670">
        <f>+landbouw!K12</f>
        <v>0</v>
      </c>
      <c r="M54" s="670">
        <f>+landbouw!L12</f>
        <v>0</v>
      </c>
      <c r="N54" s="670">
        <f>+landbouw!M12</f>
        <v>0</v>
      </c>
      <c r="O54" s="670">
        <f>+landbouw!N12</f>
        <v>0</v>
      </c>
      <c r="P54" s="670">
        <f>+landbouw!O12</f>
        <v>0</v>
      </c>
      <c r="Q54" s="671">
        <f>+landbouw!P12</f>
        <v>0</v>
      </c>
      <c r="R54" s="698">
        <f ca="1">SUM(C54:Q54)</f>
        <v>176.37225584515161</v>
      </c>
    </row>
    <row r="55" spans="1:18" ht="15" thickBot="1">
      <c r="A55" s="792" t="s">
        <v>829</v>
      </c>
      <c r="B55" s="802"/>
      <c r="C55" s="670">
        <f ca="1">C25*'EF ele_warmte'!B12</f>
        <v>146.05368422067588</v>
      </c>
      <c r="D55" s="670"/>
      <c r="E55" s="670">
        <f>E25*EF_CO2_aardgas</f>
        <v>187.42702195581523</v>
      </c>
      <c r="F55" s="670"/>
      <c r="G55" s="670"/>
      <c r="H55" s="670"/>
      <c r="I55" s="670"/>
      <c r="J55" s="670"/>
      <c r="K55" s="670"/>
      <c r="L55" s="670"/>
      <c r="M55" s="670"/>
      <c r="N55" s="670"/>
      <c r="O55" s="670"/>
      <c r="P55" s="670"/>
      <c r="Q55" s="671"/>
      <c r="R55" s="698">
        <f ca="1">SUM(C55:Q55)</f>
        <v>333.48070617649114</v>
      </c>
    </row>
    <row r="56" spans="1:18" ht="15.75" thickBot="1">
      <c r="A56" s="790" t="s">
        <v>830</v>
      </c>
      <c r="B56" s="803"/>
      <c r="C56" s="699">
        <f ca="1">SUM(C54:C55)</f>
        <v>182.85900915754019</v>
      </c>
      <c r="D56" s="699">
        <f t="shared" ref="D56:Q56" ca="1" si="7">SUM(D54:D55)</f>
        <v>0</v>
      </c>
      <c r="E56" s="699">
        <f t="shared" si="7"/>
        <v>196.020254792326</v>
      </c>
      <c r="F56" s="699">
        <f t="shared" si="7"/>
        <v>0.3752787236457345</v>
      </c>
      <c r="G56" s="699">
        <f t="shared" si="7"/>
        <v>120.91161112137185</v>
      </c>
      <c r="H56" s="699">
        <f t="shared" si="7"/>
        <v>0</v>
      </c>
      <c r="I56" s="699">
        <f t="shared" si="7"/>
        <v>0</v>
      </c>
      <c r="J56" s="699">
        <f t="shared" si="7"/>
        <v>0</v>
      </c>
      <c r="K56" s="699">
        <f t="shared" si="7"/>
        <v>9.6868082267589148</v>
      </c>
      <c r="L56" s="699">
        <f t="shared" si="7"/>
        <v>0</v>
      </c>
      <c r="M56" s="699">
        <f t="shared" si="7"/>
        <v>0</v>
      </c>
      <c r="N56" s="699">
        <f t="shared" si="7"/>
        <v>0</v>
      </c>
      <c r="O56" s="699">
        <f t="shared" si="7"/>
        <v>0</v>
      </c>
      <c r="P56" s="699">
        <f t="shared" si="7"/>
        <v>0</v>
      </c>
      <c r="Q56" s="700">
        <f t="shared" si="7"/>
        <v>0</v>
      </c>
      <c r="R56" s="701">
        <f ca="1">SUM(R54:R55)</f>
        <v>509.85296202164272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7505.5617976558478</v>
      </c>
      <c r="D61" s="707">
        <f t="shared" ref="D61:Q61" ca="1" si="8">D46+D52+D56</f>
        <v>13.749579831932778</v>
      </c>
      <c r="E61" s="707">
        <f t="shared" ca="1" si="8"/>
        <v>8231.5752988942149</v>
      </c>
      <c r="F61" s="707">
        <f t="shared" si="8"/>
        <v>520.87922392085875</v>
      </c>
      <c r="G61" s="707">
        <f t="shared" ca="1" si="8"/>
        <v>13376.700626070524</v>
      </c>
      <c r="H61" s="707">
        <f t="shared" si="8"/>
        <v>46094.534297545826</v>
      </c>
      <c r="I61" s="707">
        <f t="shared" si="8"/>
        <v>6917.4053130523544</v>
      </c>
      <c r="J61" s="707">
        <f t="shared" si="8"/>
        <v>0</v>
      </c>
      <c r="K61" s="707">
        <f t="shared" si="8"/>
        <v>404.91318299919931</v>
      </c>
      <c r="L61" s="707">
        <f t="shared" si="8"/>
        <v>0</v>
      </c>
      <c r="M61" s="707">
        <f t="shared" ca="1" si="8"/>
        <v>0</v>
      </c>
      <c r="N61" s="707">
        <f t="shared" si="8"/>
        <v>0</v>
      </c>
      <c r="O61" s="707">
        <f t="shared" ca="1" si="8"/>
        <v>0</v>
      </c>
      <c r="P61" s="707">
        <f t="shared" si="8"/>
        <v>0</v>
      </c>
      <c r="Q61" s="707">
        <f t="shared" si="8"/>
        <v>0</v>
      </c>
      <c r="R61" s="707">
        <f ca="1">R46+R52+R56</f>
        <v>83065.31931997076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0.20620870084266835</v>
      </c>
      <c r="D63" s="748">
        <f t="shared" ca="1" si="9"/>
        <v>0.23764705882352946</v>
      </c>
      <c r="E63" s="994">
        <f t="shared" ca="1" si="9"/>
        <v>0.20200000000000004</v>
      </c>
      <c r="F63" s="748">
        <f t="shared" si="9"/>
        <v>0.22699999999999998</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2439.1235249138617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40.5</v>
      </c>
      <c r="D76" s="1004">
        <f>'lokale energieproductie'!C8</f>
        <v>47.647058823529413</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9.6247058823529414</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2439.1235249138617</v>
      </c>
      <c r="C78" s="722">
        <f>SUM(C72:C77)</f>
        <v>40.5</v>
      </c>
      <c r="D78" s="723">
        <f t="shared" ref="D78:H78" si="10">SUM(D76:D77)</f>
        <v>47.647058823529413</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9.6247058823529414</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57.857142857142861</v>
      </c>
      <c r="D87" s="744">
        <f>'lokale energieproductie'!C17</f>
        <v>68.067226890756316</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13.749579831932778</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57.857142857142861</v>
      </c>
      <c r="D90" s="722">
        <f t="shared" ref="D90:H90" si="12">SUM(D87:D89)</f>
        <v>68.067226890756316</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13.749579831932778</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25572.492399471146</v>
      </c>
      <c r="C4" s="444">
        <f>huishoudens!C8</f>
        <v>0</v>
      </c>
      <c r="D4" s="444">
        <f>huishoudens!D8</f>
        <v>30764.284398776752</v>
      </c>
      <c r="E4" s="444">
        <f>huishoudens!E8</f>
        <v>1502.413079636972</v>
      </c>
      <c r="F4" s="444">
        <f>huishoudens!F8</f>
        <v>47396.44542627973</v>
      </c>
      <c r="G4" s="444">
        <f>huishoudens!G8</f>
        <v>0</v>
      </c>
      <c r="H4" s="444">
        <f>huishoudens!H8</f>
        <v>0</v>
      </c>
      <c r="I4" s="444">
        <f>huishoudens!I8</f>
        <v>0</v>
      </c>
      <c r="J4" s="444">
        <f>huishoudens!J8</f>
        <v>1105.2833168731665</v>
      </c>
      <c r="K4" s="444">
        <f>huishoudens!K8</f>
        <v>0</v>
      </c>
      <c r="L4" s="444">
        <f>huishoudens!L8</f>
        <v>0</v>
      </c>
      <c r="M4" s="444">
        <f>huishoudens!M8</f>
        <v>0</v>
      </c>
      <c r="N4" s="444">
        <f>huishoudens!N8</f>
        <v>6220.3372042674582</v>
      </c>
      <c r="O4" s="444">
        <f>huishoudens!O8</f>
        <v>143.82666666666668</v>
      </c>
      <c r="P4" s="445">
        <f>huishoudens!P8</f>
        <v>858</v>
      </c>
      <c r="Q4" s="446">
        <f>SUM(B4:P4)</f>
        <v>113563.08249197189</v>
      </c>
    </row>
    <row r="5" spans="1:17">
      <c r="A5" s="443" t="s">
        <v>149</v>
      </c>
      <c r="B5" s="444">
        <f ca="1">tertiair!B16</f>
        <v>7457.4749999999995</v>
      </c>
      <c r="C5" s="444">
        <f ca="1">tertiair!C16</f>
        <v>57.857142857142861</v>
      </c>
      <c r="D5" s="444">
        <f ca="1">tertiair!D16</f>
        <v>7836.2433410572085</v>
      </c>
      <c r="E5" s="444">
        <f>tertiair!E16</f>
        <v>109.36420784979107</v>
      </c>
      <c r="F5" s="444">
        <f ca="1">tertiair!F16</f>
        <v>1146.0309461185623</v>
      </c>
      <c r="G5" s="444">
        <f>tertiair!G16</f>
        <v>0</v>
      </c>
      <c r="H5" s="444">
        <f>tertiair!H16</f>
        <v>0</v>
      </c>
      <c r="I5" s="444">
        <f>tertiair!I16</f>
        <v>0</v>
      </c>
      <c r="J5" s="444">
        <f>tertiair!J16</f>
        <v>0</v>
      </c>
      <c r="K5" s="444">
        <f>tertiair!K16</f>
        <v>0</v>
      </c>
      <c r="L5" s="444">
        <f ca="1">tertiair!L16</f>
        <v>0</v>
      </c>
      <c r="M5" s="444">
        <f>tertiair!M16</f>
        <v>0</v>
      </c>
      <c r="N5" s="444">
        <f ca="1">tertiair!N16</f>
        <v>464.47438836532706</v>
      </c>
      <c r="O5" s="444">
        <f>tertiair!O16</f>
        <v>3.1266666666666669</v>
      </c>
      <c r="P5" s="445">
        <f>tertiair!P16</f>
        <v>19.066666666666666</v>
      </c>
      <c r="Q5" s="443">
        <f t="shared" ref="Q5:Q14" ca="1" si="0">SUM(B5:P5)</f>
        <v>17093.638359581364</v>
      </c>
    </row>
    <row r="6" spans="1:17">
      <c r="A6" s="443" t="s">
        <v>187</v>
      </c>
      <c r="B6" s="444">
        <f>'openbare verlichting'!B8</f>
        <v>813.82</v>
      </c>
      <c r="C6" s="444"/>
      <c r="D6" s="444"/>
      <c r="E6" s="444"/>
      <c r="F6" s="444"/>
      <c r="G6" s="444"/>
      <c r="H6" s="444"/>
      <c r="I6" s="444"/>
      <c r="J6" s="444"/>
      <c r="K6" s="444"/>
      <c r="L6" s="444"/>
      <c r="M6" s="444"/>
      <c r="N6" s="444"/>
      <c r="O6" s="444"/>
      <c r="P6" s="445"/>
      <c r="Q6" s="443">
        <f t="shared" si="0"/>
        <v>813.82</v>
      </c>
    </row>
    <row r="7" spans="1:17">
      <c r="A7" s="443" t="s">
        <v>105</v>
      </c>
      <c r="B7" s="444">
        <f>landbouw!B8</f>
        <v>178.48579999999998</v>
      </c>
      <c r="C7" s="444">
        <f>landbouw!C8</f>
        <v>0</v>
      </c>
      <c r="D7" s="444">
        <f>landbouw!D8</f>
        <v>42.540756616389935</v>
      </c>
      <c r="E7" s="444">
        <f>landbouw!E8</f>
        <v>1.6532102363248216</v>
      </c>
      <c r="F7" s="444">
        <f>landbouw!F8</f>
        <v>452.85247611000688</v>
      </c>
      <c r="G7" s="444">
        <f>landbouw!G8</f>
        <v>0</v>
      </c>
      <c r="H7" s="444">
        <f>landbouw!H8</f>
        <v>0</v>
      </c>
      <c r="I7" s="444">
        <f>landbouw!I8</f>
        <v>0</v>
      </c>
      <c r="J7" s="444">
        <f>landbouw!J8</f>
        <v>27.363865047341569</v>
      </c>
      <c r="K7" s="444">
        <f>landbouw!K8</f>
        <v>0</v>
      </c>
      <c r="L7" s="444">
        <f>landbouw!L8</f>
        <v>0</v>
      </c>
      <c r="M7" s="444">
        <f>landbouw!M8</f>
        <v>0</v>
      </c>
      <c r="N7" s="444">
        <f>landbouw!N8</f>
        <v>0</v>
      </c>
      <c r="O7" s="444">
        <f>landbouw!O8</f>
        <v>0</v>
      </c>
      <c r="P7" s="445">
        <f>landbouw!P8</f>
        <v>0</v>
      </c>
      <c r="Q7" s="443">
        <f t="shared" si="0"/>
        <v>702.89610801006324</v>
      </c>
    </row>
    <row r="8" spans="1:17">
      <c r="A8" s="443" t="s">
        <v>637</v>
      </c>
      <c r="B8" s="444">
        <f>industrie!B18</f>
        <v>1627.52909</v>
      </c>
      <c r="C8" s="444">
        <f>industrie!C18</f>
        <v>0</v>
      </c>
      <c r="D8" s="444">
        <f>industrie!D18</f>
        <v>1132.9099389865896</v>
      </c>
      <c r="E8" s="444">
        <f>industrie!E18</f>
        <v>153.76663114836788</v>
      </c>
      <c r="F8" s="444">
        <f>industrie!F18</f>
        <v>1104.6734963251286</v>
      </c>
      <c r="G8" s="444">
        <f>industrie!G18</f>
        <v>0</v>
      </c>
      <c r="H8" s="444">
        <f>industrie!H18</f>
        <v>0</v>
      </c>
      <c r="I8" s="444">
        <f>industrie!I18</f>
        <v>0</v>
      </c>
      <c r="J8" s="444">
        <f>industrie!J18</f>
        <v>11.175368924687739</v>
      </c>
      <c r="K8" s="444">
        <f>industrie!K18</f>
        <v>0</v>
      </c>
      <c r="L8" s="444">
        <f>industrie!L18</f>
        <v>0</v>
      </c>
      <c r="M8" s="444">
        <f>industrie!M18</f>
        <v>0</v>
      </c>
      <c r="N8" s="444">
        <f>industrie!N18</f>
        <v>244.24374794103738</v>
      </c>
      <c r="O8" s="444">
        <f>industrie!O18</f>
        <v>0</v>
      </c>
      <c r="P8" s="445">
        <f>industrie!P18</f>
        <v>0</v>
      </c>
      <c r="Q8" s="443">
        <f t="shared" si="0"/>
        <v>4274.2982733258114</v>
      </c>
    </row>
    <row r="9" spans="1:17" s="449" customFormat="1">
      <c r="A9" s="447" t="s">
        <v>558</v>
      </c>
      <c r="B9" s="448">
        <f>transport!B14</f>
        <v>32.480607231811014</v>
      </c>
      <c r="C9" s="448">
        <f>transport!C14</f>
        <v>0</v>
      </c>
      <c r="D9" s="448">
        <f>transport!D14</f>
        <v>46.537787030381814</v>
      </c>
      <c r="E9" s="448">
        <f>transport!E14</f>
        <v>527.42500293849491</v>
      </c>
      <c r="F9" s="448">
        <f>transport!F14</f>
        <v>0</v>
      </c>
      <c r="G9" s="448">
        <f>transport!G14</f>
        <v>171250.31422875679</v>
      </c>
      <c r="H9" s="448">
        <f>transport!H14</f>
        <v>27780.744229125921</v>
      </c>
      <c r="I9" s="448">
        <f>transport!I14</f>
        <v>0</v>
      </c>
      <c r="J9" s="448">
        <f>transport!J14</f>
        <v>0</v>
      </c>
      <c r="K9" s="448">
        <f>transport!K14</f>
        <v>0</v>
      </c>
      <c r="L9" s="448">
        <f>transport!L14</f>
        <v>0</v>
      </c>
      <c r="M9" s="448">
        <f>transport!M14</f>
        <v>10775.997618389907</v>
      </c>
      <c r="N9" s="448">
        <f>transport!N14</f>
        <v>0</v>
      </c>
      <c r="O9" s="448">
        <f>transport!O14</f>
        <v>0</v>
      </c>
      <c r="P9" s="448">
        <f>transport!P14</f>
        <v>0</v>
      </c>
      <c r="Q9" s="447">
        <f>SUM(B9:P9)</f>
        <v>210413.49947347329</v>
      </c>
    </row>
    <row r="10" spans="1:17">
      <c r="A10" s="443" t="s">
        <v>548</v>
      </c>
      <c r="B10" s="444">
        <f>transport!B54</f>
        <v>7.3271118013745902</v>
      </c>
      <c r="C10" s="444">
        <f>transport!C54</f>
        <v>0</v>
      </c>
      <c r="D10" s="444">
        <f>transport!D54</f>
        <v>0</v>
      </c>
      <c r="E10" s="444">
        <f>transport!E54</f>
        <v>0</v>
      </c>
      <c r="F10" s="444">
        <f>transport!F54</f>
        <v>0</v>
      </c>
      <c r="G10" s="444">
        <f>transport!G54</f>
        <v>1388.3910054972184</v>
      </c>
      <c r="H10" s="444">
        <f>transport!H54</f>
        <v>0</v>
      </c>
      <c r="I10" s="444">
        <f>transport!I54</f>
        <v>0</v>
      </c>
      <c r="J10" s="444">
        <f>transport!J54</f>
        <v>0</v>
      </c>
      <c r="K10" s="444">
        <f>transport!K54</f>
        <v>0</v>
      </c>
      <c r="L10" s="444">
        <f>transport!L54</f>
        <v>0</v>
      </c>
      <c r="M10" s="444">
        <f>transport!M54</f>
        <v>79.926943412538577</v>
      </c>
      <c r="N10" s="444">
        <f>transport!N54</f>
        <v>0</v>
      </c>
      <c r="O10" s="444">
        <f>transport!O54</f>
        <v>0</v>
      </c>
      <c r="P10" s="445">
        <f>transport!P54</f>
        <v>0</v>
      </c>
      <c r="Q10" s="443">
        <f t="shared" si="0"/>
        <v>1475.6450607111315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708.28089999999997</v>
      </c>
      <c r="C14" s="451"/>
      <c r="D14" s="451">
        <f>'SEAP template'!E25</f>
        <v>927.85654433571892</v>
      </c>
      <c r="E14" s="451"/>
      <c r="F14" s="451"/>
      <c r="G14" s="451"/>
      <c r="H14" s="451"/>
      <c r="I14" s="451"/>
      <c r="J14" s="451"/>
      <c r="K14" s="451"/>
      <c r="L14" s="451"/>
      <c r="M14" s="451"/>
      <c r="N14" s="451"/>
      <c r="O14" s="451"/>
      <c r="P14" s="452"/>
      <c r="Q14" s="443">
        <f t="shared" si="0"/>
        <v>1636.137444335719</v>
      </c>
    </row>
    <row r="15" spans="1:17" s="453" customFormat="1">
      <c r="A15" s="1009" t="s">
        <v>552</v>
      </c>
      <c r="B15" s="949">
        <f ca="1">SUM(B4:B14)</f>
        <v>36397.890908504327</v>
      </c>
      <c r="C15" s="949">
        <f t="shared" ref="C15:Q15" ca="1" si="1">SUM(C4:C14)</f>
        <v>57.857142857142861</v>
      </c>
      <c r="D15" s="949">
        <f t="shared" ca="1" si="1"/>
        <v>40750.372766803041</v>
      </c>
      <c r="E15" s="949">
        <f t="shared" si="1"/>
        <v>2294.6221318099506</v>
      </c>
      <c r="F15" s="949">
        <f t="shared" ca="1" si="1"/>
        <v>50100.002344833425</v>
      </c>
      <c r="G15" s="949">
        <f t="shared" si="1"/>
        <v>172638.70523425401</v>
      </c>
      <c r="H15" s="949">
        <f t="shared" si="1"/>
        <v>27780.744229125921</v>
      </c>
      <c r="I15" s="949">
        <f t="shared" si="1"/>
        <v>0</v>
      </c>
      <c r="J15" s="949">
        <f t="shared" si="1"/>
        <v>1143.8225508451958</v>
      </c>
      <c r="K15" s="949">
        <f t="shared" si="1"/>
        <v>0</v>
      </c>
      <c r="L15" s="949">
        <f t="shared" ca="1" si="1"/>
        <v>0</v>
      </c>
      <c r="M15" s="949">
        <f t="shared" si="1"/>
        <v>10855.924561802445</v>
      </c>
      <c r="N15" s="949">
        <f t="shared" ca="1" si="1"/>
        <v>6929.0553405738228</v>
      </c>
      <c r="O15" s="949">
        <f t="shared" si="1"/>
        <v>146.95333333333335</v>
      </c>
      <c r="P15" s="949">
        <f t="shared" si="1"/>
        <v>877.06666666666672</v>
      </c>
      <c r="Q15" s="949">
        <f t="shared" ca="1" si="1"/>
        <v>349973.01721140929</v>
      </c>
    </row>
    <row r="17" spans="1:17">
      <c r="A17" s="454" t="s">
        <v>553</v>
      </c>
      <c r="B17" s="753">
        <f ca="1">huishoudens!B10</f>
        <v>0.20620870084266832</v>
      </c>
      <c r="C17" s="753">
        <f ca="1">huishoudens!C10</f>
        <v>0.23764705882352946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5273.2704350039548</v>
      </c>
      <c r="C22" s="444">
        <f t="shared" ref="C22:C32" ca="1" si="3">C4*$C$17</f>
        <v>0</v>
      </c>
      <c r="D22" s="444">
        <f t="shared" ref="D22:D32" si="4">D4*$D$17</f>
        <v>6214.3854485529046</v>
      </c>
      <c r="E22" s="444">
        <f t="shared" ref="E22:E32" si="5">E4*$E$17</f>
        <v>341.04776907759265</v>
      </c>
      <c r="F22" s="444">
        <f t="shared" ref="F22:F32" si="6">F4*$F$17</f>
        <v>12654.850928816688</v>
      </c>
      <c r="G22" s="444">
        <f t="shared" ref="G22:G32" si="7">G4*$G$17</f>
        <v>0</v>
      </c>
      <c r="H22" s="444">
        <f t="shared" ref="H22:H32" si="8">H4*$H$17</f>
        <v>0</v>
      </c>
      <c r="I22" s="444">
        <f t="shared" ref="I22:I32" si="9">I4*$I$17</f>
        <v>0</v>
      </c>
      <c r="J22" s="444">
        <f t="shared" ref="J22:J32" si="10">J4*$J$17</f>
        <v>391.27029417310092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24874.824875624243</v>
      </c>
    </row>
    <row r="23" spans="1:17">
      <c r="A23" s="443" t="s">
        <v>149</v>
      </c>
      <c r="B23" s="444">
        <f t="shared" ca="1" si="2"/>
        <v>1537.7962313166779</v>
      </c>
      <c r="C23" s="444">
        <f t="shared" ca="1" si="3"/>
        <v>13.749579831932778</v>
      </c>
      <c r="D23" s="444">
        <f t="shared" ca="1" si="4"/>
        <v>1582.9211548935561</v>
      </c>
      <c r="E23" s="444">
        <f t="shared" si="5"/>
        <v>24.825675181902575</v>
      </c>
      <c r="F23" s="444">
        <f t="shared" ca="1" si="6"/>
        <v>305.99026261365617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3465.2829038377258</v>
      </c>
    </row>
    <row r="24" spans="1:17">
      <c r="A24" s="443" t="s">
        <v>187</v>
      </c>
      <c r="B24" s="444">
        <f t="shared" ca="1" si="2"/>
        <v>167.81676491978035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167.81676491978035</v>
      </c>
    </row>
    <row r="25" spans="1:17">
      <c r="A25" s="443" t="s">
        <v>105</v>
      </c>
      <c r="B25" s="444">
        <f t="shared" ca="1" si="2"/>
        <v>36.805324936864324</v>
      </c>
      <c r="C25" s="444">
        <f t="shared" ca="1" si="3"/>
        <v>0</v>
      </c>
      <c r="D25" s="444">
        <f t="shared" si="4"/>
        <v>8.5932328365107669</v>
      </c>
      <c r="E25" s="444">
        <f t="shared" si="5"/>
        <v>0.3752787236457345</v>
      </c>
      <c r="F25" s="444">
        <f t="shared" si="6"/>
        <v>120.91161112137185</v>
      </c>
      <c r="G25" s="444">
        <f t="shared" si="7"/>
        <v>0</v>
      </c>
      <c r="H25" s="444">
        <f t="shared" si="8"/>
        <v>0</v>
      </c>
      <c r="I25" s="444">
        <f t="shared" si="9"/>
        <v>0</v>
      </c>
      <c r="J25" s="444">
        <f t="shared" si="10"/>
        <v>9.6868082267589148</v>
      </c>
      <c r="K25" s="444">
        <f t="shared" si="11"/>
        <v>0</v>
      </c>
      <c r="L25" s="444">
        <f t="shared" si="12"/>
        <v>0</v>
      </c>
      <c r="M25" s="444">
        <f t="shared" si="13"/>
        <v>0</v>
      </c>
      <c r="N25" s="444">
        <f t="shared" si="14"/>
        <v>0</v>
      </c>
      <c r="O25" s="444">
        <f t="shared" si="15"/>
        <v>0</v>
      </c>
      <c r="P25" s="445">
        <f t="shared" si="16"/>
        <v>0</v>
      </c>
      <c r="Q25" s="443">
        <f t="shared" ca="1" si="17"/>
        <v>176.37225584515161</v>
      </c>
    </row>
    <row r="26" spans="1:17">
      <c r="A26" s="443" t="s">
        <v>637</v>
      </c>
      <c r="B26" s="444">
        <f t="shared" ca="1" si="2"/>
        <v>335.61065923255018</v>
      </c>
      <c r="C26" s="444">
        <f t="shared" ca="1" si="3"/>
        <v>0</v>
      </c>
      <c r="D26" s="444">
        <f t="shared" si="4"/>
        <v>228.84780767529111</v>
      </c>
      <c r="E26" s="444">
        <f t="shared" si="5"/>
        <v>34.905025270679509</v>
      </c>
      <c r="F26" s="444">
        <f t="shared" si="6"/>
        <v>294.94782351880934</v>
      </c>
      <c r="G26" s="444">
        <f t="shared" si="7"/>
        <v>0</v>
      </c>
      <c r="H26" s="444">
        <f t="shared" si="8"/>
        <v>0</v>
      </c>
      <c r="I26" s="444">
        <f t="shared" si="9"/>
        <v>0</v>
      </c>
      <c r="J26" s="444">
        <f t="shared" si="10"/>
        <v>3.9560805993394594</v>
      </c>
      <c r="K26" s="444">
        <f t="shared" si="11"/>
        <v>0</v>
      </c>
      <c r="L26" s="444">
        <f t="shared" si="12"/>
        <v>0</v>
      </c>
      <c r="M26" s="444">
        <f t="shared" si="13"/>
        <v>0</v>
      </c>
      <c r="N26" s="444">
        <f t="shared" si="14"/>
        <v>0</v>
      </c>
      <c r="O26" s="444">
        <f t="shared" si="15"/>
        <v>0</v>
      </c>
      <c r="P26" s="445">
        <f t="shared" si="16"/>
        <v>0</v>
      </c>
      <c r="Q26" s="443">
        <f t="shared" ca="1" si="17"/>
        <v>898.26739629666963</v>
      </c>
    </row>
    <row r="27" spans="1:17" s="449" customFormat="1">
      <c r="A27" s="447" t="s">
        <v>558</v>
      </c>
      <c r="B27" s="747">
        <f t="shared" ca="1" si="2"/>
        <v>6.6977838198527264</v>
      </c>
      <c r="C27" s="448">
        <f t="shared" ca="1" si="3"/>
        <v>0</v>
      </c>
      <c r="D27" s="448">
        <f t="shared" si="4"/>
        <v>9.4006329801371269</v>
      </c>
      <c r="E27" s="448">
        <f t="shared" si="5"/>
        <v>119.72547566703835</v>
      </c>
      <c r="F27" s="448">
        <f t="shared" si="6"/>
        <v>0</v>
      </c>
      <c r="G27" s="448">
        <f t="shared" si="7"/>
        <v>45723.833899078068</v>
      </c>
      <c r="H27" s="448">
        <f t="shared" si="8"/>
        <v>6917.4053130523544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52777.063104597451</v>
      </c>
    </row>
    <row r="28" spans="1:17">
      <c r="A28" s="443" t="s">
        <v>548</v>
      </c>
      <c r="B28" s="444">
        <f t="shared" ca="1" si="2"/>
        <v>1.5109142054904374</v>
      </c>
      <c r="C28" s="444">
        <f t="shared" ca="1" si="3"/>
        <v>0</v>
      </c>
      <c r="D28" s="444">
        <f t="shared" si="4"/>
        <v>0</v>
      </c>
      <c r="E28" s="444">
        <f t="shared" si="5"/>
        <v>0</v>
      </c>
      <c r="F28" s="444">
        <f t="shared" si="6"/>
        <v>0</v>
      </c>
      <c r="G28" s="444">
        <f t="shared" si="7"/>
        <v>370.70039846775734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372.21131267324779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146.05368422067588</v>
      </c>
      <c r="C32" s="444">
        <f t="shared" ca="1" si="3"/>
        <v>0</v>
      </c>
      <c r="D32" s="444">
        <f t="shared" si="4"/>
        <v>187.42702195581523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333.48070617649114</v>
      </c>
    </row>
    <row r="33" spans="1:17" s="453" customFormat="1">
      <c r="A33" s="1009" t="s">
        <v>552</v>
      </c>
      <c r="B33" s="949">
        <f ca="1">SUM(B22:B32)</f>
        <v>7505.5617976558469</v>
      </c>
      <c r="C33" s="949">
        <f t="shared" ref="C33:Q33" ca="1" si="18">SUM(C22:C32)</f>
        <v>13.749579831932778</v>
      </c>
      <c r="D33" s="949">
        <f t="shared" ca="1" si="18"/>
        <v>8231.5752988942149</v>
      </c>
      <c r="E33" s="949">
        <f t="shared" si="18"/>
        <v>520.87922392085886</v>
      </c>
      <c r="F33" s="949">
        <f t="shared" ca="1" si="18"/>
        <v>13376.700626070524</v>
      </c>
      <c r="G33" s="949">
        <f t="shared" si="18"/>
        <v>46094.534297545826</v>
      </c>
      <c r="H33" s="949">
        <f t="shared" si="18"/>
        <v>6917.4053130523544</v>
      </c>
      <c r="I33" s="949">
        <f t="shared" si="18"/>
        <v>0</v>
      </c>
      <c r="J33" s="949">
        <f t="shared" si="18"/>
        <v>404.91318299919931</v>
      </c>
      <c r="K33" s="949">
        <f t="shared" si="18"/>
        <v>0</v>
      </c>
      <c r="L33" s="949">
        <f t="shared" ca="1" si="18"/>
        <v>0</v>
      </c>
      <c r="M33" s="949">
        <f t="shared" si="18"/>
        <v>0</v>
      </c>
      <c r="N33" s="949">
        <f t="shared" ca="1" si="18"/>
        <v>0</v>
      </c>
      <c r="O33" s="949">
        <f t="shared" si="18"/>
        <v>0</v>
      </c>
      <c r="P33" s="949">
        <f t="shared" si="18"/>
        <v>0</v>
      </c>
      <c r="Q33" s="949">
        <f t="shared" ca="1" si="18"/>
        <v>83065.31931997076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2439.1235249138617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40.5</v>
      </c>
      <c r="D8" s="1026">
        <f>'SEAP template'!D76</f>
        <v>47.647058823529413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9.6247058823529414</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2439.1235249138617</v>
      </c>
      <c r="C10" s="1030">
        <f>SUM(C4:C9)</f>
        <v>40.5</v>
      </c>
      <c r="D10" s="1030">
        <f t="shared" ref="D10:H10" si="0">SUM(D8:D9)</f>
        <v>47.647058823529413</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9.6247058823529414</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0.20620870084266832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57.857142857142861</v>
      </c>
      <c r="D17" s="1027">
        <f>'SEAP template'!D87</f>
        <v>68.067226890756316</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13.749579831932778</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57.857142857142861</v>
      </c>
      <c r="D20" s="1030">
        <f t="shared" ref="D20:H20" si="2">SUM(D17:D19)</f>
        <v>68.067226890756316</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13.749579831932778</v>
      </c>
    </row>
    <row r="22" spans="1:16">
      <c r="A22" s="454" t="s">
        <v>853</v>
      </c>
      <c r="B22" s="753" t="s">
        <v>847</v>
      </c>
      <c r="C22" s="753">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0.20620870084266832</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0.20620870084266832</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0.20620870084266832</v>
      </c>
      <c r="C29" s="492">
        <f ca="1">'EF ele_warmte'!B22</f>
        <v>0.23764705882352946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5100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585</v>
      </c>
      <c r="C14" s="324"/>
      <c r="D14" s="324"/>
      <c r="E14" s="324"/>
      <c r="F14" s="324"/>
    </row>
    <row r="15" spans="1:6">
      <c r="A15" s="1302" t="s">
        <v>177</v>
      </c>
      <c r="B15" s="1303">
        <v>1</v>
      </c>
      <c r="C15" s="324"/>
      <c r="D15" s="324"/>
      <c r="E15" s="324"/>
      <c r="F15" s="324"/>
    </row>
    <row r="16" spans="1:6">
      <c r="A16" s="1302" t="s">
        <v>6</v>
      </c>
      <c r="B16" s="1303">
        <v>78</v>
      </c>
      <c r="C16" s="324"/>
      <c r="D16" s="324"/>
      <c r="E16" s="324"/>
      <c r="F16" s="324"/>
    </row>
    <row r="17" spans="1:6">
      <c r="A17" s="1302" t="s">
        <v>7</v>
      </c>
      <c r="B17" s="1303">
        <v>62</v>
      </c>
      <c r="C17" s="324"/>
      <c r="D17" s="324"/>
      <c r="E17" s="324"/>
      <c r="F17" s="324"/>
    </row>
    <row r="18" spans="1:6">
      <c r="A18" s="1302" t="s">
        <v>8</v>
      </c>
      <c r="B18" s="1303">
        <v>97</v>
      </c>
      <c r="C18" s="324"/>
      <c r="D18" s="324"/>
      <c r="E18" s="324"/>
      <c r="F18" s="324"/>
    </row>
    <row r="19" spans="1:6">
      <c r="A19" s="1302" t="s">
        <v>9</v>
      </c>
      <c r="B19" s="1303">
        <v>73</v>
      </c>
      <c r="C19" s="324"/>
      <c r="D19" s="324"/>
      <c r="E19" s="324"/>
      <c r="F19" s="324"/>
    </row>
    <row r="20" spans="1:6">
      <c r="A20" s="1302" t="s">
        <v>10</v>
      </c>
      <c r="B20" s="1303">
        <v>222</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117</v>
      </c>
      <c r="C29" s="324"/>
      <c r="D29" s="324"/>
      <c r="E29" s="324"/>
      <c r="F29" s="324"/>
    </row>
    <row r="30" spans="1:6">
      <c r="A30" s="1297" t="s">
        <v>919</v>
      </c>
      <c r="B30" s="1305">
        <v>18</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2179</v>
      </c>
      <c r="D39" s="1303">
        <v>34106745.453189299</v>
      </c>
      <c r="E39" s="1303">
        <v>4999</v>
      </c>
      <c r="F39" s="1303">
        <v>23280147</v>
      </c>
    </row>
    <row r="40" spans="1:6">
      <c r="A40" s="1302" t="s">
        <v>29</v>
      </c>
      <c r="B40" s="1302" t="s">
        <v>28</v>
      </c>
      <c r="C40" s="1303">
        <v>0</v>
      </c>
      <c r="D40" s="1303">
        <v>0</v>
      </c>
      <c r="E40" s="1303">
        <v>0</v>
      </c>
      <c r="F40" s="1303">
        <v>0</v>
      </c>
    </row>
    <row r="41" spans="1:6">
      <c r="A41" s="1302" t="s">
        <v>31</v>
      </c>
      <c r="B41" s="1302" t="s">
        <v>32</v>
      </c>
      <c r="C41" s="1303">
        <v>17</v>
      </c>
      <c r="D41" s="1303">
        <v>304888.81350353197</v>
      </c>
      <c r="E41" s="1303">
        <v>65</v>
      </c>
      <c r="F41" s="1303">
        <v>378946</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4</v>
      </c>
      <c r="F44" s="1303">
        <v>49609.79</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15</v>
      </c>
      <c r="D48" s="1303">
        <v>754956.61904454499</v>
      </c>
      <c r="E48" s="1303">
        <v>27</v>
      </c>
      <c r="F48" s="1303">
        <v>887629.8</v>
      </c>
    </row>
    <row r="49" spans="1:6">
      <c r="A49" s="1302" t="s">
        <v>31</v>
      </c>
      <c r="B49" s="1302" t="s">
        <v>39</v>
      </c>
      <c r="C49" s="1303">
        <v>0</v>
      </c>
      <c r="D49" s="1303">
        <v>0</v>
      </c>
      <c r="E49" s="1303">
        <v>0</v>
      </c>
      <c r="F49" s="1303">
        <v>0</v>
      </c>
    </row>
    <row r="50" spans="1:6">
      <c r="A50" s="1302" t="s">
        <v>31</v>
      </c>
      <c r="B50" s="1302" t="s">
        <v>40</v>
      </c>
      <c r="C50" s="1303">
        <v>4</v>
      </c>
      <c r="D50" s="1303">
        <v>196152.282514661</v>
      </c>
      <c r="E50" s="1303">
        <v>8</v>
      </c>
      <c r="F50" s="1303">
        <v>311343.5</v>
      </c>
    </row>
    <row r="51" spans="1:6">
      <c r="A51" s="1302" t="s">
        <v>41</v>
      </c>
      <c r="B51" s="1302" t="s">
        <v>42</v>
      </c>
      <c r="C51" s="1303">
        <v>0</v>
      </c>
      <c r="D51" s="1303">
        <v>0</v>
      </c>
      <c r="E51" s="1303">
        <v>20</v>
      </c>
      <c r="F51" s="1303">
        <v>178485.8</v>
      </c>
    </row>
    <row r="52" spans="1:6">
      <c r="A52" s="1302" t="s">
        <v>41</v>
      </c>
      <c r="B52" s="1302" t="s">
        <v>28</v>
      </c>
      <c r="C52" s="1303">
        <v>2</v>
      </c>
      <c r="D52" s="1303">
        <v>47162.701348547598</v>
      </c>
      <c r="E52" s="1303">
        <v>0</v>
      </c>
      <c r="F52" s="1303">
        <v>0</v>
      </c>
    </row>
    <row r="53" spans="1:6">
      <c r="A53" s="1302" t="s">
        <v>43</v>
      </c>
      <c r="B53" s="1302" t="s">
        <v>44</v>
      </c>
      <c r="C53" s="1303">
        <v>42</v>
      </c>
      <c r="D53" s="1303">
        <v>927856.54433571897</v>
      </c>
      <c r="E53" s="1303">
        <v>129</v>
      </c>
      <c r="F53" s="1303">
        <v>708280.9</v>
      </c>
    </row>
    <row r="54" spans="1:6">
      <c r="A54" s="1302" t="s">
        <v>45</v>
      </c>
      <c r="B54" s="1302" t="s">
        <v>46</v>
      </c>
      <c r="C54" s="1303">
        <v>0</v>
      </c>
      <c r="D54" s="1303">
        <v>0</v>
      </c>
      <c r="E54" s="1303">
        <v>1</v>
      </c>
      <c r="F54" s="1303">
        <v>813820</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15</v>
      </c>
      <c r="D57" s="1303">
        <v>1196461.40236722</v>
      </c>
      <c r="E57" s="1303">
        <v>46</v>
      </c>
      <c r="F57" s="1303">
        <v>467694.6</v>
      </c>
    </row>
    <row r="58" spans="1:6">
      <c r="A58" s="1302" t="s">
        <v>48</v>
      </c>
      <c r="B58" s="1302" t="s">
        <v>50</v>
      </c>
      <c r="C58" s="1303">
        <v>6</v>
      </c>
      <c r="D58" s="1303">
        <v>181574.87612004901</v>
      </c>
      <c r="E58" s="1303">
        <v>29</v>
      </c>
      <c r="F58" s="1303">
        <v>319925.40000000002</v>
      </c>
    </row>
    <row r="59" spans="1:6">
      <c r="A59" s="1302" t="s">
        <v>48</v>
      </c>
      <c r="B59" s="1302" t="s">
        <v>51</v>
      </c>
      <c r="C59" s="1303">
        <v>28</v>
      </c>
      <c r="D59" s="1303">
        <v>1070041.57325165</v>
      </c>
      <c r="E59" s="1303">
        <v>97</v>
      </c>
      <c r="F59" s="1303">
        <v>1951749</v>
      </c>
    </row>
    <row r="60" spans="1:6">
      <c r="A60" s="1302" t="s">
        <v>48</v>
      </c>
      <c r="B60" s="1302" t="s">
        <v>52</v>
      </c>
      <c r="C60" s="1303">
        <v>29</v>
      </c>
      <c r="D60" s="1303">
        <v>1655219.66137111</v>
      </c>
      <c r="E60" s="1303">
        <v>58</v>
      </c>
      <c r="F60" s="1303">
        <v>1689916</v>
      </c>
    </row>
    <row r="61" spans="1:6">
      <c r="A61" s="1302" t="s">
        <v>48</v>
      </c>
      <c r="B61" s="1302" t="s">
        <v>53</v>
      </c>
      <c r="C61" s="1303">
        <v>40</v>
      </c>
      <c r="D61" s="1303">
        <v>1352930.2754152201</v>
      </c>
      <c r="E61" s="1303">
        <v>136</v>
      </c>
      <c r="F61" s="1303">
        <v>1771819</v>
      </c>
    </row>
    <row r="62" spans="1:6">
      <c r="A62" s="1302" t="s">
        <v>48</v>
      </c>
      <c r="B62" s="1302" t="s">
        <v>54</v>
      </c>
      <c r="C62" s="1303">
        <v>0</v>
      </c>
      <c r="D62" s="1303">
        <v>0</v>
      </c>
      <c r="E62" s="1303">
        <v>4</v>
      </c>
      <c r="F62" s="1303">
        <v>62365</v>
      </c>
    </row>
    <row r="63" spans="1:6">
      <c r="A63" s="1302" t="s">
        <v>48</v>
      </c>
      <c r="B63" s="1302" t="s">
        <v>28</v>
      </c>
      <c r="C63" s="1303">
        <v>76</v>
      </c>
      <c r="D63" s="1303">
        <v>3359689.7577846101</v>
      </c>
      <c r="E63" s="1303">
        <v>98</v>
      </c>
      <c r="F63" s="1303">
        <v>1153506</v>
      </c>
    </row>
    <row r="64" spans="1:6">
      <c r="A64" s="1302" t="s">
        <v>55</v>
      </c>
      <c r="B64" s="1302" t="s">
        <v>56</v>
      </c>
      <c r="C64" s="1303">
        <v>0</v>
      </c>
      <c r="D64" s="1303">
        <v>0</v>
      </c>
      <c r="E64" s="1303">
        <v>0</v>
      </c>
      <c r="F64" s="1303">
        <v>0</v>
      </c>
    </row>
    <row r="65" spans="1:6">
      <c r="A65" s="1302" t="s">
        <v>55</v>
      </c>
      <c r="B65" s="1302" t="s">
        <v>28</v>
      </c>
      <c r="C65" s="1303">
        <v>4</v>
      </c>
      <c r="D65" s="1303">
        <v>91153.6106919296</v>
      </c>
      <c r="E65" s="1303">
        <v>2</v>
      </c>
      <c r="F65" s="1303">
        <v>9329.9159999999993</v>
      </c>
    </row>
    <row r="66" spans="1:6">
      <c r="A66" s="1302" t="s">
        <v>55</v>
      </c>
      <c r="B66" s="1302" t="s">
        <v>57</v>
      </c>
      <c r="C66" s="1303">
        <v>0</v>
      </c>
      <c r="D66" s="1303">
        <v>0</v>
      </c>
      <c r="E66" s="1303">
        <v>7</v>
      </c>
      <c r="F66" s="1303">
        <v>107238.1</v>
      </c>
    </row>
    <row r="67" spans="1:6">
      <c r="A67" s="1302" t="s">
        <v>55</v>
      </c>
      <c r="B67" s="1302" t="s">
        <v>58</v>
      </c>
      <c r="C67" s="1303">
        <v>0</v>
      </c>
      <c r="D67" s="1303">
        <v>0</v>
      </c>
      <c r="E67" s="1303">
        <v>0</v>
      </c>
      <c r="F67" s="1303">
        <v>0</v>
      </c>
    </row>
    <row r="68" spans="1:6">
      <c r="A68" s="1297" t="s">
        <v>55</v>
      </c>
      <c r="B68" s="1297" t="s">
        <v>59</v>
      </c>
      <c r="C68" s="1305">
        <v>0</v>
      </c>
      <c r="D68" s="1305">
        <v>0</v>
      </c>
      <c r="E68" s="1305">
        <v>11</v>
      </c>
      <c r="F68" s="1305">
        <v>164697.9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18500505</v>
      </c>
      <c r="E73" s="442"/>
      <c r="F73" s="324"/>
    </row>
    <row r="74" spans="1:6">
      <c r="A74" s="1302" t="s">
        <v>63</v>
      </c>
      <c r="B74" s="1302" t="s">
        <v>695</v>
      </c>
      <c r="C74" s="1315" t="s">
        <v>697</v>
      </c>
      <c r="D74" s="1303">
        <v>1155960.4386026652</v>
      </c>
      <c r="E74" s="442"/>
      <c r="F74" s="324"/>
    </row>
    <row r="75" spans="1:6">
      <c r="A75" s="1302" t="s">
        <v>64</v>
      </c>
      <c r="B75" s="1302" t="s">
        <v>694</v>
      </c>
      <c r="C75" s="1315" t="s">
        <v>698</v>
      </c>
      <c r="D75" s="1303">
        <v>27343725</v>
      </c>
      <c r="E75" s="442"/>
      <c r="F75" s="324"/>
    </row>
    <row r="76" spans="1:6">
      <c r="A76" s="1302" t="s">
        <v>64</v>
      </c>
      <c r="B76" s="1302" t="s">
        <v>695</v>
      </c>
      <c r="C76" s="1315" t="s">
        <v>699</v>
      </c>
      <c r="D76" s="1303">
        <v>1347885.4386026652</v>
      </c>
      <c r="E76" s="442"/>
      <c r="F76" s="324"/>
    </row>
    <row r="77" spans="1:6">
      <c r="A77" s="1302" t="s">
        <v>65</v>
      </c>
      <c r="B77" s="1302" t="s">
        <v>694</v>
      </c>
      <c r="C77" s="1315" t="s">
        <v>700</v>
      </c>
      <c r="D77" s="1303">
        <v>169063984</v>
      </c>
      <c r="E77" s="442"/>
      <c r="F77" s="324"/>
    </row>
    <row r="78" spans="1:6">
      <c r="A78" s="1297" t="s">
        <v>65</v>
      </c>
      <c r="B78" s="1297" t="s">
        <v>695</v>
      </c>
      <c r="C78" s="1297" t="s">
        <v>701</v>
      </c>
      <c r="D78" s="1305">
        <v>20982162</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396333.12279466953</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2292.3453994711467</v>
      </c>
      <c r="C91" s="324"/>
      <c r="D91" s="324"/>
      <c r="E91" s="324"/>
      <c r="F91" s="324"/>
    </row>
    <row r="92" spans="1:6">
      <c r="A92" s="1297" t="s">
        <v>68</v>
      </c>
      <c r="B92" s="1298">
        <v>146.77812544271509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664</v>
      </c>
      <c r="C97" s="324"/>
      <c r="D97" s="324"/>
      <c r="E97" s="324"/>
      <c r="F97" s="324"/>
    </row>
    <row r="98" spans="1:6">
      <c r="A98" s="1302" t="s">
        <v>71</v>
      </c>
      <c r="B98" s="1303">
        <v>1</v>
      </c>
      <c r="C98" s="324"/>
      <c r="D98" s="324"/>
      <c r="E98" s="324"/>
      <c r="F98" s="324"/>
    </row>
    <row r="99" spans="1:6">
      <c r="A99" s="1302" t="s">
        <v>72</v>
      </c>
      <c r="B99" s="1303">
        <v>102</v>
      </c>
      <c r="C99" s="324"/>
      <c r="D99" s="324"/>
      <c r="E99" s="324"/>
      <c r="F99" s="324"/>
    </row>
    <row r="100" spans="1:6">
      <c r="A100" s="1302" t="s">
        <v>73</v>
      </c>
      <c r="B100" s="1303">
        <v>471</v>
      </c>
      <c r="C100" s="324"/>
      <c r="D100" s="324"/>
      <c r="E100" s="324"/>
      <c r="F100" s="324"/>
    </row>
    <row r="101" spans="1:6">
      <c r="A101" s="1302" t="s">
        <v>74</v>
      </c>
      <c r="B101" s="1303">
        <v>40</v>
      </c>
      <c r="C101" s="324"/>
      <c r="D101" s="324"/>
      <c r="E101" s="324"/>
      <c r="F101" s="324"/>
    </row>
    <row r="102" spans="1:6">
      <c r="A102" s="1302" t="s">
        <v>75</v>
      </c>
      <c r="B102" s="1303">
        <v>52</v>
      </c>
      <c r="C102" s="324"/>
      <c r="D102" s="324"/>
      <c r="E102" s="324"/>
      <c r="F102" s="324"/>
    </row>
    <row r="103" spans="1:6">
      <c r="A103" s="1302" t="s">
        <v>76</v>
      </c>
      <c r="B103" s="1303">
        <v>128</v>
      </c>
      <c r="C103" s="324"/>
      <c r="D103" s="324"/>
      <c r="E103" s="324"/>
      <c r="F103" s="324"/>
    </row>
    <row r="104" spans="1:6">
      <c r="A104" s="1302" t="s">
        <v>77</v>
      </c>
      <c r="B104" s="1303">
        <v>2995</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22</v>
      </c>
      <c r="C123" s="1303">
        <v>10</v>
      </c>
      <c r="D123" s="324"/>
      <c r="E123" s="324"/>
      <c r="F123" s="324"/>
    </row>
    <row r="124" spans="1:6">
      <c r="A124" s="1302" t="s">
        <v>88</v>
      </c>
      <c r="B124" s="1303">
        <v>2</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81</v>
      </c>
      <c r="C129" s="324"/>
      <c r="D129" s="324"/>
      <c r="E129" s="324"/>
      <c r="F129" s="324"/>
    </row>
    <row r="130" spans="1:6">
      <c r="A130" s="1302" t="s">
        <v>284</v>
      </c>
      <c r="B130" s="1303">
        <v>2</v>
      </c>
      <c r="C130" s="324"/>
      <c r="D130" s="324"/>
      <c r="E130" s="324"/>
      <c r="F130" s="324"/>
    </row>
    <row r="131" spans="1:6">
      <c r="A131" s="1302" t="s">
        <v>285</v>
      </c>
      <c r="B131" s="1303">
        <v>1</v>
      </c>
      <c r="C131" s="324"/>
      <c r="D131" s="324"/>
      <c r="E131" s="324"/>
      <c r="F131" s="324"/>
    </row>
    <row r="132" spans="1:6">
      <c r="A132" s="1297" t="s">
        <v>286</v>
      </c>
      <c r="B132" s="1298">
        <v>21</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36397.890908504334</v>
      </c>
      <c r="C3" s="43" t="s">
        <v>163</v>
      </c>
      <c r="D3" s="43"/>
      <c r="E3" s="154"/>
      <c r="F3" s="43"/>
      <c r="G3" s="43"/>
      <c r="H3" s="43"/>
      <c r="I3" s="43"/>
      <c r="J3" s="43"/>
      <c r="K3" s="96"/>
    </row>
    <row r="4" spans="1:11">
      <c r="A4" s="351" t="s">
        <v>164</v>
      </c>
      <c r="B4" s="49">
        <f>IF(ISERROR('SEAP template'!B78+'SEAP template'!C78),0,'SEAP template'!B78+'SEAP template'!C78)</f>
        <v>2479.6235249138617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9.6247058823529414</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0.20620870084266832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13.749579831932778</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57.857142857142861</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813.82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813.82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0.20620870084266832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167.81676491978035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23280.147000000001</v>
      </c>
      <c r="C5" s="17">
        <f>IF(ISERROR('Eigen informatie GS &amp; warmtenet'!B57),0,'Eigen informatie GS &amp; warmtenet'!B57)</f>
        <v>0</v>
      </c>
      <c r="D5" s="30">
        <f>(SUM(HH_hh_gas_kWh,HH_rest_gas_kWh)/1000)*0.902</f>
        <v>30764.284398776752</v>
      </c>
      <c r="E5" s="17">
        <f>B32*B41</f>
        <v>1502.413079636972</v>
      </c>
      <c r="F5" s="17">
        <f>B36*B45</f>
        <v>47396.44542627973</v>
      </c>
      <c r="G5" s="18"/>
      <c r="H5" s="17"/>
      <c r="I5" s="17"/>
      <c r="J5" s="17">
        <f>B35*B44+C35*C44</f>
        <v>1105.2833168731665</v>
      </c>
      <c r="K5" s="17"/>
      <c r="L5" s="17"/>
      <c r="M5" s="17"/>
      <c r="N5" s="17">
        <f>B34*B43+C34*C43</f>
        <v>6220.3372042674582</v>
      </c>
      <c r="O5" s="17">
        <f>B52*B53*B54</f>
        <v>143.82666666666668</v>
      </c>
      <c r="P5" s="17">
        <f>B60*B61*B62/1000-B60*B61*B62/1000/B63</f>
        <v>858</v>
      </c>
    </row>
    <row r="6" spans="1:16">
      <c r="A6" s="16" t="s">
        <v>618</v>
      </c>
      <c r="B6" s="755">
        <f>kWh_PV_kleiner_dan_10kW</f>
        <v>2292.3453994711467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25572.492399471146</v>
      </c>
      <c r="C8" s="21">
        <f>C5</f>
        <v>0</v>
      </c>
      <c r="D8" s="21">
        <f>D5</f>
        <v>30764.284398776752</v>
      </c>
      <c r="E8" s="21">
        <f>E5</f>
        <v>1502.413079636972</v>
      </c>
      <c r="F8" s="21">
        <f>F5</f>
        <v>47396.44542627973</v>
      </c>
      <c r="G8" s="21"/>
      <c r="H8" s="21"/>
      <c r="I8" s="21"/>
      <c r="J8" s="21">
        <f>J5</f>
        <v>1105.2833168731665</v>
      </c>
      <c r="K8" s="21"/>
      <c r="L8" s="21">
        <f>L5</f>
        <v>0</v>
      </c>
      <c r="M8" s="21">
        <f>M5</f>
        <v>0</v>
      </c>
      <c r="N8" s="21">
        <f>N5</f>
        <v>6220.3372042674582</v>
      </c>
      <c r="O8" s="21">
        <f>O5</f>
        <v>143.82666666666668</v>
      </c>
      <c r="P8" s="21">
        <f>P5</f>
        <v>858</v>
      </c>
    </row>
    <row r="9" spans="1:16">
      <c r="B9" s="19"/>
      <c r="C9" s="19"/>
      <c r="D9" s="254"/>
      <c r="E9" s="19"/>
      <c r="F9" s="19"/>
      <c r="G9" s="19"/>
      <c r="H9" s="19"/>
      <c r="I9" s="19"/>
      <c r="J9" s="19"/>
      <c r="K9" s="19"/>
      <c r="L9" s="19"/>
      <c r="M9" s="19"/>
      <c r="N9" s="19"/>
      <c r="O9" s="19"/>
      <c r="P9" s="19"/>
    </row>
    <row r="10" spans="1:16">
      <c r="A10" s="24" t="s">
        <v>207</v>
      </c>
      <c r="B10" s="25">
        <f ca="1">'EF ele_warmte'!B12</f>
        <v>0.20620870084266832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5273.2704350039548</v>
      </c>
      <c r="C12" s="23">
        <f ca="1">C10*C8</f>
        <v>0</v>
      </c>
      <c r="D12" s="23">
        <f>D8*D10</f>
        <v>6214.3854485529046</v>
      </c>
      <c r="E12" s="23">
        <f>E10*E8</f>
        <v>341.04776907759265</v>
      </c>
      <c r="F12" s="23">
        <f>F10*F8</f>
        <v>12654.850928816688</v>
      </c>
      <c r="G12" s="23"/>
      <c r="H12" s="23"/>
      <c r="I12" s="23"/>
      <c r="J12" s="23">
        <f>J10*J8</f>
        <v>391.27029417310092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5100</v>
      </c>
      <c r="C26" s="36"/>
      <c r="D26" s="225"/>
    </row>
    <row r="27" spans="1:5" s="15" customFormat="1">
      <c r="A27" s="227" t="s">
        <v>721</v>
      </c>
      <c r="B27" s="37">
        <f>SUM(HH_hh_gas_aantal,HH_rest_gas_aantal)</f>
        <v>2179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2070.0500000000002</v>
      </c>
      <c r="C31" s="34" t="s">
        <v>104</v>
      </c>
      <c r="D31" s="171"/>
    </row>
    <row r="32" spans="1:5">
      <c r="A32" s="168" t="s">
        <v>72</v>
      </c>
      <c r="B32" s="33">
        <f>IF((B21*($B$26-($B$27-0.05*$B$27)-$B$60))&lt;0,0,B21*($B$26-($B$27-0.05*$B$27)-$B$60))</f>
        <v>18.820767781047557</v>
      </c>
      <c r="C32" s="34" t="s">
        <v>104</v>
      </c>
      <c r="D32" s="171"/>
    </row>
    <row r="33" spans="1:6">
      <c r="A33" s="168" t="s">
        <v>73</v>
      </c>
      <c r="B33" s="33">
        <f>IF((B22*($B$26-($B$27-0.05*$B$27)-$B$60))&lt;0,0,B22*($B$26-($B$27-0.05*$B$27)-$B$60))</f>
        <v>655.40750461210951</v>
      </c>
      <c r="C33" s="34" t="s">
        <v>104</v>
      </c>
      <c r="D33" s="171"/>
    </row>
    <row r="34" spans="1:6">
      <c r="A34" s="168" t="s">
        <v>74</v>
      </c>
      <c r="B34" s="33">
        <f>IF((B24*($B$26-($B$27-0.05*$B$27)-$B$60))&lt;0,0,B24*($B$26-($B$27-0.05*$B$27)-$B$60))</f>
        <v>130.09549019141181</v>
      </c>
      <c r="C34" s="33">
        <f>B26*C24</f>
        <v>1043.4583803649448</v>
      </c>
      <c r="D34" s="230"/>
    </row>
    <row r="35" spans="1:6">
      <c r="A35" s="168" t="s">
        <v>76</v>
      </c>
      <c r="B35" s="33">
        <f>IF((B19*($B$26-($B$27-0.05*$B$27)-$B$60))&lt;0,0,B19*($B$26-($B$27-0.05*$B$27)-$B$60))</f>
        <v>63.559045434189954</v>
      </c>
      <c r="C35" s="33">
        <f>B35/2</f>
        <v>31.779522717094977</v>
      </c>
      <c r="D35" s="230"/>
    </row>
    <row r="36" spans="1:6">
      <c r="A36" s="168" t="s">
        <v>77</v>
      </c>
      <c r="B36" s="33">
        <f>IF((B18*($B$26-($B$27-0.05*$B$27)-$B$60))&lt;0,0,B18*($B$26-($B$27-0.05*$B$27)-$B$60))</f>
        <v>2117.0671919812421</v>
      </c>
      <c r="C36" s="34" t="s">
        <v>104</v>
      </c>
      <c r="D36" s="171"/>
    </row>
    <row r="37" spans="1:6">
      <c r="A37" s="168" t="s">
        <v>78</v>
      </c>
      <c r="B37" s="33">
        <f>B60</f>
        <v>45</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45</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7416.9749999999995</v>
      </c>
      <c r="C5" s="17">
        <f>IF(ISERROR('Eigen informatie GS &amp; warmtenet'!B58),0,'Eigen informatie GS &amp; warmtenet'!B58)</f>
        <v>0</v>
      </c>
      <c r="D5" s="30">
        <f>SUM(D6:D12)</f>
        <v>7951.9576267714938</v>
      </c>
      <c r="E5" s="17">
        <f>SUM(E6:E12)</f>
        <v>109.36420784979107</v>
      </c>
      <c r="F5" s="17">
        <f>SUM(F6:F12)</f>
        <v>1146.0309461185623</v>
      </c>
      <c r="G5" s="18"/>
      <c r="H5" s="17"/>
      <c r="I5" s="17"/>
      <c r="J5" s="17">
        <f>SUM(J6:J12)</f>
        <v>0</v>
      </c>
      <c r="K5" s="17"/>
      <c r="L5" s="17"/>
      <c r="M5" s="17"/>
      <c r="N5" s="17">
        <f>SUM(N6:N12)</f>
        <v>464.47438836532706</v>
      </c>
      <c r="O5" s="17">
        <f>B38*B39*B40</f>
        <v>3.1266666666666669</v>
      </c>
      <c r="P5" s="17">
        <f>B46*B47*B48/1000-B46*B47*B48/1000/B49</f>
        <v>19.066666666666666</v>
      </c>
      <c r="R5" s="32"/>
    </row>
    <row r="6" spans="1:18">
      <c r="A6" s="32" t="s">
        <v>53</v>
      </c>
      <c r="B6" s="37">
        <f>B26</f>
        <v>1771.819</v>
      </c>
      <c r="C6" s="33"/>
      <c r="D6" s="37">
        <f>IF(ISERROR(TER_kantoor_gas_kWh/1000),0,TER_kantoor_gas_kWh/1000)*0.902</f>
        <v>1220.3431084245285</v>
      </c>
      <c r="E6" s="33">
        <f>$C$26*'E Balans VL '!I12/100/3.6*1000000</f>
        <v>5.1332196057080877</v>
      </c>
      <c r="F6" s="33">
        <f>$C$26*('E Balans VL '!L12+'E Balans VL '!N12)/100/3.6*1000000</f>
        <v>200.53087460086192</v>
      </c>
      <c r="G6" s="34"/>
      <c r="H6" s="33"/>
      <c r="I6" s="33"/>
      <c r="J6" s="33">
        <f>$C$26*('E Balans VL '!D12+'E Balans VL '!E12)/100/3.6*1000000</f>
        <v>0</v>
      </c>
      <c r="K6" s="33"/>
      <c r="L6" s="33"/>
      <c r="M6" s="33"/>
      <c r="N6" s="33">
        <f>$C$26*'E Balans VL '!Y12/100/3.6*1000000</f>
        <v>17.73460265547029</v>
      </c>
      <c r="O6" s="33"/>
      <c r="P6" s="33"/>
      <c r="R6" s="32"/>
    </row>
    <row r="7" spans="1:18">
      <c r="A7" s="32" t="s">
        <v>52</v>
      </c>
      <c r="B7" s="37">
        <f t="shared" ref="B7:B12" si="0">B27</f>
        <v>1689.9159999999999</v>
      </c>
      <c r="C7" s="33"/>
      <c r="D7" s="37">
        <f>IF(ISERROR(TER_horeca_gas_kWh/1000),0,TER_horeca_gas_kWh/1000)*0.902</f>
        <v>1493.0081345567414</v>
      </c>
      <c r="E7" s="33">
        <f>$C$27*'E Balans VL '!I9/100/3.6*1000000</f>
        <v>70.937952148011547</v>
      </c>
      <c r="F7" s="33">
        <f>$C$27*('E Balans VL '!L9+'E Balans VL '!N9)/100/3.6*1000000</f>
        <v>363.11310759148921</v>
      </c>
      <c r="G7" s="34"/>
      <c r="H7" s="33"/>
      <c r="I7" s="33"/>
      <c r="J7" s="33">
        <f>$C$27*('E Balans VL '!D9+'E Balans VL '!E9)/100/3.6*1000000</f>
        <v>0</v>
      </c>
      <c r="K7" s="33"/>
      <c r="L7" s="33"/>
      <c r="M7" s="33"/>
      <c r="N7" s="33">
        <f>$C$27*'E Balans VL '!Y9/100/3.6*1000000</f>
        <v>0.43547657434844295</v>
      </c>
      <c r="O7" s="33"/>
      <c r="P7" s="33"/>
      <c r="R7" s="32"/>
    </row>
    <row r="8" spans="1:18">
      <c r="A8" s="6" t="s">
        <v>51</v>
      </c>
      <c r="B8" s="37">
        <f t="shared" si="0"/>
        <v>1951.749</v>
      </c>
      <c r="C8" s="33"/>
      <c r="D8" s="37">
        <f>IF(ISERROR(TER_handel_gas_kWh/1000),0,TER_handel_gas_kWh/1000)*0.902</f>
        <v>965.17749907298821</v>
      </c>
      <c r="E8" s="33">
        <f>$C$28*'E Balans VL '!I13/100/3.6*1000000</f>
        <v>20.963408654516702</v>
      </c>
      <c r="F8" s="33">
        <f>$C$28*('E Balans VL '!L13+'E Balans VL '!N13)/100/3.6*1000000</f>
        <v>252.67002526098904</v>
      </c>
      <c r="G8" s="34"/>
      <c r="H8" s="33"/>
      <c r="I8" s="33"/>
      <c r="J8" s="33">
        <f>$C$28*('E Balans VL '!D13+'E Balans VL '!E13)/100/3.6*1000000</f>
        <v>0</v>
      </c>
      <c r="K8" s="33"/>
      <c r="L8" s="33"/>
      <c r="M8" s="33"/>
      <c r="N8" s="33">
        <f>$C$28*'E Balans VL '!Y13/100/3.6*1000000</f>
        <v>15.832694458129021</v>
      </c>
      <c r="O8" s="33"/>
      <c r="P8" s="33"/>
      <c r="R8" s="32"/>
    </row>
    <row r="9" spans="1:18">
      <c r="A9" s="32" t="s">
        <v>50</v>
      </c>
      <c r="B9" s="37">
        <f t="shared" si="0"/>
        <v>319.92540000000002</v>
      </c>
      <c r="C9" s="33"/>
      <c r="D9" s="37">
        <f>IF(ISERROR(TER_gezond_gas_kWh/1000),0,TER_gezond_gas_kWh/1000)*0.902</f>
        <v>163.7805382602842</v>
      </c>
      <c r="E9" s="33">
        <f>$C$29*'E Balans VL '!I10/100/3.6*1000000</f>
        <v>0.25468131062051103</v>
      </c>
      <c r="F9" s="33">
        <f>$C$29*('E Balans VL '!L10+'E Balans VL '!N10)/100/3.6*1000000</f>
        <v>38.891555708455968</v>
      </c>
      <c r="G9" s="34"/>
      <c r="H9" s="33"/>
      <c r="I9" s="33"/>
      <c r="J9" s="33">
        <f>$C$29*('E Balans VL '!D10+'E Balans VL '!E10)/100/3.6*1000000</f>
        <v>0</v>
      </c>
      <c r="K9" s="33"/>
      <c r="L9" s="33"/>
      <c r="M9" s="33"/>
      <c r="N9" s="33">
        <f>$C$29*'E Balans VL '!Y10/100/3.6*1000000</f>
        <v>2.5842726225342285</v>
      </c>
      <c r="O9" s="33"/>
      <c r="P9" s="33"/>
      <c r="R9" s="32"/>
    </row>
    <row r="10" spans="1:18">
      <c r="A10" s="32" t="s">
        <v>49</v>
      </c>
      <c r="B10" s="37">
        <f t="shared" si="0"/>
        <v>467.69459999999998</v>
      </c>
      <c r="C10" s="33"/>
      <c r="D10" s="37">
        <f>IF(ISERROR(TER_ander_gas_kWh/1000),0,TER_ander_gas_kWh/1000)*0.902</f>
        <v>1079.2081849352326</v>
      </c>
      <c r="E10" s="33">
        <f>$C$30*'E Balans VL '!I14/100/3.6*1000000</f>
        <v>1.602813963724816</v>
      </c>
      <c r="F10" s="33">
        <f>$C$30*('E Balans VL '!L14+'E Balans VL '!N14)/100/3.6*1000000</f>
        <v>104.46396877016319</v>
      </c>
      <c r="G10" s="34"/>
      <c r="H10" s="33"/>
      <c r="I10" s="33"/>
      <c r="J10" s="33">
        <f>$C$30*('E Balans VL '!D14+'E Balans VL '!E14)/100/3.6*1000000</f>
        <v>0</v>
      </c>
      <c r="K10" s="33"/>
      <c r="L10" s="33"/>
      <c r="M10" s="33"/>
      <c r="N10" s="33">
        <f>$C$30*'E Balans VL '!Y14/100/3.6*1000000</f>
        <v>329.44663120565713</v>
      </c>
      <c r="O10" s="33"/>
      <c r="P10" s="33"/>
      <c r="R10" s="32"/>
    </row>
    <row r="11" spans="1:18">
      <c r="A11" s="32" t="s">
        <v>54</v>
      </c>
      <c r="B11" s="37">
        <f t="shared" si="0"/>
        <v>62.365000000000002</v>
      </c>
      <c r="C11" s="33"/>
      <c r="D11" s="37">
        <f>IF(ISERROR(TER_onderwijs_gas_kWh/1000),0,TER_onderwijs_gas_kWh/1000)*0.902</f>
        <v>0</v>
      </c>
      <c r="E11" s="33">
        <f>$C$31*'E Balans VL '!I11/100/3.6*1000000</f>
        <v>4.3111003809160754E-2</v>
      </c>
      <c r="F11" s="33">
        <f>$C$31*('E Balans VL '!L11+'E Balans VL '!N11)/100/3.6*1000000</f>
        <v>16.325345419668679</v>
      </c>
      <c r="G11" s="34"/>
      <c r="H11" s="33"/>
      <c r="I11" s="33"/>
      <c r="J11" s="33">
        <f>$C$31*('E Balans VL '!D11+'E Balans VL '!E11)/100/3.6*1000000</f>
        <v>0</v>
      </c>
      <c r="K11" s="33"/>
      <c r="L11" s="33"/>
      <c r="M11" s="33"/>
      <c r="N11" s="33">
        <f>$C$31*'E Balans VL '!Y11/100/3.6*1000000</f>
        <v>6.2079045663667107E-2</v>
      </c>
      <c r="O11" s="33"/>
      <c r="P11" s="33"/>
      <c r="R11" s="32"/>
    </row>
    <row r="12" spans="1:18">
      <c r="A12" s="32" t="s">
        <v>249</v>
      </c>
      <c r="B12" s="37">
        <f t="shared" si="0"/>
        <v>1153.5060000000001</v>
      </c>
      <c r="C12" s="33"/>
      <c r="D12" s="37">
        <f>IF(ISERROR(TER_rest_gas_kWh/1000),0,TER_rest_gas_kWh/1000)*0.902</f>
        <v>3030.4401615217184</v>
      </c>
      <c r="E12" s="33">
        <f>$C$32*'E Balans VL '!I8/100/3.6*1000000</f>
        <v>10.42902116340025</v>
      </c>
      <c r="F12" s="33">
        <f>$C$32*('E Balans VL '!L8+'E Balans VL '!N8)/100/3.6*1000000</f>
        <v>170.03606876693422</v>
      </c>
      <c r="G12" s="34"/>
      <c r="H12" s="33"/>
      <c r="I12" s="33"/>
      <c r="J12" s="33">
        <f>$C$32*('E Balans VL '!D8+'E Balans VL '!E8)/100/3.6*1000000</f>
        <v>0</v>
      </c>
      <c r="K12" s="33"/>
      <c r="L12" s="33"/>
      <c r="M12" s="33"/>
      <c r="N12" s="33">
        <f>$C$32*'E Balans VL '!Y8/100/3.6*1000000</f>
        <v>98.378631803524272</v>
      </c>
      <c r="O12" s="33"/>
      <c r="P12" s="33"/>
      <c r="R12" s="32"/>
    </row>
    <row r="13" spans="1:18">
      <c r="A13" s="16" t="s">
        <v>481</v>
      </c>
      <c r="B13" s="243">
        <f ca="1">'lokale energieproductie'!N38+'lokale energieproductie'!N31</f>
        <v>40.5</v>
      </c>
      <c r="C13" s="243">
        <f ca="1">'lokale energieproductie'!O38+'lokale energieproductie'!O31</f>
        <v>57.857142857142861</v>
      </c>
      <c r="D13" s="302">
        <f ca="1">('lokale energieproductie'!P31+'lokale energieproductie'!P38)*(-1)</f>
        <v>-115.71428571428572</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7457.4749999999995</v>
      </c>
      <c r="C16" s="21">
        <f t="shared" ca="1" si="1"/>
        <v>57.857142857142861</v>
      </c>
      <c r="D16" s="21">
        <f t="shared" ca="1" si="1"/>
        <v>7836.2433410572085</v>
      </c>
      <c r="E16" s="21">
        <f t="shared" si="1"/>
        <v>109.36420784979107</v>
      </c>
      <c r="F16" s="21">
        <f t="shared" ca="1" si="1"/>
        <v>1146.0309461185623</v>
      </c>
      <c r="G16" s="21">
        <f t="shared" si="1"/>
        <v>0</v>
      </c>
      <c r="H16" s="21">
        <f t="shared" si="1"/>
        <v>0</v>
      </c>
      <c r="I16" s="21">
        <f t="shared" si="1"/>
        <v>0</v>
      </c>
      <c r="J16" s="21">
        <f t="shared" si="1"/>
        <v>0</v>
      </c>
      <c r="K16" s="21">
        <f t="shared" si="1"/>
        <v>0</v>
      </c>
      <c r="L16" s="21">
        <f t="shared" ca="1" si="1"/>
        <v>0</v>
      </c>
      <c r="M16" s="21">
        <f t="shared" si="1"/>
        <v>0</v>
      </c>
      <c r="N16" s="21">
        <f t="shared" ca="1" si="1"/>
        <v>464.47438836532706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0.20620870084266832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1537.7962313166779</v>
      </c>
      <c r="C20" s="23">
        <f t="shared" ref="C20:P20" ca="1" si="2">C16*C18</f>
        <v>13.749579831932778</v>
      </c>
      <c r="D20" s="23">
        <f t="shared" ca="1" si="2"/>
        <v>1582.9211548935561</v>
      </c>
      <c r="E20" s="23">
        <f t="shared" si="2"/>
        <v>24.825675181902575</v>
      </c>
      <c r="F20" s="23">
        <f t="shared" ca="1" si="2"/>
        <v>305.99026261365617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1771.819</v>
      </c>
      <c r="C26" s="39">
        <f>IF(ISERROR(B26*3.6/1000000/'E Balans VL '!Z12*100),0,B26*3.6/1000000/'E Balans VL '!Z12*100)</f>
        <v>3.8920052762887923E-2</v>
      </c>
      <c r="D26" s="233" t="s">
        <v>676</v>
      </c>
      <c r="F26" s="6"/>
    </row>
    <row r="27" spans="1:18">
      <c r="A27" s="228" t="s">
        <v>52</v>
      </c>
      <c r="B27" s="33">
        <f>IF(ISERROR(TER_horeca_ele_kWh/1000),0,TER_horeca_ele_kWh/1000)</f>
        <v>1689.9159999999999</v>
      </c>
      <c r="C27" s="39">
        <f>IF(ISERROR(B27*3.6/1000000/'E Balans VL '!Z9*100),0,B27*3.6/1000000/'E Balans VL '!Z9*100)</f>
        <v>0.13580159588164895</v>
      </c>
      <c r="D27" s="233" t="s">
        <v>676</v>
      </c>
      <c r="F27" s="6"/>
    </row>
    <row r="28" spans="1:18">
      <c r="A28" s="168" t="s">
        <v>51</v>
      </c>
      <c r="B28" s="33">
        <f>IF(ISERROR(TER_handel_ele_kWh/1000),0,TER_handel_ele_kWh/1000)</f>
        <v>1951.749</v>
      </c>
      <c r="C28" s="39">
        <f>IF(ISERROR(B28*3.6/1000000/'E Balans VL '!Z13*100),0,B28*3.6/1000000/'E Balans VL '!Z13*100)</f>
        <v>5.7711854409519342E-2</v>
      </c>
      <c r="D28" s="233" t="s">
        <v>676</v>
      </c>
      <c r="F28" s="6"/>
    </row>
    <row r="29" spans="1:18">
      <c r="A29" s="228" t="s">
        <v>50</v>
      </c>
      <c r="B29" s="33">
        <f>IF(ISERROR(TER_gezond_ele_kWh/1000),0,TER_gezond_ele_kWh/1000)</f>
        <v>319.92540000000002</v>
      </c>
      <c r="C29" s="39">
        <f>IF(ISERROR(B29*3.6/1000000/'E Balans VL '!Z10*100),0,B29*3.6/1000000/'E Balans VL '!Z10*100)</f>
        <v>3.6047332834270425E-2</v>
      </c>
      <c r="D29" s="233" t="s">
        <v>676</v>
      </c>
      <c r="F29" s="6"/>
    </row>
    <row r="30" spans="1:18">
      <c r="A30" s="228" t="s">
        <v>49</v>
      </c>
      <c r="B30" s="33">
        <f>IF(ISERROR(TER_ander_ele_kWh/1000),0,TER_ander_ele_kWh/1000)</f>
        <v>467.69459999999998</v>
      </c>
      <c r="C30" s="39">
        <f>IF(ISERROR(B30*3.6/1000000/'E Balans VL '!Z14*100),0,B30*3.6/1000000/'E Balans VL '!Z14*100)</f>
        <v>3.5370943110194217E-2</v>
      </c>
      <c r="D30" s="233" t="s">
        <v>676</v>
      </c>
      <c r="F30" s="6"/>
    </row>
    <row r="31" spans="1:18">
      <c r="A31" s="228" t="s">
        <v>54</v>
      </c>
      <c r="B31" s="33">
        <f>IF(ISERROR(TER_onderwijs_ele_kWh/1000),0,TER_onderwijs_ele_kWh/1000)</f>
        <v>62.365000000000002</v>
      </c>
      <c r="C31" s="39">
        <f>IF(ISERROR(B31*3.6/1000000/'E Balans VL '!Z11*100),0,B31*3.6/1000000/'E Balans VL '!Z11*100)</f>
        <v>1.294552625867715E-2</v>
      </c>
      <c r="D31" s="233" t="s">
        <v>676</v>
      </c>
    </row>
    <row r="32" spans="1:18">
      <c r="A32" s="228" t="s">
        <v>249</v>
      </c>
      <c r="B32" s="33">
        <f>IF(ISERROR(TER_rest_ele_kWh/1000),0,TER_rest_ele_kWh/1000)</f>
        <v>1153.5060000000001</v>
      </c>
      <c r="C32" s="39">
        <f>IF(ISERROR(B32*3.6/1000000/'E Balans VL '!Z8*100),0,B32*3.6/1000000/'E Balans VL '!Z8*100)</f>
        <v>9.7176094654002274E-3</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1627.52909</v>
      </c>
      <c r="C5" s="17">
        <f>IF(ISERROR('Eigen informatie GS &amp; warmtenet'!B59),0,'Eigen informatie GS &amp; warmtenet'!B59)</f>
        <v>0</v>
      </c>
      <c r="D5" s="30">
        <f>SUM(D6:D15)</f>
        <v>1132.9099389865896</v>
      </c>
      <c r="E5" s="17">
        <f>SUM(E6:E15)</f>
        <v>153.76663114836788</v>
      </c>
      <c r="F5" s="17">
        <f>SUM(F6:F15)</f>
        <v>1104.6734963251286</v>
      </c>
      <c r="G5" s="18"/>
      <c r="H5" s="17"/>
      <c r="I5" s="17"/>
      <c r="J5" s="17">
        <f>SUM(J6:J15)</f>
        <v>11.175368924687739</v>
      </c>
      <c r="K5" s="17"/>
      <c r="L5" s="17"/>
      <c r="M5" s="17"/>
      <c r="N5" s="17">
        <f>SUM(N6:N15)</f>
        <v>244.24374794103738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49.609790000000004</v>
      </c>
      <c r="C8" s="33"/>
      <c r="D8" s="37">
        <f>IF( ISERROR(IND_metaal_Gas_kWH/1000),0,IND_metaal_Gas_kWH/1000)*0.902</f>
        <v>0</v>
      </c>
      <c r="E8" s="33">
        <f>C30*'E Balans VL '!I18/100/3.6*1000000</f>
        <v>1.2415594131547918</v>
      </c>
      <c r="F8" s="33">
        <f>C30*'E Balans VL '!L18/100/3.6*1000000+C30*'E Balans VL '!N18/100/3.6*1000000</f>
        <v>15.54795495778643</v>
      </c>
      <c r="G8" s="34"/>
      <c r="H8" s="33"/>
      <c r="I8" s="33"/>
      <c r="J8" s="40">
        <f>C30*'E Balans VL '!D18/100/3.6*1000000+C30*'E Balans VL '!E18/100/3.6*1000000</f>
        <v>0</v>
      </c>
      <c r="K8" s="33"/>
      <c r="L8" s="33"/>
      <c r="M8" s="33"/>
      <c r="N8" s="33">
        <f>C30*'E Balans VL '!Y18/100/3.6*1000000</f>
        <v>1.2463266734320175</v>
      </c>
      <c r="O8" s="33"/>
      <c r="P8" s="33"/>
      <c r="R8" s="32"/>
    </row>
    <row r="9" spans="1:18">
      <c r="A9" s="6" t="s">
        <v>32</v>
      </c>
      <c r="B9" s="37">
        <f t="shared" si="0"/>
        <v>378.94600000000003</v>
      </c>
      <c r="C9" s="33"/>
      <c r="D9" s="37">
        <f>IF( ISERROR(IND_andere_gas_kWh/1000),0,IND_andere_gas_kWh/1000)*0.902</f>
        <v>275.00970978018586</v>
      </c>
      <c r="E9" s="33">
        <f>C31*'E Balans VL '!I19/100/3.6*1000000</f>
        <v>104.19460750874283</v>
      </c>
      <c r="F9" s="33">
        <f>C31*'E Balans VL '!L19/100/3.6*1000000+C31*'E Balans VL '!N19/100/3.6*1000000</f>
        <v>298.67538933845361</v>
      </c>
      <c r="G9" s="34"/>
      <c r="H9" s="33"/>
      <c r="I9" s="33"/>
      <c r="J9" s="40">
        <f>C31*'E Balans VL '!D19/100/3.6*1000000+C31*'E Balans VL '!E19/100/3.6*1000000</f>
        <v>0</v>
      </c>
      <c r="K9" s="33"/>
      <c r="L9" s="33"/>
      <c r="M9" s="33"/>
      <c r="N9" s="33">
        <f>C31*'E Balans VL '!Y19/100/3.6*1000000</f>
        <v>30.528128554895904</v>
      </c>
      <c r="O9" s="33"/>
      <c r="P9" s="33"/>
      <c r="R9" s="32"/>
    </row>
    <row r="10" spans="1:18">
      <c r="A10" s="6" t="s">
        <v>40</v>
      </c>
      <c r="B10" s="37">
        <f t="shared" si="0"/>
        <v>311.34350000000001</v>
      </c>
      <c r="C10" s="33"/>
      <c r="D10" s="37">
        <f>IF( ISERROR(IND_voed_gas_kWh/1000),0,IND_voed_gas_kWh/1000)*0.902</f>
        <v>176.92935882822422</v>
      </c>
      <c r="E10" s="33">
        <f>C32*'E Balans VL '!I20/100/3.6*1000000</f>
        <v>3.1739754623871517</v>
      </c>
      <c r="F10" s="33">
        <f>C32*'E Balans VL '!L20/100/3.6*1000000+C32*'E Balans VL '!N20/100/3.6*1000000</f>
        <v>588.12592423437889</v>
      </c>
      <c r="G10" s="34"/>
      <c r="H10" s="33"/>
      <c r="I10" s="33"/>
      <c r="J10" s="40">
        <f>C32*'E Balans VL '!D20/100/3.6*1000000+C32*'E Balans VL '!E20/100/3.6*1000000</f>
        <v>7.4514686755441524</v>
      </c>
      <c r="K10" s="33"/>
      <c r="L10" s="33"/>
      <c r="M10" s="33"/>
      <c r="N10" s="33">
        <f>C32*'E Balans VL '!Y20/100/3.6*1000000</f>
        <v>164.11388687362785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887.62980000000005</v>
      </c>
      <c r="C15" s="33"/>
      <c r="D15" s="37">
        <f>IF( ISERROR(IND_rest_gas_kWh/1000),0,IND_rest_gas_kWh/1000)*0.902</f>
        <v>680.9708703781796</v>
      </c>
      <c r="E15" s="33">
        <f>C37*'E Balans VL '!I15/100/3.6*1000000</f>
        <v>45.156488764083115</v>
      </c>
      <c r="F15" s="33">
        <f>C37*'E Balans VL '!L15/100/3.6*1000000+C37*'E Balans VL '!N15/100/3.6*1000000</f>
        <v>202.32422779450968</v>
      </c>
      <c r="G15" s="34"/>
      <c r="H15" s="33"/>
      <c r="I15" s="33"/>
      <c r="J15" s="40">
        <f>C37*'E Balans VL '!D15/100/3.6*1000000+C37*'E Balans VL '!E15/100/3.6*1000000</f>
        <v>3.7239002491435853</v>
      </c>
      <c r="K15" s="33"/>
      <c r="L15" s="33"/>
      <c r="M15" s="33"/>
      <c r="N15" s="33">
        <f>C37*'E Balans VL '!Y15/100/3.6*1000000</f>
        <v>48.355405839081619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1627.52909</v>
      </c>
      <c r="C18" s="21">
        <f>C5+C16</f>
        <v>0</v>
      </c>
      <c r="D18" s="21">
        <f>MAX((D5+D16),0)</f>
        <v>1132.9099389865896</v>
      </c>
      <c r="E18" s="21">
        <f>MAX((E5+E16),0)</f>
        <v>153.76663114836788</v>
      </c>
      <c r="F18" s="21">
        <f>MAX((F5+F16),0)</f>
        <v>1104.6734963251286</v>
      </c>
      <c r="G18" s="21"/>
      <c r="H18" s="21"/>
      <c r="I18" s="21"/>
      <c r="J18" s="21">
        <f>MAX((J5+J16),0)</f>
        <v>11.175368924687739</v>
      </c>
      <c r="K18" s="21"/>
      <c r="L18" s="21">
        <f>MAX((L5+L16),0)</f>
        <v>0</v>
      </c>
      <c r="M18" s="21"/>
      <c r="N18" s="21">
        <f>MAX((N5+N16),0)</f>
        <v>244.24374794103738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0.20620870084266832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335.61065923255018</v>
      </c>
      <c r="C22" s="23">
        <f ca="1">C18*C20</f>
        <v>0</v>
      </c>
      <c r="D22" s="23">
        <f>D18*D20</f>
        <v>228.84780767529111</v>
      </c>
      <c r="E22" s="23">
        <f>E18*E20</f>
        <v>34.905025270679509</v>
      </c>
      <c r="F22" s="23">
        <f>F18*F20</f>
        <v>294.94782351880934</v>
      </c>
      <c r="G22" s="23"/>
      <c r="H22" s="23"/>
      <c r="I22" s="23"/>
      <c r="J22" s="23">
        <f>J18*J20</f>
        <v>3.9560805993394594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49.609790000000004</v>
      </c>
      <c r="C30" s="39">
        <f>IF(ISERROR(B30*3.6/1000000/'E Balans VL '!Z18*100),0,B30*3.6/1000000/'E Balans VL '!Z18*100)</f>
        <v>6.9437173354841321E-3</v>
      </c>
      <c r="D30" s="233" t="s">
        <v>676</v>
      </c>
    </row>
    <row r="31" spans="1:18">
      <c r="A31" s="6" t="s">
        <v>32</v>
      </c>
      <c r="B31" s="37">
        <f>IF( ISERROR(IND_ander_ele_kWh/1000),0,IND_ander_ele_kWh/1000)</f>
        <v>378.94600000000003</v>
      </c>
      <c r="C31" s="39">
        <f>IF(ISERROR(B31*3.6/1000000/'E Balans VL '!Z19*100),0,B31*3.6/1000000/'E Balans VL '!Z19*100)</f>
        <v>1.6586404946224955E-2</v>
      </c>
      <c r="D31" s="233" t="s">
        <v>676</v>
      </c>
    </row>
    <row r="32" spans="1:18">
      <c r="A32" s="168" t="s">
        <v>40</v>
      </c>
      <c r="B32" s="37">
        <f>IF( ISERROR(IND_voed_ele_kWh/1000),0,IND_voed_ele_kWh/1000)</f>
        <v>311.34350000000001</v>
      </c>
      <c r="C32" s="39">
        <f>IF(ISERROR(B32*3.6/1000000/'E Balans VL '!Z20*100),0,B32*3.6/1000000/'E Balans VL '!Z20*100)</f>
        <v>7.7078311392351384E-2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887.62980000000005</v>
      </c>
      <c r="C37" s="39">
        <f>IF(ISERROR(B37*3.6/1000000/'E Balans VL '!Z15*100),0,B37*3.6/1000000/'E Balans VL '!Z15*100)</f>
        <v>6.5816229983474668E-3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178.48579999999998</v>
      </c>
      <c r="C5" s="17">
        <f>'Eigen informatie GS &amp; warmtenet'!B60</f>
        <v>0</v>
      </c>
      <c r="D5" s="30">
        <f>IF(ISERROR(SUM(LB_lb_gas_kWh,LB_rest_gas_kWh)/1000),0,SUM(LB_lb_gas_kWh,LB_rest_gas_kWh)/1000)*0.902</f>
        <v>42.540756616389935</v>
      </c>
      <c r="E5" s="17">
        <f>B17*'E Balans VL '!I25/3.6*1000000/100</f>
        <v>1.6532102363248216</v>
      </c>
      <c r="F5" s="17">
        <f>B17*('E Balans VL '!L25/3.6*1000000+'E Balans VL '!N25/3.6*1000000)/100</f>
        <v>452.85247611000688</v>
      </c>
      <c r="G5" s="18"/>
      <c r="H5" s="17"/>
      <c r="I5" s="17"/>
      <c r="J5" s="17">
        <f>('E Balans VL '!D25+'E Balans VL '!E25)/3.6*1000000*landbouw!B17/100</f>
        <v>27.363865047341569</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178.48579999999998</v>
      </c>
      <c r="C8" s="21">
        <f>C5+C6</f>
        <v>0</v>
      </c>
      <c r="D8" s="21">
        <f>MAX((D5+D6),0)</f>
        <v>42.540756616389935</v>
      </c>
      <c r="E8" s="21">
        <f>MAX((E5+E6),0)</f>
        <v>1.6532102363248216</v>
      </c>
      <c r="F8" s="21">
        <f>MAX((F5+F6),0)</f>
        <v>452.85247611000688</v>
      </c>
      <c r="G8" s="21"/>
      <c r="H8" s="21"/>
      <c r="I8" s="21"/>
      <c r="J8" s="21">
        <f>MAX((J5+J6),0)</f>
        <v>27.363865047341569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0.20620870084266832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36.805324936864324</v>
      </c>
      <c r="C12" s="23">
        <f ca="1">C8*C10</f>
        <v>0</v>
      </c>
      <c r="D12" s="23">
        <f>D8*D10</f>
        <v>8.5932328365107669</v>
      </c>
      <c r="E12" s="23">
        <f>E8*E10</f>
        <v>0.3752787236457345</v>
      </c>
      <c r="F12" s="23">
        <f>F8*F10</f>
        <v>120.91161112137185</v>
      </c>
      <c r="G12" s="23"/>
      <c r="H12" s="23"/>
      <c r="I12" s="23"/>
      <c r="J12" s="23">
        <f>J8*J10</f>
        <v>9.6868082267589148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2.537689620688351E-2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31.833878872771777</v>
      </c>
      <c r="C26" s="243">
        <f>B26*'GWP N2O_CH4'!B5</f>
        <v>668.51145632820726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3.8973198654988135</v>
      </c>
      <c r="C27" s="243">
        <f>B27*'GWP N2O_CH4'!B5</f>
        <v>81.843717175475078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0.49627230047830329</v>
      </c>
      <c r="C28" s="243">
        <f>B28*'GWP N2O_CH4'!B4</f>
        <v>153.84441314827401</v>
      </c>
      <c r="D28" s="50"/>
    </row>
    <row r="29" spans="1:4">
      <c r="A29" s="41" t="s">
        <v>266</v>
      </c>
      <c r="B29" s="243">
        <f>B34*'ha_N2O bodem landbouw'!B4</f>
        <v>3.8725754813397861</v>
      </c>
      <c r="C29" s="243">
        <f>B29*'GWP N2O_CH4'!B4</f>
        <v>1200.4983992153336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8.6855045610034212E-4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1.1693018603451966E-4</v>
      </c>
      <c r="C5" s="430" t="s">
        <v>204</v>
      </c>
      <c r="D5" s="415">
        <f>SUM(D6:D11)</f>
        <v>1.6753603330937452E-4</v>
      </c>
      <c r="E5" s="415">
        <f>SUM(E6:E11)</f>
        <v>1.8987300105785818E-3</v>
      </c>
      <c r="F5" s="428" t="s">
        <v>204</v>
      </c>
      <c r="G5" s="415">
        <f>SUM(G6:G11)</f>
        <v>0.61650113122352446</v>
      </c>
      <c r="H5" s="415">
        <f>SUM(H6:H11)</f>
        <v>0.10001067922485332</v>
      </c>
      <c r="I5" s="430" t="s">
        <v>204</v>
      </c>
      <c r="J5" s="430" t="s">
        <v>204</v>
      </c>
      <c r="K5" s="430" t="s">
        <v>204</v>
      </c>
      <c r="L5" s="430" t="s">
        <v>204</v>
      </c>
      <c r="M5" s="415">
        <f>SUM(M6:M11)</f>
        <v>3.8793591426203665E-2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8.6776495523141966E-6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1.3106184560012612E-5</v>
      </c>
      <c r="E6" s="858">
        <f>vkm_GW_PW*SUMIFS(TableVerdeelsleutelVkm[LPG],TableVerdeelsleutelVkm[Voertuigtype],"Lichte voertuigen")*SUMIFS(TableECFTransport[EnergieConsumptieFactor (PJ per km)],TableECFTransport[Index],CONCATENATE($A6,"_LPG_LPG"))</f>
        <v>1.290894899322986E-4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2.9532963509821743E-2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7.6213577916249692E-3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1.9447103906108324E-3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2.8177969893535592E-7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1.0814822225441023E-2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2.0449129368339664E-7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6.2701878301902637E-4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1.4611751381299102E-5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3.3290294563483734E-5</v>
      </c>
      <c r="E8" s="418">
        <f>vkm_NGW_PW*SUMIFS(TableVerdeelsleutelVkm[LPG],TableVerdeelsleutelVkm[Voertuigtype],"Lichte voertuigen")*SUMIFS(TableECFTransport[EnergieConsumptieFactor (PJ per km)],TableECFTransport[Index],CONCATENATE($A8,"_LPG_LPG"))</f>
        <v>3.1271682742249683E-4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6.6400826826455275E-2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1.8700637720901126E-2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4.4201539533538555E-3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3.2856379890294759E-7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1.6202041579859744E-2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2.8780695133988985E-7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9.3935693655599218E-4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8.7915779289434077E-5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1.2113955418587818E-4</v>
      </c>
      <c r="E10" s="418">
        <f>vkm_SW_PW*SUMIFS(TableVerdeelsleutelVkm[LPG],TableVerdeelsleutelVkm[Voertuigtype],"Lichte voertuigen")*SUMIFS(TableECFTransport[EnergieConsumptieFactor (PJ per km)],TableECFTransport[Index],CONCATENATE($A10,"_LPG_LPG"))</f>
        <v>1.4569236932237863E-3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0.30642962348851449</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7.3684370981620922E-2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2.0013501463109627E-2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5.1146623136339867E-6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0.18712085359343217</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3.8204324612715873E-6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1.0848849899554333E-2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32.480607231811014</v>
      </c>
      <c r="C14" s="21"/>
      <c r="D14" s="21">
        <f t="shared" ref="D14:M14" si="0">((D5)*10^9/3600)+D12</f>
        <v>46.537787030381814</v>
      </c>
      <c r="E14" s="21">
        <f t="shared" si="0"/>
        <v>527.42500293849491</v>
      </c>
      <c r="F14" s="21"/>
      <c r="G14" s="21">
        <f t="shared" si="0"/>
        <v>171250.31422875679</v>
      </c>
      <c r="H14" s="21">
        <f t="shared" si="0"/>
        <v>27780.744229125921</v>
      </c>
      <c r="I14" s="21"/>
      <c r="J14" s="21"/>
      <c r="K14" s="21"/>
      <c r="L14" s="21"/>
      <c r="M14" s="21">
        <f t="shared" si="0"/>
        <v>10775.997618389907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0.20620870084266832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6.6977838198527264</v>
      </c>
      <c r="C18" s="23"/>
      <c r="D18" s="23">
        <f t="shared" ref="D18:M18" si="1">D14*D16</f>
        <v>9.4006329801371269</v>
      </c>
      <c r="E18" s="23">
        <f t="shared" si="1"/>
        <v>119.72547566703835</v>
      </c>
      <c r="F18" s="23"/>
      <c r="G18" s="23">
        <f t="shared" si="1"/>
        <v>45723.833899078068</v>
      </c>
      <c r="H18" s="23">
        <f t="shared" si="1"/>
        <v>6917.4053130523544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2.6377602484948526E-5</v>
      </c>
      <c r="C50" s="313">
        <f t="shared" ref="C50:P50" si="2">SUM(C51:C52)</f>
        <v>0</v>
      </c>
      <c r="D50" s="313">
        <f t="shared" si="2"/>
        <v>0</v>
      </c>
      <c r="E50" s="313">
        <f t="shared" si="2"/>
        <v>0</v>
      </c>
      <c r="F50" s="313">
        <f t="shared" si="2"/>
        <v>0</v>
      </c>
      <c r="G50" s="313">
        <f t="shared" si="2"/>
        <v>4.998207619789986E-3</v>
      </c>
      <c r="H50" s="313">
        <f t="shared" si="2"/>
        <v>0</v>
      </c>
      <c r="I50" s="313">
        <f t="shared" si="2"/>
        <v>0</v>
      </c>
      <c r="J50" s="313">
        <f t="shared" si="2"/>
        <v>0</v>
      </c>
      <c r="K50" s="313">
        <f t="shared" si="2"/>
        <v>0</v>
      </c>
      <c r="L50" s="313">
        <f t="shared" si="2"/>
        <v>0</v>
      </c>
      <c r="M50" s="313">
        <f t="shared" si="2"/>
        <v>2.8773699628513889E-4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2.6377602484948526E-5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4.998207619789986E-3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2.8773699628513889E-4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7.3271118013745902</v>
      </c>
      <c r="C54" s="21">
        <f t="shared" ref="C54:P54" si="3">(C50)*10^9/3600</f>
        <v>0</v>
      </c>
      <c r="D54" s="21">
        <f t="shared" si="3"/>
        <v>0</v>
      </c>
      <c r="E54" s="21">
        <f t="shared" si="3"/>
        <v>0</v>
      </c>
      <c r="F54" s="21">
        <f t="shared" si="3"/>
        <v>0</v>
      </c>
      <c r="G54" s="21">
        <f t="shared" si="3"/>
        <v>1388.3910054972184</v>
      </c>
      <c r="H54" s="21">
        <f t="shared" si="3"/>
        <v>0</v>
      </c>
      <c r="I54" s="21">
        <f t="shared" si="3"/>
        <v>0</v>
      </c>
      <c r="J54" s="21">
        <f t="shared" si="3"/>
        <v>0</v>
      </c>
      <c r="K54" s="21">
        <f t="shared" si="3"/>
        <v>0</v>
      </c>
      <c r="L54" s="21">
        <f t="shared" si="3"/>
        <v>0</v>
      </c>
      <c r="M54" s="21">
        <f t="shared" si="3"/>
        <v>79.926943412538577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0.20620870084266832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1.5109142054904374</v>
      </c>
      <c r="C58" s="23">
        <f t="shared" ref="C58:P58" ca="1" si="4">C54*C56</f>
        <v>0</v>
      </c>
      <c r="D58" s="23">
        <f t="shared" si="4"/>
        <v>0</v>
      </c>
      <c r="E58" s="23">
        <f t="shared" si="4"/>
        <v>0</v>
      </c>
      <c r="F58" s="23">
        <f t="shared" si="4"/>
        <v>0</v>
      </c>
      <c r="G58" s="23">
        <f t="shared" si="4"/>
        <v>370.70039846775734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2439.1235249138617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40.5</v>
      </c>
      <c r="C8" s="537">
        <f>B48</f>
        <v>47.647058823529413</v>
      </c>
      <c r="D8" s="1014"/>
      <c r="E8" s="1014">
        <f>E48</f>
        <v>0</v>
      </c>
      <c r="F8" s="1015"/>
      <c r="G8" s="538"/>
      <c r="H8" s="1014">
        <f>I48</f>
        <v>0</v>
      </c>
      <c r="I8" s="1014">
        <f>G48+F48</f>
        <v>0</v>
      </c>
      <c r="J8" s="1014">
        <f>H48+D48+C48</f>
        <v>0</v>
      </c>
      <c r="K8" s="1014"/>
      <c r="L8" s="1014"/>
      <c r="M8" s="1014"/>
      <c r="N8" s="539"/>
      <c r="O8" s="540">
        <f>C8*$C$12+D8*$D$12+E8*$E$12+F8*$F$12+G8*$G$12+H8*$H$12+I8*$I$12+J8*$J$12</f>
        <v>9.6247058823529414</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2479.6235249138617</v>
      </c>
      <c r="C10" s="550">
        <f t="shared" ref="C10:L10" si="0">SUM(C8:C9)</f>
        <v>47.647058823529413</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9.6247058823529414</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57.857142857142861</v>
      </c>
      <c r="C17" s="562">
        <f>B49</f>
        <v>68.067226890756316</v>
      </c>
      <c r="D17" s="563"/>
      <c r="E17" s="563">
        <f>E49</f>
        <v>0</v>
      </c>
      <c r="F17" s="1020"/>
      <c r="G17" s="564"/>
      <c r="H17" s="562">
        <f>I49</f>
        <v>0</v>
      </c>
      <c r="I17" s="563">
        <f>G49+F49</f>
        <v>0</v>
      </c>
      <c r="J17" s="563">
        <f>H49+D49+C49</f>
        <v>0</v>
      </c>
      <c r="K17" s="563"/>
      <c r="L17" s="563"/>
      <c r="M17" s="563"/>
      <c r="N17" s="1021"/>
      <c r="O17" s="565">
        <f>C17*$C$22+E17*$E$22+H17*$H$22+I17*$I$22+J17*$J$22+D17*$D$22+F17*$F$22+G17*$G$22+K17*$K$22+L17*$L$22</f>
        <v>13.749579831932778</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57.857142857142861</v>
      </c>
      <c r="C20" s="549">
        <f>SUM(C17:C19)</f>
        <v>68.067226890756316</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13.749579831932778</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63.75" hidden="1">
      <c r="A28" s="572"/>
      <c r="B28" s="763">
        <v>23105</v>
      </c>
      <c r="C28" s="763">
        <v>1790</v>
      </c>
      <c r="D28" s="620"/>
      <c r="E28" s="619"/>
      <c r="F28" s="619"/>
      <c r="G28" s="619" t="s">
        <v>922</v>
      </c>
      <c r="H28" s="619" t="s">
        <v>923</v>
      </c>
      <c r="I28" s="619"/>
      <c r="J28" s="762"/>
      <c r="K28" s="762"/>
      <c r="L28" s="619" t="s">
        <v>924</v>
      </c>
      <c r="M28" s="619">
        <v>9</v>
      </c>
      <c r="N28" s="619">
        <v>40.5</v>
      </c>
      <c r="O28" s="619">
        <v>57.857142857142861</v>
      </c>
      <c r="P28" s="619">
        <v>115.71428571428572</v>
      </c>
      <c r="Q28" s="619">
        <v>0</v>
      </c>
      <c r="R28" s="619">
        <v>0</v>
      </c>
      <c r="S28" s="619">
        <v>0</v>
      </c>
      <c r="T28" s="619">
        <v>0</v>
      </c>
      <c r="U28" s="619">
        <v>0</v>
      </c>
      <c r="V28" s="619">
        <v>0</v>
      </c>
      <c r="W28" s="619">
        <v>0</v>
      </c>
      <c r="X28" s="619">
        <v>1600</v>
      </c>
      <c r="Y28" s="619" t="s">
        <v>49</v>
      </c>
      <c r="Z28" s="621" t="s">
        <v>149</v>
      </c>
    </row>
    <row r="29" spans="1:26" s="557" customFormat="1" hidden="1">
      <c r="A29" s="575" t="s">
        <v>269</v>
      </c>
      <c r="B29" s="576"/>
      <c r="C29" s="576"/>
      <c r="D29" s="576"/>
      <c r="E29" s="576"/>
      <c r="F29" s="576"/>
      <c r="G29" s="576"/>
      <c r="H29" s="576"/>
      <c r="I29" s="576"/>
      <c r="J29" s="576"/>
      <c r="K29" s="576"/>
      <c r="L29" s="577"/>
      <c r="M29" s="577">
        <f>SUM(M28:M28)</f>
        <v>9</v>
      </c>
      <c r="N29" s="577">
        <f>SUM(N28:N28)</f>
        <v>40.5</v>
      </c>
      <c r="O29" s="577">
        <f>SUM(O28:O28)</f>
        <v>57.857142857142861</v>
      </c>
      <c r="P29" s="577">
        <f>SUM(P28:P28)</f>
        <v>115.71428571428572</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9</v>
      </c>
      <c r="N31" s="577">
        <f ca="1">SUMIF($Z$28:AD28,"tertiair",N28:N28)</f>
        <v>40.5</v>
      </c>
      <c r="O31" s="577">
        <f ca="1">SUMIF($Z$28:AE28,"tertiair",O28:O28)</f>
        <v>57.857142857142861</v>
      </c>
      <c r="P31" s="577">
        <f ca="1">SUMIF($Z$28:AF28,"tertiair",P28:P28)</f>
        <v>115.71428571428572</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47.647058823529413</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68.067226890756316</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2021-11-11T13:10:07Z</dcterms:modified>
</cp:coreProperties>
</file>