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531BF08B-1E16-4B05-B449-D734F79B69B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M14" i="22" l="1"/>
  <c r="P15" i="48"/>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<sst xmlns="http://schemas.openxmlformats.org/spreadsheetml/2006/main" count="2501" uniqueCount="922">
  <si>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</si>
  <si>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</si>
  <si>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</si>
  <si>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</si>
  <si>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</si>
  <si>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</si>
  <si>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</si>
  <si>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</si>
  <si>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</si>
  <si>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</si>
  <si>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</si>
  <si>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</si>
  <si>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</si>
  <si>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</si>
  <si>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</si>
  <si>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</si>
  <si>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</si>
  <si>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</si>
  <si>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</si>
  <si>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</si>
  <si>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</si>
  <si>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</si>
  <si>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</si>
  <si>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</si>
  <si>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</si>
  <si>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</si>
  <si>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</si>
  <si>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</si>
  <si>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</si>
  <si>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</si>
  <si>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</si>
  <si>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</si>
  <si>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</si>
  <si>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</si>
  <si>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</si>
  <si>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</si>
  <si>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</si>
  <si>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</si>
  <si>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</si>
  <si>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</si>
  <si>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</si>
  <si>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</si>
  <si>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</si>
  <si>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</si>
  <si>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</si>
  <si>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</si>
  <si>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</si>
  <si>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</si>
  <si>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</si>
  <si>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</si>
  <si>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</si>
  <si>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</si>
  <si>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</si>
  <si>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</si>
  <si>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</si>
  <si>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</si>
  <si>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</si>
  <si>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</si>
  <si>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</si>
  <si>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</si>
  <si>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</si>
  <si>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</si>
  <si>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</si>
  <si>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</si>
  <si>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</si>
  <si>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</si>
  <si>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</si>
  <si>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</si>
  <si>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</si>
  <si>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</si>
  <si>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</si>
  <si>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</si>
  <si>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</si>
  <si>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</si>
  <si>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</si>
  <si>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</si>
  <si>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</si>
  <si>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</si>
  <si>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</si>
  <si>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</si>
  <si>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</si>
  <si>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</si>
  <si>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</si>
  <si>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</si>
  <si>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</si>
  <si>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</si>
  <si>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</si>
  <si>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</si>
  <si>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</si>
  <si>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</si>
  <si>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</si>
  <si>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</si>
  <si>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</si>
  <si>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</si>
  <si>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</si>
  <si>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</si>
  <si>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</si>
  <si>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</si>
  <si>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</si>
  <si>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</si>
  <si>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</si>
  <si>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</si>
  <si>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</si>
  <si>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</si>
  <si>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</si>
  <si>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</si>
  <si>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</si>
  <si>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</si>
  <si>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</si>
  <si>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</si>
  <si>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</si>
  <si>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</si>
  <si>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</si>
  <si>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</si>
  <si>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</si>
  <si>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</si>
  <si>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</si>
  <si>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</si>
  <si>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</si>
  <si>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</si>
  <si>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</si>
  <si>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</si>
  <si>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</si>
  <si>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</si>
  <si>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</si>
  <si>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</si>
  <si>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</si>
  <si>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</si>
  <si>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</si>
  <si>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</si>
  <si>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</si>
  <si>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</si>
  <si>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</si>
  <si>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</si>
  <si>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</si>
  <si>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</si>
  <si>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</si>
  <si>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</si>
  <si>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</si>
  <si>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</si>
  <si>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</si>
  <si>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</si>
  <si>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</si>
  <si>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</si>
  <si>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</si>
  <si>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</si>
  <si>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</si>
  <si>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</si>
  <si>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</si>
  <si>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</si>
  <si>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</si>
  <si>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</si>
  <si>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</si>
  <si>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</si>
  <si>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</si>
  <si>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</si>
  <si>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</si>
  <si>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</si>
  <si>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</si>
  <si>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</si>
  <si>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</si>
  <si>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</si>
  <si>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</si>
  <si>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</si>
  <si>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</si>
  <si>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</si>
  <si>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</si>
  <si>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</si>
  <si>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</si>
  <si>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</si>
  <si>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</si>
  <si>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</si>
  <si>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</si>
  <si>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</si>
  <si>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</si>
  <si>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</si>
  <si>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</si>
  <si>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</si>
  <si>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</si>
  <si>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</si>
  <si>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</si>
  <si>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</si>
  <si>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</si>
  <si>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</si>
  <si>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</si>
  <si>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</si>
  <si>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</si>
  <si>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</si>
  <si>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</si>
  <si>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</si>
  <si>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</si>
  <si>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</si>
  <si>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</si>
  <si>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</si>
  <si>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</si>
  <si>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</si>
  <si>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</si>
  <si>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</si>
  <si>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</si>
  <si>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</si>
  <si>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</si>
  <si>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</si>
  <si>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</si>
  <si>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</si>
  <si>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</si>
  <si>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</si>
  <si>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</si>
  <si>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</si>
  <si>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</si>
  <si>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</si>
  <si>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</si>
  <si>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</si>
  <si>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</si>
  <si>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</si>
  <si>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</si>
  <si>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</si>
  <si>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</si>
  <si>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</si>
  <si>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</si>
  <si>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</si>
  <si>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</si>
  <si>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</si>
  <si>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</si>
  <si>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</si>
  <si>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</si>
  <si>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</si>
  <si>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</si>
  <si>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</si>
  <si>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</si>
  <si>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</si>
  <si>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</si>
  <si>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</si>
  <si>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</si>
  <si>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</si>
  <si>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</si>
  <si>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</si>
  <si>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</si>
  <si>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</si>
  <si>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</si>
  <si>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</si>
  <si>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</si>
  <si>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</si>
  <si>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</si>
  <si>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</si>
  <si>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</si>
  <si>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</si>
  <si>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</si>
  <si>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</si>
  <si>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</si>
  <si>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</si>
  <si>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</si>
  <si>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</si>
  <si>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</si>
  <si>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</si>
  <si>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</si>
  <si>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</si>
  <si>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</si>
  <si>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</si>
  <si>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</si>
  <si>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</si>
  <si>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</si>
  <si>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</si>
  <si>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</si>
  <si>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</si>
  <si>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</si>
  <si>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</si>
  <si>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</si>
  <si>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</si>
  <si>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</si>
  <si>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</si>
  <si>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</si>
  <si>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</si>
  <si>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</si>
  <si>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</si>
  <si>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</si>
  <si>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</si>
  <si>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</si>
  <si>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</si>
  <si>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</si>
  <si>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</si>
  <si>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</si>
  <si>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</si>
  <si>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</si>
  <si>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</si>
  <si>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</si>
  <si>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</si>
  <si>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</si>
  <si>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</si>
  <si>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</si>
  <si>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</si>
  <si>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</si>
  <si>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</si>
  <si>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</si>
  <si>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</si>
  <si>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</si>
  <si>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</si>
  <si>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</si>
  <si>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</si>
  <si>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</si>
  <si>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</si>
  <si>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</si>
  <si>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</si>
  <si>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</si>
  <si>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</si>
  <si>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</si>
  <si>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</si>
  <si>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</si>
  <si>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</si>
  <si>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</si>
  <si>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</si>
  <si>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</si>
  <si>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</si>
  <si>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</si>
  <si>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</si>
  <si>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</si>
  <si>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</si>
  <si>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</si>
  <si>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</si>
  <si>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</si>
  <si>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</si>
  <si>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</si>
  <si>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</si>
  <si>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</si>
  <si>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</si>
  <si>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</si>
  <si>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</si>
  <si>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</si>
  <si>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</si>
  <si>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</si>
  <si>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</si>
  <si>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</si>
  <si>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</si>
  <si>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</si>
  <si>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</si>
  <si>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</si>
  <si>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</si>
  <si>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</si>
  <si>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</si>
  <si>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</si>
  <si>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</si>
  <si>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</si>
  <si>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</si>
  <si>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</si>
  <si>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</si>
  <si>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</si>
  <si>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</si>
  <si>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</si>
  <si>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</si>
  <si>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</si>
  <si>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</si>
  <si>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</si>
  <si>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</si>
  <si>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</si>
  <si>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</si>
  <si>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</si>
  <si>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</si>
  <si>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</si>
  <si>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</si>
  <si>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</si>
  <si>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</si>
  <si>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</si>
  <si>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</si>
  <si>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</si>
  <si>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</si>
  <si>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</si>
  <si>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</si>
  <si>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</si>
  <si>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</si>
  <si>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</si>
  <si>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</si>
  <si>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</si>
  <si>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</si>
  <si>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</si>
  <si>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</si>
  <si>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</si>
  <si>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</si>
  <si>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</si>
  <si>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</si>
  <si>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</si>
  <si>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</si>
  <si>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</si>
  <si>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</si>
  <si>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</si>
  <si>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</si>
  <si>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</si>
  <si>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</si>
  <si>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</si>
  <si>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</si>
  <si>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</si>
  <si>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</si>
  <si>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</si>
  <si>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</si>
  <si>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</si>
  <si>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</si>
  <si>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</si>
  <si>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</si>
  <si>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</si>
  <si>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</si>
  <si>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</si>
  <si>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</si>
  <si>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</si>
  <si>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</si>
  <si>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</si>
  <si>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</si>
  <si>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</si>
  <si>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</si>
  <si>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</si>
  <si>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</si>
  <si>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</si>
  <si>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</si>
  <si>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</si>
  <si>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</si>
  <si>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</si>
  <si>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</si>
  <si>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</si>
  <si>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</si>
  <si>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</si>
  <si>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</si>
  <si>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</si>
  <si>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</si>
  <si>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</si>
  <si>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</si>
  <si>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</si>
  <si>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</si>
  <si>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</si>
  <si>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</si>
  <si>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</si>
  <si>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</si>
  <si>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</si>
  <si>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</si>
  <si>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</si>
  <si>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</si>
  <si>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</si>
  <si>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</si>
  <si>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</si>
  <si>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</si>
  <si>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</si>
  <si>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</si>
  <si>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</si>
  <si>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</si>
  <si>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</si>
  <si>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</si>
  <si>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</si>
  <si>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</si>
  <si>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</si>
  <si>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</si>
  <si>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</si>
  <si>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</si>
  <si>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</si>
  <si>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</si>
  <si>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</si>
  <si>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</si>
  <si>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</si>
  <si>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</si>
  <si>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</si>
  <si>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</si>
  <si>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</si>
  <si>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</si>
  <si>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</si>
  <si>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</si>
  <si>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</si>
  <si>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</si>
  <si>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</si>
  <si>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</si>
  <si>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</si>
  <si>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</si>
  <si>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</si>
  <si>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</si>
  <si>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</si>
  <si>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</si>
  <si>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</si>
  <si>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</si>
  <si>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</si>
  <si>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</si>
  <si>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</si>
  <si>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</si>
  <si>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</si>
  <si>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</si>
  <si>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</si>
  <si>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</si>
  <si>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</si>
  <si>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</si>
  <si>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</si>
  <si>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</si>
  <si>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</si>
  <si>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</si>
  <si>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</si>
  <si>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</si>
  <si>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</si>
  <si>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</si>
  <si>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</si>
  <si>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</si>
  <si>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</si>
  <si>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</si>
  <si>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</si>
  <si>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</si>
  <si>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</si>
  <si>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</si>
  <si>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</si>
  <si>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</si>
  <si>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</si>
  <si>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</si>
  <si>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</si>
  <si>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</si>
  <si>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</si>
  <si>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</si>
  <si>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</si>
  <si>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</si>
  <si>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</si>
  <si>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</si>
  <si>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</si>
  <si>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</si>
  <si>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</si>
  <si>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</si>
  <si>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</si>
  <si>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</si>
  <si>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</si>
  <si>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</si>
  <si>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</si>
  <si>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</si>
  <si>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</si>
  <si>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</si>
  <si>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</si>
  <si>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</si>
  <si>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</si>
  <si>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</si>
  <si>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</si>
  <si>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</si>
  <si>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</si>
  <si>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</si>
  <si>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</si>
  <si>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</si>
  <si>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</si>
  <si>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</si>
  <si>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</si>
  <si>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</si>
  <si>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</si>
  <si>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</si>
  <si>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</si>
  <si>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</si>
  <si>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</si>
  <si>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</si>
  <si>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</si>
  <si>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</si>
  <si>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</si>
  <si>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</si>
  <si>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</si>
  <si>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</si>
  <si>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</si>
  <si>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</si>
  <si>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</si>
  <si>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</si>
  <si>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</si>
  <si>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</si>
  <si>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</si>
  <si>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</si>
  <si>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</si>
  <si>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</si>
  <si>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</si>
  <si>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</si>
  <si>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</si>
  <si>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</si>
  <si>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</si>
  <si>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</si>
  <si>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</si>
  <si>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</si>
  <si>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</si>
  <si>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</si>
  <si>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</si>
  <si>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</si>
  <si>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</si>
  <si>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</si>
  <si>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</si>
  <si>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</si>
  <si>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</si>
  <si>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</si>
  <si>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</si>
  <si>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</si>
  <si>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</si>
  <si>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</si>
  <si>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</si>
  <si>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</si>
  <si>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</si>
  <si>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</si>
  <si>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</si>
  <si>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</si>
  <si>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</si>
  <si>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</si>
  <si>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</si>
  <si>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</si>
  <si>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</si>
  <si>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</si>
  <si>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</si>
  <si>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</si>
  <si>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</si>
  <si>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</si>
  <si>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</si>
  <si>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</si>
  <si>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</si>
  <si>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</si>
  <si>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</si>
  <si>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</si>
  <si>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</si>
  <si>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</si>
  <si>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</si>
  <si>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</si>
  <si>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</si>
  <si>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</si>
  <si>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</si>
  <si>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</si>
  <si>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</si>
  <si>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</si>
  <si>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</si>
  <si>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</si>
  <si>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</si>
  <si>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</si>
  <si>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</si>
  <si>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</si>
  <si>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</si>
  <si>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</si>
  <si>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</si>
  <si>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</si>
  <si>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</si>
  <si>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</si>
  <si>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</si>
  <si>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</si>
  <si>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</si>
  <si>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</si>
  <si>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</si>
  <si>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</si>
  <si>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</si>
  <si>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</si>
  <si>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</si>
  <si>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</si>
  <si>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</si>
  <si>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</si>
  <si>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</si>
  <si>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</si>
  <si>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</si>
  <si>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</si>
  <si>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</si>
  <si>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</si>
  <si>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</si>
  <si>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</si>
  <si>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</si>
  <si>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</si>
  <si>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</si>
  <si>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</si>
  <si>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</si>
  <si>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</si>
  <si>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</si>
  <si>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</si>
  <si>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</si>
  <si>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</si>
  <si>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</si>
  <si>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</si>
  <si>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</si>
  <si>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</si>
  <si>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</si>
  <si>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</si>
  <si>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</si>
  <si>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</si>
  <si>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</si>
  <si>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</si>
  <si>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</si>
  <si>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</si>
  <si>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</si>
  <si>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</si>
  <si>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</si>
  <si>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</si>
  <si>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</si>
  <si>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</si>
  <si>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</si>
  <si>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</si>
  <si>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</si>
  <si>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</si>
  <si>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</si>
  <si>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</si>
  <si>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</si>
  <si>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</si>
  <si>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</si>
  <si>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</si>
  <si>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</si>
  <si>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</si>
  <si>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</si>
  <si>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</si>
  <si>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</si>
  <si>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</si>
  <si>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</si>
  <si>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</si>
  <si>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</si>
  <si>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</si>
  <si>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</si>
  <si>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</si>
  <si>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</si>
  <si>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</si>
  <si>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</si>
  <si>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</si>
  <si>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</si>
  <si>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</si>
  <si>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</si>
  <si>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</si>
  <si>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</si>
  <si>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</si>
  <si>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</si>
  <si>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</si>
  <si>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</si>
  <si>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</si>
  <si>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</si>
  <si>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</si>
  <si>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</si>
  <si>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</si>
  <si>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</si>
  <si>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</si>
  <si>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</si>
  <si>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</si>
  <si>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</si>
  <si>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</si>
  <si>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</si>
  <si>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</si>
  <si>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</si>
  <si>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</si>
  <si>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</si>
  <si>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</si>
  <si>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</si>
  <si>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</si>
  <si>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</si>
  <si>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</si>
  <si>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</si>
  <si>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</si>
  <si>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</si>
  <si>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</si>
  <si>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</si>
  <si>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</si>
  <si>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</si>
  <si>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</si>
  <si>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</si>
  <si>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</si>
  <si>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</si>
  <si>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</si>
  <si>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</si>
  <si>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</si>
  <si>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</si>
  <si>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</si>
  <si>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</si>
  <si>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</si>
  <si>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</si>
  <si>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</si>
  <si>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</si>
  <si>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</si>
  <si>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</si>
  <si>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</si>
  <si>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</si>
  <si>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</si>
  <si>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</si>
  <si>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</si>
  <si>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</si>
  <si>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</si>
  <si>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</si>
  <si>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</si>
  <si>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</si>
  <si>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</si>
  <si>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</si>
  <si>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</si>
  <si>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</si>
  <si>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</si>
  <si>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</si>
  <si>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</si>
  <si>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</si>
  <si>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</si>
  <si>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</si>
  <si>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</si>
  <si>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</si>
  <si>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</si>
  <si>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</si>
  <si>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</si>
  <si>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</si>
  <si>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</si>
  <si>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</si>
  <si>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</si>
  <si>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</si>
  <si>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</si>
  <si>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</si>
  <si>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</si>
  <si>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</si>
  <si>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</si>
  <si>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</si>
  <si>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</si>
  <si>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</si>
  <si>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</si>
  <si>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</si>
  <si>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</si>
  <si>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</si>
  <si>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</si>
  <si>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</si>
  <si>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</si>
  <si>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</si>
  <si>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</si>
  <si>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</si>
  <si>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</si>
  <si>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</si>
  <si>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</si>
  <si>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</si>
  <si>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</si>
  <si>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</si>
  <si>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</si>
  <si>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</si>
  <si>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</si>
  <si>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</si>
  <si>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</si>
  <si>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</si>
  <si>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</si>
  <si>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</si>
  <si>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</si>
  <si>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</si>
  <si>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</si>
  <si>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</si>
  <si>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</si>
  <si>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</si>
  <si>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</si>
  <si>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</si>
  <si>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</si>
  <si>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</si>
  <si>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</si>
  <si>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</si>
  <si>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</si>
  <si>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</si>
  <si>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</si>
  <si>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</si>
  <si>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</si>
  <si>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</si>
  <si>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</si>
  <si>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</si>
  <si>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</si>
  <si>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</si>
  <si>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</si>
  <si>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</si>
  <si>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</si>
  <si>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</si>
  <si>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</si>
  <si>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</si>
  <si>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</si>
  <si>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</si>
  <si>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</si>
  <si>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</si>
  <si>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</si>
  <si>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</si>
  <si>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</si>
  <si>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</si>
  <si>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</si>
  <si>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</si>
  <si>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</si>
  <si>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</si>
  <si>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</si>
  <si>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</si>
  <si>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</si>
  <si>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</si>
  <si>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</si>
  <si>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</si>
  <si>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</si>
  <si>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</si>
  <si>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</si>
  <si>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</si>
  <si>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</si>
  <si>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</si>
  <si>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</si>
  <si>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</si>
  <si>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</si>
  <si>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</si>
  <si>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</si>
  <si>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</si>
  <si>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</si>
  <si>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</si>
  <si>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</si>
  <si>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</si>
  <si>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</si>
  <si>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</si>
  <si>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</si>
  <si>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</si>
  <si>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</si>
  <si>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</si>
  <si>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</si>
  <si>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</si>
  <si>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</si>
  <si>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</si>
  <si>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</si>
  <si>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</si>
  <si>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</si>
  <si>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</si>
  <si>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</si>
  <si>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</si>
  <si>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</si>
  <si>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</si>
  <si>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</si>
  <si>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</si>
  <si>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</si>
  <si>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</si>
  <si>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</si>
  <si>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</si>
  <si>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</si>
  <si>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</si>
  <si>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</si>
  <si>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</si>
  <si>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</si>
  <si>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</si>
  <si>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</si>
  <si>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</si>
  <si>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</si>
  <si>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</si>
  <si>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</si>
  <si>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</si>
  <si>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</si>
  <si>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</si>
  <si>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</si>
  <si>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</si>
  <si>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</si>
  <si>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23086</t>
  </si>
  <si>
    <t>TERNAT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</si>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</sst>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F30D53BD-F72E-4796-A957-4E7F3C78B249}"/>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134367.93114861267</c:v>
                </c:pt>
                <c:pt idx="1">
                  <c:v>40930.096033979957</c:v>
                </c:pt>
                <c:pt idx="2">
                  <c:v>906.54200000000003</c:v>
                </c:pt>
                <c:pt idx="3">
                  <c:v>1467.5896276101439</c:v>
                </c:pt>
                <c:pt idx="4">
                  <c:v>17904.579428782898</c:v>
                </c:pt>
                <c:pt idx="5">
                  <c:v>238200.45235842804</c:v>
                </c:pt>
                <c:pt idx="6">
                  <c:v>1834.9606527719145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134367.93114861267</c:v>
                </c:pt>
                <c:pt idx="1">
                  <c:v>40930.096033979957</c:v>
                </c:pt>
                <c:pt idx="2">
                  <c:v>906.54200000000003</c:v>
                </c:pt>
                <c:pt idx="3">
                  <c:v>1467.5896276101439</c:v>
                </c:pt>
                <c:pt idx="4">
                  <c:v>17904.579428782898</c:v>
                </c:pt>
                <c:pt idx="5">
                  <c:v>238200.45235842804</c:v>
                </c:pt>
                <c:pt idx="6">
                  <c:v>1834.9606527719145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28969.09124494169</c:v>
                </c:pt>
                <c:pt idx="2">
                  <c:v>8386.7813940018132</c:v>
                </c:pt>
                <c:pt idx="3">
                  <c:v>188.12387709644952</c:v>
                </c:pt>
                <c:pt idx="4">
                  <c:v>368.05289269198494</c:v>
                </c:pt>
                <c:pt idx="5">
                  <c:v>3767.3573687749586</c:v>
                </c:pt>
                <c:pt idx="6">
                  <c:v>59750.023987752633</c:v>
                </c:pt>
                <c:pt idx="7">
                  <c:v>462.85569364440221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28969.09124494169</c:v>
                </c:pt>
                <c:pt idx="2">
                  <c:v>8386.7813940018132</c:v>
                </c:pt>
                <c:pt idx="3">
                  <c:v>188.12387709644952</c:v>
                </c:pt>
                <c:pt idx="4">
                  <c:v>368.05289269198494</c:v>
                </c:pt>
                <c:pt idx="5">
                  <c:v>3767.3573687749586</c:v>
                </c:pt>
                <c:pt idx="6">
                  <c:v>59750.023987752633</c:v>
                </c:pt>
                <c:pt idx="7">
                  <c:v>462.85569364440221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23086</v>
      </c>
      <c r="B6" s="383"/>
      <c r="C6" s="384"/>
    </row>
    <row r="7" spans="1:7" s="381" customFormat="1" ht="15.75" customHeight="1">
      <c r="A7" s="385" t="str">
        <f>txtMunicipality</f>
        <v>TERNAT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21945.3678</v>
      </c>
      <c r="D10" s="983">
        <f ca="1">tertiair!C16</f>
        <v>0</v>
      </c>
      <c r="E10" s="983">
        <f ca="1">tertiair!D16</f>
        <v>15674.115146974385</v>
      </c>
      <c r="F10" s="983">
        <f>tertiair!E16</f>
        <v>227.64453925898187</v>
      </c>
      <c r="G10" s="983">
        <f ca="1">tertiair!F16</f>
        <v>3007.4815809159422</v>
      </c>
      <c r="H10" s="983">
        <f>tertiair!G16</f>
        <v>0</v>
      </c>
      <c r="I10" s="983">
        <f>tertiair!H16</f>
        <v>0</v>
      </c>
      <c r="J10" s="983">
        <f>tertiair!I16</f>
        <v>0</v>
      </c>
      <c r="K10" s="983">
        <f>tertiair!J16</f>
        <v>0</v>
      </c>
      <c r="L10" s="983">
        <f>tertiair!K16</f>
        <v>0</v>
      </c>
      <c r="M10" s="983">
        <f ca="1">tertiair!L16</f>
        <v>0</v>
      </c>
      <c r="N10" s="983">
        <f>tertiair!M16</f>
        <v>0</v>
      </c>
      <c r="O10" s="983">
        <f ca="1">tertiair!N16</f>
        <v>982.02896683064876</v>
      </c>
      <c r="P10" s="983">
        <f>tertiair!O16</f>
        <v>0</v>
      </c>
      <c r="Q10" s="984">
        <f>tertiair!P16</f>
        <v>0</v>
      </c>
      <c r="R10" s="667">
        <f ca="1">SUM(C10:Q10)</f>
        <v>41836.638033979958</v>
      </c>
      <c r="S10" s="67"/>
    </row>
    <row r="11" spans="1:19" s="440" customFormat="1">
      <c r="A11" s="776" t="s">
        <v>214</v>
      </c>
      <c r="B11" s="781"/>
      <c r="C11" s="983">
        <f>huishoudens!B8</f>
        <v>28693.107518475481</v>
      </c>
      <c r="D11" s="983">
        <f>huishoudens!C8</f>
        <v>0</v>
      </c>
      <c r="E11" s="983">
        <f>huishoudens!D8</f>
        <v>48539.407599718637</v>
      </c>
      <c r="F11" s="983">
        <f>huishoudens!E8</f>
        <v>1482.5064020378022</v>
      </c>
      <c r="G11" s="983">
        <f>huishoudens!F8</f>
        <v>46768.451852983919</v>
      </c>
      <c r="H11" s="983">
        <f>huishoudens!G8</f>
        <v>0</v>
      </c>
      <c r="I11" s="983">
        <f>huishoudens!H8</f>
        <v>0</v>
      </c>
      <c r="J11" s="983">
        <f>huishoudens!I8</f>
        <v>0</v>
      </c>
      <c r="K11" s="983">
        <f>huishoudens!J8</f>
        <v>1090.6385304672524</v>
      </c>
      <c r="L11" s="983">
        <f>huishoudens!K8</f>
        <v>0</v>
      </c>
      <c r="M11" s="983">
        <f>huishoudens!L8</f>
        <v>0</v>
      </c>
      <c r="N11" s="983">
        <f>huishoudens!M8</f>
        <v>0</v>
      </c>
      <c r="O11" s="983">
        <f>huishoudens!N8</f>
        <v>7279.6025782628894</v>
      </c>
      <c r="P11" s="983">
        <f>huishoudens!O8</f>
        <v>132.88333333333333</v>
      </c>
      <c r="Q11" s="984">
        <f>huishoudens!P8</f>
        <v>381.33333333333337</v>
      </c>
      <c r="R11" s="667">
        <f>SUM(C11:Q11)</f>
        <v>134367.93114861267</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10395.76568</v>
      </c>
      <c r="D13" s="983">
        <f>industrie!C18</f>
        <v>0</v>
      </c>
      <c r="E13" s="983">
        <f>industrie!D18</f>
        <v>2986.5232374217449</v>
      </c>
      <c r="F13" s="983">
        <f>industrie!E18</f>
        <v>716.44084501699649</v>
      </c>
      <c r="G13" s="983">
        <f>industrie!F18</f>
        <v>3104.8526207568693</v>
      </c>
      <c r="H13" s="983">
        <f>industrie!G18</f>
        <v>0</v>
      </c>
      <c r="I13" s="983">
        <f>industrie!H18</f>
        <v>0</v>
      </c>
      <c r="J13" s="983">
        <f>industrie!I18</f>
        <v>0</v>
      </c>
      <c r="K13" s="983">
        <f>industrie!J18</f>
        <v>42.775053740023054</v>
      </c>
      <c r="L13" s="983">
        <f>industrie!K18</f>
        <v>0</v>
      </c>
      <c r="M13" s="983">
        <f>industrie!L18</f>
        <v>0</v>
      </c>
      <c r="N13" s="983">
        <f>industrie!M18</f>
        <v>0</v>
      </c>
      <c r="O13" s="983">
        <f>industrie!N18</f>
        <v>658.22199184726378</v>
      </c>
      <c r="P13" s="983">
        <f>industrie!O18</f>
        <v>0</v>
      </c>
      <c r="Q13" s="984">
        <f>industrie!P18</f>
        <v>0</v>
      </c>
      <c r="R13" s="667">
        <f>SUM(C13:Q13)</f>
        <v>17904.579428782898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61034.240998475478</v>
      </c>
      <c r="D16" s="699">
        <f t="shared" ref="D16:R16" ca="1" si="0">SUM(D9:D15)</f>
        <v>0</v>
      </c>
      <c r="E16" s="699">
        <f t="shared" ca="1" si="0"/>
        <v>67200.045984114768</v>
      </c>
      <c r="F16" s="699">
        <f t="shared" si="0"/>
        <v>2426.5917863137806</v>
      </c>
      <c r="G16" s="699">
        <f t="shared" ca="1" si="0"/>
        <v>52880.786054656732</v>
      </c>
      <c r="H16" s="699">
        <f t="shared" si="0"/>
        <v>0</v>
      </c>
      <c r="I16" s="699">
        <f t="shared" si="0"/>
        <v>0</v>
      </c>
      <c r="J16" s="699">
        <f t="shared" si="0"/>
        <v>0</v>
      </c>
      <c r="K16" s="699">
        <f t="shared" si="0"/>
        <v>1133.4135842072756</v>
      </c>
      <c r="L16" s="699">
        <f t="shared" si="0"/>
        <v>0</v>
      </c>
      <c r="M16" s="699">
        <f t="shared" ca="1" si="0"/>
        <v>0</v>
      </c>
      <c r="N16" s="699">
        <f t="shared" si="0"/>
        <v>0</v>
      </c>
      <c r="O16" s="699">
        <f t="shared" ca="1" si="0"/>
        <v>8919.8535369408019</v>
      </c>
      <c r="P16" s="699">
        <f t="shared" si="0"/>
        <v>132.88333333333333</v>
      </c>
      <c r="Q16" s="699">
        <f t="shared" si="0"/>
        <v>381.33333333333337</v>
      </c>
      <c r="R16" s="699">
        <f t="shared" ca="1" si="0"/>
        <v>194109.14861137551</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9.1112437617646513</v>
      </c>
      <c r="D19" s="983">
        <f>transport!C54</f>
        <v>0</v>
      </c>
      <c r="E19" s="983">
        <f>transport!D54</f>
        <v>0</v>
      </c>
      <c r="F19" s="983">
        <f>transport!E54</f>
        <v>0</v>
      </c>
      <c r="G19" s="983">
        <f>transport!F54</f>
        <v>0</v>
      </c>
      <c r="H19" s="983">
        <f>transport!G54</f>
        <v>1726.4604704617045</v>
      </c>
      <c r="I19" s="983">
        <f>transport!H54</f>
        <v>0</v>
      </c>
      <c r="J19" s="983">
        <f>transport!I54</f>
        <v>0</v>
      </c>
      <c r="K19" s="983">
        <f>transport!J54</f>
        <v>0</v>
      </c>
      <c r="L19" s="983">
        <f>transport!K54</f>
        <v>0</v>
      </c>
      <c r="M19" s="983">
        <f>transport!L54</f>
        <v>0</v>
      </c>
      <c r="N19" s="983">
        <f>transport!M54</f>
        <v>99.388938548445424</v>
      </c>
      <c r="O19" s="983">
        <f>transport!N54</f>
        <v>0</v>
      </c>
      <c r="P19" s="983">
        <f>transport!O54</f>
        <v>0</v>
      </c>
      <c r="Q19" s="984">
        <f>transport!P54</f>
        <v>0</v>
      </c>
      <c r="R19" s="667">
        <f>SUM(C19:Q19)</f>
        <v>1834.9606527719145</v>
      </c>
      <c r="S19" s="67"/>
    </row>
    <row r="20" spans="1:19" s="440" customFormat="1">
      <c r="A20" s="776" t="s">
        <v>296</v>
      </c>
      <c r="B20" s="781"/>
      <c r="C20" s="983">
        <f>transport!B14</f>
        <v>35.167626664473076</v>
      </c>
      <c r="D20" s="983">
        <f>transport!C14</f>
        <v>0</v>
      </c>
      <c r="E20" s="983">
        <f>transport!D14</f>
        <v>52.740380099053354</v>
      </c>
      <c r="F20" s="983">
        <f>transport!E14</f>
        <v>581.15969045894781</v>
      </c>
      <c r="G20" s="983">
        <f>transport!F14</f>
        <v>0</v>
      </c>
      <c r="H20" s="983">
        <f>transport!G14</f>
        <v>194125.26884901623</v>
      </c>
      <c r="I20" s="983">
        <f>transport!H14</f>
        <v>31199.608350767805</v>
      </c>
      <c r="J20" s="983">
        <f>transport!I14</f>
        <v>0</v>
      </c>
      <c r="K20" s="983">
        <f>transport!J14</f>
        <v>0</v>
      </c>
      <c r="L20" s="983">
        <f>transport!K14</f>
        <v>0</v>
      </c>
      <c r="M20" s="983">
        <f>transport!L14</f>
        <v>0</v>
      </c>
      <c r="N20" s="983">
        <f>transport!M14</f>
        <v>12206.507461421543</v>
      </c>
      <c r="O20" s="983">
        <f>transport!N14</f>
        <v>0</v>
      </c>
      <c r="P20" s="983">
        <f>transport!O14</f>
        <v>0</v>
      </c>
      <c r="Q20" s="984">
        <f>transport!P14</f>
        <v>0</v>
      </c>
      <c r="R20" s="667">
        <f>SUM(C20:Q20)</f>
        <v>238200.45235842804</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44.278870426237731</v>
      </c>
      <c r="D22" s="779">
        <f t="shared" ref="D22:R22" si="1">SUM(D18:D21)</f>
        <v>0</v>
      </c>
      <c r="E22" s="779">
        <f t="shared" si="1"/>
        <v>52.740380099053354</v>
      </c>
      <c r="F22" s="779">
        <f t="shared" si="1"/>
        <v>581.15969045894781</v>
      </c>
      <c r="G22" s="779">
        <f t="shared" si="1"/>
        <v>0</v>
      </c>
      <c r="H22" s="779">
        <f t="shared" si="1"/>
        <v>195851.72931947792</v>
      </c>
      <c r="I22" s="779">
        <f t="shared" si="1"/>
        <v>31199.608350767805</v>
      </c>
      <c r="J22" s="779">
        <f t="shared" si="1"/>
        <v>0</v>
      </c>
      <c r="K22" s="779">
        <f t="shared" si="1"/>
        <v>0</v>
      </c>
      <c r="L22" s="779">
        <f t="shared" si="1"/>
        <v>0</v>
      </c>
      <c r="M22" s="779">
        <f t="shared" si="1"/>
        <v>0</v>
      </c>
      <c r="N22" s="779">
        <f t="shared" si="1"/>
        <v>12305.896399969988</v>
      </c>
      <c r="O22" s="779">
        <f t="shared" si="1"/>
        <v>0</v>
      </c>
      <c r="P22" s="779">
        <f t="shared" si="1"/>
        <v>0</v>
      </c>
      <c r="Q22" s="779">
        <f t="shared" si="1"/>
        <v>0</v>
      </c>
      <c r="R22" s="779">
        <f t="shared" si="1"/>
        <v>240035.41301119994</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369.1275</v>
      </c>
      <c r="D24" s="983">
        <f>+landbouw!C8</f>
        <v>0</v>
      </c>
      <c r="E24" s="983">
        <f>+landbouw!D8</f>
        <v>101.9049626588248</v>
      </c>
      <c r="F24" s="983">
        <f>+landbouw!E8</f>
        <v>3.419013509808571</v>
      </c>
      <c r="G24" s="983">
        <f>+landbouw!F8</f>
        <v>936.54678621658752</v>
      </c>
      <c r="H24" s="983">
        <f>+landbouw!G8</f>
        <v>0</v>
      </c>
      <c r="I24" s="983">
        <f>+landbouw!H8</f>
        <v>0</v>
      </c>
      <c r="J24" s="983">
        <f>+landbouw!I8</f>
        <v>0</v>
      </c>
      <c r="K24" s="983">
        <f>+landbouw!J8</f>
        <v>56.591365224923074</v>
      </c>
      <c r="L24" s="983">
        <f>+landbouw!K8</f>
        <v>0</v>
      </c>
      <c r="M24" s="983">
        <f>+landbouw!L8</f>
        <v>0</v>
      </c>
      <c r="N24" s="983">
        <f>+landbouw!M8</f>
        <v>0</v>
      </c>
      <c r="O24" s="983">
        <f>+landbouw!N8</f>
        <v>0</v>
      </c>
      <c r="P24" s="983">
        <f>+landbouw!O8</f>
        <v>0</v>
      </c>
      <c r="Q24" s="984">
        <f>+landbouw!P8</f>
        <v>0</v>
      </c>
      <c r="R24" s="667">
        <f>SUM(C24:Q24)</f>
        <v>1467.5896276101439</v>
      </c>
      <c r="S24" s="67"/>
    </row>
    <row r="25" spans="1:19" s="440" customFormat="1" ht="15" thickBot="1">
      <c r="A25" s="798" t="s">
        <v>829</v>
      </c>
      <c r="B25" s="986"/>
      <c r="C25" s="987">
        <f>IF(Onbekend_ele_kWh="---",0,Onbekend_ele_kWh)/1000+IF(REST_rest_ele_kWh="---",0,REST_rest_ele_kWh)/1000</f>
        <v>1941.2059999999999</v>
      </c>
      <c r="D25" s="987"/>
      <c r="E25" s="987">
        <f>IF(onbekend_gas_kWh="---",0,onbekend_gas_kWh)/1000+IF(REST_rest_gas_kWh="---",0,REST_rest_gas_kWh)/1000</f>
        <v>1595.0395887913799</v>
      </c>
      <c r="F25" s="987"/>
      <c r="G25" s="987"/>
      <c r="H25" s="987"/>
      <c r="I25" s="987"/>
      <c r="J25" s="987"/>
      <c r="K25" s="987"/>
      <c r="L25" s="987"/>
      <c r="M25" s="987"/>
      <c r="N25" s="987"/>
      <c r="O25" s="987"/>
      <c r="P25" s="987"/>
      <c r="Q25" s="988"/>
      <c r="R25" s="667">
        <f>SUM(C25:Q25)</f>
        <v>3536.2455887913798</v>
      </c>
      <c r="S25" s="67"/>
    </row>
    <row r="26" spans="1:19" s="440" customFormat="1" ht="15.75" thickBot="1">
      <c r="A26" s="672" t="s">
        <v>830</v>
      </c>
      <c r="B26" s="784"/>
      <c r="C26" s="779">
        <f>SUM(C24:C25)</f>
        <v>2310.3334999999997</v>
      </c>
      <c r="D26" s="779">
        <f t="shared" ref="D26:R26" si="2">SUM(D24:D25)</f>
        <v>0</v>
      </c>
      <c r="E26" s="779">
        <f t="shared" si="2"/>
        <v>1696.9445514502047</v>
      </c>
      <c r="F26" s="779">
        <f t="shared" si="2"/>
        <v>3.419013509808571</v>
      </c>
      <c r="G26" s="779">
        <f t="shared" si="2"/>
        <v>936.54678621658752</v>
      </c>
      <c r="H26" s="779">
        <f t="shared" si="2"/>
        <v>0</v>
      </c>
      <c r="I26" s="779">
        <f t="shared" si="2"/>
        <v>0</v>
      </c>
      <c r="J26" s="779">
        <f t="shared" si="2"/>
        <v>0</v>
      </c>
      <c r="K26" s="779">
        <f t="shared" si="2"/>
        <v>56.591365224923074</v>
      </c>
      <c r="L26" s="779">
        <f t="shared" si="2"/>
        <v>0</v>
      </c>
      <c r="M26" s="779">
        <f t="shared" si="2"/>
        <v>0</v>
      </c>
      <c r="N26" s="779">
        <f t="shared" si="2"/>
        <v>0</v>
      </c>
      <c r="O26" s="779">
        <f t="shared" si="2"/>
        <v>0</v>
      </c>
      <c r="P26" s="779">
        <f t="shared" si="2"/>
        <v>0</v>
      </c>
      <c r="Q26" s="779">
        <f t="shared" si="2"/>
        <v>0</v>
      </c>
      <c r="R26" s="779">
        <f t="shared" si="2"/>
        <v>5003.8352164015232</v>
      </c>
      <c r="S26" s="67"/>
    </row>
    <row r="27" spans="1:19" s="440" customFormat="1" ht="17.25" thickTop="1" thickBot="1">
      <c r="A27" s="673" t="s">
        <v>109</v>
      </c>
      <c r="B27" s="772"/>
      <c r="C27" s="674">
        <f ca="1">C22+C16+C26</f>
        <v>63388.853368901713</v>
      </c>
      <c r="D27" s="674">
        <f t="shared" ref="D27:R27" ca="1" si="3">D22+D16+D26</f>
        <v>0</v>
      </c>
      <c r="E27" s="674">
        <f t="shared" ca="1" si="3"/>
        <v>68949.730915664026</v>
      </c>
      <c r="F27" s="674">
        <f t="shared" si="3"/>
        <v>3011.1704902825372</v>
      </c>
      <c r="G27" s="674">
        <f t="shared" ca="1" si="3"/>
        <v>53817.332840873321</v>
      </c>
      <c r="H27" s="674">
        <f t="shared" si="3"/>
        <v>195851.72931947792</v>
      </c>
      <c r="I27" s="674">
        <f t="shared" si="3"/>
        <v>31199.608350767805</v>
      </c>
      <c r="J27" s="674">
        <f t="shared" si="3"/>
        <v>0</v>
      </c>
      <c r="K27" s="674">
        <f t="shared" si="3"/>
        <v>1190.0049494321986</v>
      </c>
      <c r="L27" s="674">
        <f t="shared" si="3"/>
        <v>0</v>
      </c>
      <c r="M27" s="674">
        <f t="shared" ca="1" si="3"/>
        <v>0</v>
      </c>
      <c r="N27" s="674">
        <f t="shared" si="3"/>
        <v>12305.896399969988</v>
      </c>
      <c r="O27" s="674">
        <f t="shared" ca="1" si="3"/>
        <v>8919.8535369408019</v>
      </c>
      <c r="P27" s="674">
        <f t="shared" si="3"/>
        <v>132.88333333333333</v>
      </c>
      <c r="Q27" s="674">
        <f t="shared" si="3"/>
        <v>381.33333333333337</v>
      </c>
      <c r="R27" s="674">
        <f t="shared" ca="1" si="3"/>
        <v>439148.396838977</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4554.0611188930907</v>
      </c>
      <c r="D40" s="983">
        <f ca="1">tertiair!C20</f>
        <v>0</v>
      </c>
      <c r="E40" s="983">
        <f ca="1">tertiair!D20</f>
        <v>3166.171259688826</v>
      </c>
      <c r="F40" s="983">
        <f>tertiair!E20</f>
        <v>51.675310411788885</v>
      </c>
      <c r="G40" s="983">
        <f ca="1">tertiair!F20</f>
        <v>802.99758210455661</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8574.9052710982633</v>
      </c>
    </row>
    <row r="41" spans="1:18">
      <c r="A41" s="789" t="s">
        <v>214</v>
      </c>
      <c r="B41" s="796"/>
      <c r="C41" s="983">
        <f ca="1">huishoudens!B12</f>
        <v>5954.3392720038264</v>
      </c>
      <c r="D41" s="983">
        <f ca="1">huishoudens!C12</f>
        <v>0</v>
      </c>
      <c r="E41" s="983">
        <f>huishoudens!D12</f>
        <v>9804.9603351431651</v>
      </c>
      <c r="F41" s="983">
        <f>huishoudens!E12</f>
        <v>336.52895326258113</v>
      </c>
      <c r="G41" s="983">
        <f>huishoudens!F12</f>
        <v>12487.176644746707</v>
      </c>
      <c r="H41" s="983">
        <f>huishoudens!G12</f>
        <v>0</v>
      </c>
      <c r="I41" s="983">
        <f>huishoudens!H12</f>
        <v>0</v>
      </c>
      <c r="J41" s="983">
        <f>huishoudens!I12</f>
        <v>0</v>
      </c>
      <c r="K41" s="983">
        <f>huishoudens!J12</f>
        <v>386.08603978540731</v>
      </c>
      <c r="L41" s="983">
        <f>huishoudens!K12</f>
        <v>0</v>
      </c>
      <c r="M41" s="983">
        <f>huishoudens!L12</f>
        <v>0</v>
      </c>
      <c r="N41" s="983">
        <f>huishoudens!M12</f>
        <v>0</v>
      </c>
      <c r="O41" s="983">
        <f>huishoudens!N12</f>
        <v>0</v>
      </c>
      <c r="P41" s="983">
        <f>huishoudens!O12</f>
        <v>0</v>
      </c>
      <c r="Q41" s="741">
        <f>huishoudens!P12</f>
        <v>0</v>
      </c>
      <c r="R41" s="817">
        <f t="shared" ca="1" si="4"/>
        <v>28969.09124494169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2157.3095842308553</v>
      </c>
      <c r="D43" s="983">
        <f ca="1">industrie!C22</f>
        <v>0</v>
      </c>
      <c r="E43" s="983">
        <f>industrie!D22</f>
        <v>603.27769395919245</v>
      </c>
      <c r="F43" s="983">
        <f>industrie!E22</f>
        <v>162.63207181885821</v>
      </c>
      <c r="G43" s="983">
        <f>industrie!F22</f>
        <v>828.9956497420842</v>
      </c>
      <c r="H43" s="983">
        <f>industrie!G22</f>
        <v>0</v>
      </c>
      <c r="I43" s="983">
        <f>industrie!H22</f>
        <v>0</v>
      </c>
      <c r="J43" s="983">
        <f>industrie!I22</f>
        <v>0</v>
      </c>
      <c r="K43" s="983">
        <f>industrie!J22</f>
        <v>15.142369023968161</v>
      </c>
      <c r="L43" s="983">
        <f>industrie!K22</f>
        <v>0</v>
      </c>
      <c r="M43" s="983">
        <f>industrie!L22</f>
        <v>0</v>
      </c>
      <c r="N43" s="983">
        <f>industrie!M22</f>
        <v>0</v>
      </c>
      <c r="O43" s="983">
        <f>industrie!N22</f>
        <v>0</v>
      </c>
      <c r="P43" s="983">
        <f>industrie!O22</f>
        <v>0</v>
      </c>
      <c r="Q43" s="741">
        <f>industrie!P22</f>
        <v>0</v>
      </c>
      <c r="R43" s="816">
        <f t="shared" ca="1" si="4"/>
        <v>3767.3573687749586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12665.709975127773</v>
      </c>
      <c r="D46" s="699">
        <f t="shared" ref="D46:Q46" ca="1" si="5">SUM(D39:D45)</f>
        <v>0</v>
      </c>
      <c r="E46" s="699">
        <f t="shared" ca="1" si="5"/>
        <v>13574.409288791185</v>
      </c>
      <c r="F46" s="699">
        <f t="shared" si="5"/>
        <v>550.83633549322826</v>
      </c>
      <c r="G46" s="699">
        <f t="shared" ca="1" si="5"/>
        <v>14119.169876593349</v>
      </c>
      <c r="H46" s="699">
        <f t="shared" si="5"/>
        <v>0</v>
      </c>
      <c r="I46" s="699">
        <f t="shared" si="5"/>
        <v>0</v>
      </c>
      <c r="J46" s="699">
        <f t="shared" si="5"/>
        <v>0</v>
      </c>
      <c r="K46" s="699">
        <f t="shared" si="5"/>
        <v>401.22840880937548</v>
      </c>
      <c r="L46" s="699">
        <f t="shared" si="5"/>
        <v>0</v>
      </c>
      <c r="M46" s="699">
        <f t="shared" ca="1" si="5"/>
        <v>0</v>
      </c>
      <c r="N46" s="699">
        <f t="shared" si="5"/>
        <v>0</v>
      </c>
      <c r="O46" s="699">
        <f t="shared" ca="1" si="5"/>
        <v>0</v>
      </c>
      <c r="P46" s="699">
        <f t="shared" si="5"/>
        <v>0</v>
      </c>
      <c r="Q46" s="699">
        <f t="shared" si="5"/>
        <v>0</v>
      </c>
      <c r="R46" s="699">
        <f ca="1">SUM(R39:R45)</f>
        <v>41311.353884814911</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1.8907480311270803</v>
      </c>
      <c r="D49" s="983">
        <f ca="1">transport!C58</f>
        <v>0</v>
      </c>
      <c r="E49" s="983">
        <f>transport!D58</f>
        <v>0</v>
      </c>
      <c r="F49" s="983">
        <f>transport!E58</f>
        <v>0</v>
      </c>
      <c r="G49" s="983">
        <f>transport!F58</f>
        <v>0</v>
      </c>
      <c r="H49" s="983">
        <f>transport!G58</f>
        <v>460.96494561327512</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462.85569364440221</v>
      </c>
    </row>
    <row r="50" spans="1:18">
      <c r="A50" s="792" t="s">
        <v>296</v>
      </c>
      <c r="B50" s="802"/>
      <c r="C50" s="670">
        <f ca="1">transport!B18</f>
        <v>7.2979192099220489</v>
      </c>
      <c r="D50" s="670">
        <f>transport!C18</f>
        <v>0</v>
      </c>
      <c r="E50" s="670">
        <f>transport!D18</f>
        <v>10.653556780008778</v>
      </c>
      <c r="F50" s="670">
        <f>transport!E18</f>
        <v>131.92324973418116</v>
      </c>
      <c r="G50" s="670">
        <f>transport!F18</f>
        <v>0</v>
      </c>
      <c r="H50" s="670">
        <f>transport!G18</f>
        <v>51831.446782687337</v>
      </c>
      <c r="I50" s="670">
        <f>transport!H18</f>
        <v>7768.7024793411838</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59750.023987752633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9.1886672410491297</v>
      </c>
      <c r="D52" s="699">
        <f t="shared" ref="D52:Q52" ca="1" si="6">SUM(D48:D51)</f>
        <v>0</v>
      </c>
      <c r="E52" s="699">
        <f t="shared" si="6"/>
        <v>10.653556780008778</v>
      </c>
      <c r="F52" s="699">
        <f t="shared" si="6"/>
        <v>131.92324973418116</v>
      </c>
      <c r="G52" s="699">
        <f t="shared" si="6"/>
        <v>0</v>
      </c>
      <c r="H52" s="699">
        <f t="shared" si="6"/>
        <v>52292.411728300613</v>
      </c>
      <c r="I52" s="699">
        <f t="shared" si="6"/>
        <v>7768.7024793411838</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60212.879681397033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76.600638958724105</v>
      </c>
      <c r="D54" s="670">
        <f ca="1">+landbouw!C12</f>
        <v>0</v>
      </c>
      <c r="E54" s="670">
        <f>+landbouw!D12</f>
        <v>20.58480245708261</v>
      </c>
      <c r="F54" s="670">
        <f>+landbouw!E12</f>
        <v>0.77611606672654565</v>
      </c>
      <c r="G54" s="670">
        <f>+landbouw!F12</f>
        <v>250.05799191982888</v>
      </c>
      <c r="H54" s="670">
        <f>+landbouw!G12</f>
        <v>0</v>
      </c>
      <c r="I54" s="670">
        <f>+landbouw!H12</f>
        <v>0</v>
      </c>
      <c r="J54" s="670">
        <f>+landbouw!I12</f>
        <v>0</v>
      </c>
      <c r="K54" s="670">
        <f>+landbouw!J12</f>
        <v>20.033343289622767</v>
      </c>
      <c r="L54" s="670">
        <f>+landbouw!K12</f>
        <v>0</v>
      </c>
      <c r="M54" s="670">
        <f>+landbouw!L12</f>
        <v>0</v>
      </c>
      <c r="N54" s="670">
        <f>+landbouw!M12</f>
        <v>0</v>
      </c>
      <c r="O54" s="670">
        <f>+landbouw!N12</f>
        <v>0</v>
      </c>
      <c r="P54" s="670">
        <f>+landbouw!O12</f>
        <v>0</v>
      </c>
      <c r="Q54" s="671">
        <f>+landbouw!P12</f>
        <v>0</v>
      </c>
      <c r="R54" s="698">
        <f ca="1">SUM(C54:Q54)</f>
        <v>368.05289269198494</v>
      </c>
    </row>
    <row r="55" spans="1:18" ht="15" thickBot="1">
      <c r="A55" s="792" t="s">
        <v>829</v>
      </c>
      <c r="B55" s="802"/>
      <c r="C55" s="670">
        <f ca="1">C25*'EF ele_warmte'!B12</f>
        <v>402.83538872207839</v>
      </c>
      <c r="D55" s="670"/>
      <c r="E55" s="670">
        <f>E25*EF_CO2_aardgas</f>
        <v>322.19799693585873</v>
      </c>
      <c r="F55" s="670"/>
      <c r="G55" s="670"/>
      <c r="H55" s="670"/>
      <c r="I55" s="670"/>
      <c r="J55" s="670"/>
      <c r="K55" s="670"/>
      <c r="L55" s="670"/>
      <c r="M55" s="670"/>
      <c r="N55" s="670"/>
      <c r="O55" s="670"/>
      <c r="P55" s="670"/>
      <c r="Q55" s="671"/>
      <c r="R55" s="698">
        <f ca="1">SUM(C55:Q55)</f>
        <v>725.03338565793706</v>
      </c>
    </row>
    <row r="56" spans="1:18" ht="15.75" thickBot="1">
      <c r="A56" s="790" t="s">
        <v>830</v>
      </c>
      <c r="B56" s="803"/>
      <c r="C56" s="699">
        <f ca="1">SUM(C54:C55)</f>
        <v>479.43602768080251</v>
      </c>
      <c r="D56" s="699">
        <f t="shared" ref="D56:Q56" ca="1" si="7">SUM(D54:D55)</f>
        <v>0</v>
      </c>
      <c r="E56" s="699">
        <f t="shared" si="7"/>
        <v>342.78279939294134</v>
      </c>
      <c r="F56" s="699">
        <f t="shared" si="7"/>
        <v>0.77611606672654565</v>
      </c>
      <c r="G56" s="699">
        <f t="shared" si="7"/>
        <v>250.05799191982888</v>
      </c>
      <c r="H56" s="699">
        <f t="shared" si="7"/>
        <v>0</v>
      </c>
      <c r="I56" s="699">
        <f t="shared" si="7"/>
        <v>0</v>
      </c>
      <c r="J56" s="699">
        <f t="shared" si="7"/>
        <v>0</v>
      </c>
      <c r="K56" s="699">
        <f t="shared" si="7"/>
        <v>20.033343289622767</v>
      </c>
      <c r="L56" s="699">
        <f t="shared" si="7"/>
        <v>0</v>
      </c>
      <c r="M56" s="699">
        <f t="shared" si="7"/>
        <v>0</v>
      </c>
      <c r="N56" s="699">
        <f t="shared" si="7"/>
        <v>0</v>
      </c>
      <c r="O56" s="699">
        <f t="shared" si="7"/>
        <v>0</v>
      </c>
      <c r="P56" s="699">
        <f t="shared" si="7"/>
        <v>0</v>
      </c>
      <c r="Q56" s="700">
        <f t="shared" si="7"/>
        <v>0</v>
      </c>
      <c r="R56" s="701">
        <f ca="1">SUM(R54:R55)</f>
        <v>1093.0862783499219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13154.334670049624</v>
      </c>
      <c r="D61" s="707">
        <f t="shared" ref="D61:Q61" ca="1" si="8">D46+D52+D56</f>
        <v>0</v>
      </c>
      <c r="E61" s="707">
        <f t="shared" ca="1" si="8"/>
        <v>13927.845644964134</v>
      </c>
      <c r="F61" s="707">
        <f t="shared" si="8"/>
        <v>683.53570129413595</v>
      </c>
      <c r="G61" s="707">
        <f t="shared" ca="1" si="8"/>
        <v>14369.227868513177</v>
      </c>
      <c r="H61" s="707">
        <f t="shared" si="8"/>
        <v>52292.411728300613</v>
      </c>
      <c r="I61" s="707">
        <f t="shared" si="8"/>
        <v>7768.7024793411838</v>
      </c>
      <c r="J61" s="707">
        <f t="shared" si="8"/>
        <v>0</v>
      </c>
      <c r="K61" s="707">
        <f t="shared" si="8"/>
        <v>421.26175209899827</v>
      </c>
      <c r="L61" s="707">
        <f t="shared" si="8"/>
        <v>0</v>
      </c>
      <c r="M61" s="707">
        <f t="shared" ca="1" si="8"/>
        <v>0</v>
      </c>
      <c r="N61" s="707">
        <f t="shared" si="8"/>
        <v>0</v>
      </c>
      <c r="O61" s="707">
        <f t="shared" ca="1" si="8"/>
        <v>0</v>
      </c>
      <c r="P61" s="707">
        <f t="shared" si="8"/>
        <v>0</v>
      </c>
      <c r="Q61" s="707">
        <f t="shared" si="8"/>
        <v>0</v>
      </c>
      <c r="R61" s="707">
        <f ca="1">R46+R52+R56</f>
        <v>102617.31984456186</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0.20751810406627549</v>
      </c>
      <c r="D63" s="748">
        <f t="shared" ca="1" si="9"/>
        <v>0</v>
      </c>
      <c r="E63" s="994">
        <f t="shared" ca="1" si="9"/>
        <v>0.20200000000000001</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3866.9770338355443</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3866.9770338355443</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28693.107518475481</v>
      </c>
      <c r="C4" s="444">
        <f>huishoudens!C8</f>
        <v>0</v>
      </c>
      <c r="D4" s="444">
        <f>huishoudens!D8</f>
        <v>48539.407599718637</v>
      </c>
      <c r="E4" s="444">
        <f>huishoudens!E8</f>
        <v>1482.5064020378022</v>
      </c>
      <c r="F4" s="444">
        <f>huishoudens!F8</f>
        <v>46768.451852983919</v>
      </c>
      <c r="G4" s="444">
        <f>huishoudens!G8</f>
        <v>0</v>
      </c>
      <c r="H4" s="444">
        <f>huishoudens!H8</f>
        <v>0</v>
      </c>
      <c r="I4" s="444">
        <f>huishoudens!I8</f>
        <v>0</v>
      </c>
      <c r="J4" s="444">
        <f>huishoudens!J8</f>
        <v>1090.6385304672524</v>
      </c>
      <c r="K4" s="444">
        <f>huishoudens!K8</f>
        <v>0</v>
      </c>
      <c r="L4" s="444">
        <f>huishoudens!L8</f>
        <v>0</v>
      </c>
      <c r="M4" s="444">
        <f>huishoudens!M8</f>
        <v>0</v>
      </c>
      <c r="N4" s="444">
        <f>huishoudens!N8</f>
        <v>7279.6025782628894</v>
      </c>
      <c r="O4" s="444">
        <f>huishoudens!O8</f>
        <v>132.88333333333333</v>
      </c>
      <c r="P4" s="445">
        <f>huishoudens!P8</f>
        <v>381.33333333333337</v>
      </c>
      <c r="Q4" s="446">
        <f>SUM(B4:P4)</f>
        <v>134367.93114861267</v>
      </c>
    </row>
    <row r="5" spans="1:17">
      <c r="A5" s="443" t="s">
        <v>149</v>
      </c>
      <c r="B5" s="444">
        <f ca="1">tertiair!B16</f>
        <v>21038.825799999999</v>
      </c>
      <c r="C5" s="444">
        <f ca="1">tertiair!C16</f>
        <v>0</v>
      </c>
      <c r="D5" s="444">
        <f ca="1">tertiair!D16</f>
        <v>15674.115146974385</v>
      </c>
      <c r="E5" s="444">
        <f>tertiair!E16</f>
        <v>227.64453925898187</v>
      </c>
      <c r="F5" s="444">
        <f ca="1">tertiair!F16</f>
        <v>3007.4815809159422</v>
      </c>
      <c r="G5" s="444">
        <f>tertiair!G16</f>
        <v>0</v>
      </c>
      <c r="H5" s="444">
        <f>tertiair!H16</f>
        <v>0</v>
      </c>
      <c r="I5" s="444">
        <f>tertiair!I16</f>
        <v>0</v>
      </c>
      <c r="J5" s="444">
        <f>tertiair!J16</f>
        <v>0</v>
      </c>
      <c r="K5" s="444">
        <f>tertiair!K16</f>
        <v>0</v>
      </c>
      <c r="L5" s="444">
        <f ca="1">tertiair!L16</f>
        <v>0</v>
      </c>
      <c r="M5" s="444">
        <f>tertiair!M16</f>
        <v>0</v>
      </c>
      <c r="N5" s="444">
        <f ca="1">tertiair!N16</f>
        <v>982.02896683064876</v>
      </c>
      <c r="O5" s="444">
        <f>tertiair!O16</f>
        <v>0</v>
      </c>
      <c r="P5" s="445">
        <f>tertiair!P16</f>
        <v>0</v>
      </c>
      <c r="Q5" s="443">
        <f t="shared" ref="Q5:Q14" ca="1" si="0">SUM(B5:P5)</f>
        <v>40930.096033979957</v>
      </c>
    </row>
    <row r="6" spans="1:17">
      <c r="A6" s="443" t="s">
        <v>187</v>
      </c>
      <c r="B6" s="444">
        <f>'openbare verlichting'!B8</f>
        <v>906.54200000000003</v>
      </c>
      <c r="C6" s="444"/>
      <c r="D6" s="444"/>
      <c r="E6" s="444"/>
      <c r="F6" s="444"/>
      <c r="G6" s="444"/>
      <c r="H6" s="444"/>
      <c r="I6" s="444"/>
      <c r="J6" s="444"/>
      <c r="K6" s="444"/>
      <c r="L6" s="444"/>
      <c r="M6" s="444"/>
      <c r="N6" s="444"/>
      <c r="O6" s="444"/>
      <c r="P6" s="445"/>
      <c r="Q6" s="443">
        <f t="shared" si="0"/>
        <v>906.54200000000003</v>
      </c>
    </row>
    <row r="7" spans="1:17">
      <c r="A7" s="443" t="s">
        <v>105</v>
      </c>
      <c r="B7" s="444">
        <f>landbouw!B8</f>
        <v>369.1275</v>
      </c>
      <c r="C7" s="444">
        <f>landbouw!C8</f>
        <v>0</v>
      </c>
      <c r="D7" s="444">
        <f>landbouw!D8</f>
        <v>101.9049626588248</v>
      </c>
      <c r="E7" s="444">
        <f>landbouw!E8</f>
        <v>3.419013509808571</v>
      </c>
      <c r="F7" s="444">
        <f>landbouw!F8</f>
        <v>936.54678621658752</v>
      </c>
      <c r="G7" s="444">
        <f>landbouw!G8</f>
        <v>0</v>
      </c>
      <c r="H7" s="444">
        <f>landbouw!H8</f>
        <v>0</v>
      </c>
      <c r="I7" s="444">
        <f>landbouw!I8</f>
        <v>0</v>
      </c>
      <c r="J7" s="444">
        <f>landbouw!J8</f>
        <v>56.591365224923074</v>
      </c>
      <c r="K7" s="444">
        <f>landbouw!K8</f>
        <v>0</v>
      </c>
      <c r="L7" s="444">
        <f>landbouw!L8</f>
        <v>0</v>
      </c>
      <c r="M7" s="444">
        <f>landbouw!M8</f>
        <v>0</v>
      </c>
      <c r="N7" s="444">
        <f>landbouw!N8</f>
        <v>0</v>
      </c>
      <c r="O7" s="444">
        <f>landbouw!O8</f>
        <v>0</v>
      </c>
      <c r="P7" s="445">
        <f>landbouw!P8</f>
        <v>0</v>
      </c>
      <c r="Q7" s="443">
        <f t="shared" si="0"/>
        <v>1467.5896276101439</v>
      </c>
    </row>
    <row r="8" spans="1:17">
      <c r="A8" s="443" t="s">
        <v>637</v>
      </c>
      <c r="B8" s="444">
        <f>industrie!B18</f>
        <v>10395.76568</v>
      </c>
      <c r="C8" s="444">
        <f>industrie!C18</f>
        <v>0</v>
      </c>
      <c r="D8" s="444">
        <f>industrie!D18</f>
        <v>2986.5232374217449</v>
      </c>
      <c r="E8" s="444">
        <f>industrie!E18</f>
        <v>716.44084501699649</v>
      </c>
      <c r="F8" s="444">
        <f>industrie!F18</f>
        <v>3104.8526207568693</v>
      </c>
      <c r="G8" s="444">
        <f>industrie!G18</f>
        <v>0</v>
      </c>
      <c r="H8" s="444">
        <f>industrie!H18</f>
        <v>0</v>
      </c>
      <c r="I8" s="444">
        <f>industrie!I18</f>
        <v>0</v>
      </c>
      <c r="J8" s="444">
        <f>industrie!J18</f>
        <v>42.775053740023054</v>
      </c>
      <c r="K8" s="444">
        <f>industrie!K18</f>
        <v>0</v>
      </c>
      <c r="L8" s="444">
        <f>industrie!L18</f>
        <v>0</v>
      </c>
      <c r="M8" s="444">
        <f>industrie!M18</f>
        <v>0</v>
      </c>
      <c r="N8" s="444">
        <f>industrie!N18</f>
        <v>658.22199184726378</v>
      </c>
      <c r="O8" s="444">
        <f>industrie!O18</f>
        <v>0</v>
      </c>
      <c r="P8" s="445">
        <f>industrie!P18</f>
        <v>0</v>
      </c>
      <c r="Q8" s="443">
        <f t="shared" si="0"/>
        <v>17904.579428782898</v>
      </c>
    </row>
    <row r="9" spans="1:17" s="449" customFormat="1">
      <c r="A9" s="447" t="s">
        <v>558</v>
      </c>
      <c r="B9" s="448">
        <f>transport!B14</f>
        <v>35.167626664473076</v>
      </c>
      <c r="C9" s="448">
        <f>transport!C14</f>
        <v>0</v>
      </c>
      <c r="D9" s="448">
        <f>transport!D14</f>
        <v>52.740380099053354</v>
      </c>
      <c r="E9" s="448">
        <f>transport!E14</f>
        <v>581.15969045894781</v>
      </c>
      <c r="F9" s="448">
        <f>transport!F14</f>
        <v>0</v>
      </c>
      <c r="G9" s="448">
        <f>transport!G14</f>
        <v>194125.26884901623</v>
      </c>
      <c r="H9" s="448">
        <f>transport!H14</f>
        <v>31199.608350767805</v>
      </c>
      <c r="I9" s="448">
        <f>transport!I14</f>
        <v>0</v>
      </c>
      <c r="J9" s="448">
        <f>transport!J14</f>
        <v>0</v>
      </c>
      <c r="K9" s="448">
        <f>transport!K14</f>
        <v>0</v>
      </c>
      <c r="L9" s="448">
        <f>transport!L14</f>
        <v>0</v>
      </c>
      <c r="M9" s="448">
        <f>transport!M14</f>
        <v>12206.507461421543</v>
      </c>
      <c r="N9" s="448">
        <f>transport!N14</f>
        <v>0</v>
      </c>
      <c r="O9" s="448">
        <f>transport!O14</f>
        <v>0</v>
      </c>
      <c r="P9" s="448">
        <f>transport!P14</f>
        <v>0</v>
      </c>
      <c r="Q9" s="447">
        <f>SUM(B9:P9)</f>
        <v>238200.45235842804</v>
      </c>
    </row>
    <row r="10" spans="1:17">
      <c r="A10" s="443" t="s">
        <v>548</v>
      </c>
      <c r="B10" s="444">
        <f>transport!B54</f>
        <v>9.1112437617646513</v>
      </c>
      <c r="C10" s="444">
        <f>transport!C54</f>
        <v>0</v>
      </c>
      <c r="D10" s="444">
        <f>transport!D54</f>
        <v>0</v>
      </c>
      <c r="E10" s="444">
        <f>transport!E54</f>
        <v>0</v>
      </c>
      <c r="F10" s="444">
        <f>transport!F54</f>
        <v>0</v>
      </c>
      <c r="G10" s="444">
        <f>transport!G54</f>
        <v>1726.4604704617045</v>
      </c>
      <c r="H10" s="444">
        <f>transport!H54</f>
        <v>0</v>
      </c>
      <c r="I10" s="444">
        <f>transport!I54</f>
        <v>0</v>
      </c>
      <c r="J10" s="444">
        <f>transport!J54</f>
        <v>0</v>
      </c>
      <c r="K10" s="444">
        <f>transport!K54</f>
        <v>0</v>
      </c>
      <c r="L10" s="444">
        <f>transport!L54</f>
        <v>0</v>
      </c>
      <c r="M10" s="444">
        <f>transport!M54</f>
        <v>99.388938548445424</v>
      </c>
      <c r="N10" s="444">
        <f>transport!N54</f>
        <v>0</v>
      </c>
      <c r="O10" s="444">
        <f>transport!O54</f>
        <v>0</v>
      </c>
      <c r="P10" s="445">
        <f>transport!P54</f>
        <v>0</v>
      </c>
      <c r="Q10" s="443">
        <f t="shared" si="0"/>
        <v>1834.9606527719145</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1941.2059999999999</v>
      </c>
      <c r="C14" s="451"/>
      <c r="D14" s="451">
        <f>'SEAP template'!E25</f>
        <v>1595.0395887913799</v>
      </c>
      <c r="E14" s="451"/>
      <c r="F14" s="451"/>
      <c r="G14" s="451"/>
      <c r="H14" s="451"/>
      <c r="I14" s="451"/>
      <c r="J14" s="451"/>
      <c r="K14" s="451"/>
      <c r="L14" s="451"/>
      <c r="M14" s="451"/>
      <c r="N14" s="451"/>
      <c r="O14" s="451"/>
      <c r="P14" s="452"/>
      <c r="Q14" s="443">
        <f t="shared" si="0"/>
        <v>3536.2455887913798</v>
      </c>
    </row>
    <row r="15" spans="1:17" s="453" customFormat="1">
      <c r="A15" s="1009" t="s">
        <v>552</v>
      </c>
      <c r="B15" s="949">
        <f ca="1">SUM(B4:B14)</f>
        <v>63388.853368901713</v>
      </c>
      <c r="C15" s="949">
        <f t="shared" ref="C15:Q15" ca="1" si="1">SUM(C4:C14)</f>
        <v>0</v>
      </c>
      <c r="D15" s="949">
        <f t="shared" ca="1" si="1"/>
        <v>68949.730915664026</v>
      </c>
      <c r="E15" s="949">
        <f t="shared" si="1"/>
        <v>3011.1704902825368</v>
      </c>
      <c r="F15" s="949">
        <f t="shared" ca="1" si="1"/>
        <v>53817.332840873321</v>
      </c>
      <c r="G15" s="949">
        <f t="shared" si="1"/>
        <v>195851.72931947792</v>
      </c>
      <c r="H15" s="949">
        <f t="shared" si="1"/>
        <v>31199.608350767805</v>
      </c>
      <c r="I15" s="949">
        <f t="shared" si="1"/>
        <v>0</v>
      </c>
      <c r="J15" s="949">
        <f t="shared" si="1"/>
        <v>1190.0049494321984</v>
      </c>
      <c r="K15" s="949">
        <f t="shared" si="1"/>
        <v>0</v>
      </c>
      <c r="L15" s="949">
        <f t="shared" ca="1" si="1"/>
        <v>0</v>
      </c>
      <c r="M15" s="949">
        <f t="shared" si="1"/>
        <v>12305.896399969988</v>
      </c>
      <c r="N15" s="949">
        <f t="shared" ca="1" si="1"/>
        <v>8919.8535369408019</v>
      </c>
      <c r="O15" s="949">
        <f t="shared" si="1"/>
        <v>132.88333333333333</v>
      </c>
      <c r="P15" s="949">
        <f t="shared" si="1"/>
        <v>381.33333333333337</v>
      </c>
      <c r="Q15" s="949">
        <f t="shared" ca="1" si="1"/>
        <v>439148.396838977</v>
      </c>
    </row>
    <row r="17" spans="1:17">
      <c r="A17" s="454" t="s">
        <v>553</v>
      </c>
      <c r="B17" s="753">
        <f ca="1">huishoudens!B10</f>
        <v>0.20751810406627549</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5954.3392720038264</v>
      </c>
      <c r="C22" s="444">
        <f t="shared" ref="C22:C32" ca="1" si="3">C4*$C$17</f>
        <v>0</v>
      </c>
      <c r="D22" s="444">
        <f t="shared" ref="D22:D32" si="4">D4*$D$17</f>
        <v>9804.9603351431651</v>
      </c>
      <c r="E22" s="444">
        <f t="shared" ref="E22:E32" si="5">E4*$E$17</f>
        <v>336.52895326258113</v>
      </c>
      <c r="F22" s="444">
        <f t="shared" ref="F22:F32" si="6">F4*$F$17</f>
        <v>12487.176644746707</v>
      </c>
      <c r="G22" s="444">
        <f t="shared" ref="G22:G32" si="7">G4*$G$17</f>
        <v>0</v>
      </c>
      <c r="H22" s="444">
        <f t="shared" ref="H22:H32" si="8">H4*$H$17</f>
        <v>0</v>
      </c>
      <c r="I22" s="444">
        <f t="shared" ref="I22:I32" si="9">I4*$I$17</f>
        <v>0</v>
      </c>
      <c r="J22" s="444">
        <f t="shared" ref="J22:J32" si="10">J4*$J$17</f>
        <v>386.08603978540731</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28969.09124494169</v>
      </c>
    </row>
    <row r="23" spans="1:17">
      <c r="A23" s="443" t="s">
        <v>149</v>
      </c>
      <c r="B23" s="444">
        <f t="shared" ca="1" si="2"/>
        <v>4365.9372417966415</v>
      </c>
      <c r="C23" s="444">
        <f t="shared" ca="1" si="3"/>
        <v>0</v>
      </c>
      <c r="D23" s="444">
        <f t="shared" ca="1" si="4"/>
        <v>3166.171259688826</v>
      </c>
      <c r="E23" s="444">
        <f t="shared" si="5"/>
        <v>51.675310411788885</v>
      </c>
      <c r="F23" s="444">
        <f t="shared" ca="1" si="6"/>
        <v>802.99758210455661</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8386.7813940018132</v>
      </c>
    </row>
    <row r="24" spans="1:17">
      <c r="A24" s="443" t="s">
        <v>187</v>
      </c>
      <c r="B24" s="444">
        <f t="shared" ca="1" si="2"/>
        <v>188.12387709644952</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188.12387709644952</v>
      </c>
    </row>
    <row r="25" spans="1:17">
      <c r="A25" s="443" t="s">
        <v>105</v>
      </c>
      <c r="B25" s="444">
        <f t="shared" ca="1" si="2"/>
        <v>76.600638958724105</v>
      </c>
      <c r="C25" s="444">
        <f t="shared" ca="1" si="3"/>
        <v>0</v>
      </c>
      <c r="D25" s="444">
        <f t="shared" si="4"/>
        <v>20.58480245708261</v>
      </c>
      <c r="E25" s="444">
        <f t="shared" si="5"/>
        <v>0.77611606672654565</v>
      </c>
      <c r="F25" s="444">
        <f t="shared" si="6"/>
        <v>250.05799191982888</v>
      </c>
      <c r="G25" s="444">
        <f t="shared" si="7"/>
        <v>0</v>
      </c>
      <c r="H25" s="444">
        <f t="shared" si="8"/>
        <v>0</v>
      </c>
      <c r="I25" s="444">
        <f t="shared" si="9"/>
        <v>0</v>
      </c>
      <c r="J25" s="444">
        <f t="shared" si="10"/>
        <v>20.033343289622767</v>
      </c>
      <c r="K25" s="444">
        <f t="shared" si="11"/>
        <v>0</v>
      </c>
      <c r="L25" s="444">
        <f t="shared" si="12"/>
        <v>0</v>
      </c>
      <c r="M25" s="444">
        <f t="shared" si="13"/>
        <v>0</v>
      </c>
      <c r="N25" s="444">
        <f t="shared" si="14"/>
        <v>0</v>
      </c>
      <c r="O25" s="444">
        <f t="shared" si="15"/>
        <v>0</v>
      </c>
      <c r="P25" s="445">
        <f t="shared" si="16"/>
        <v>0</v>
      </c>
      <c r="Q25" s="443">
        <f t="shared" ca="1" si="17"/>
        <v>368.05289269198494</v>
      </c>
    </row>
    <row r="26" spans="1:17">
      <c r="A26" s="443" t="s">
        <v>637</v>
      </c>
      <c r="B26" s="444">
        <f t="shared" ca="1" si="2"/>
        <v>2157.3095842308553</v>
      </c>
      <c r="C26" s="444">
        <f t="shared" ca="1" si="3"/>
        <v>0</v>
      </c>
      <c r="D26" s="444">
        <f t="shared" si="4"/>
        <v>603.27769395919245</v>
      </c>
      <c r="E26" s="444">
        <f t="shared" si="5"/>
        <v>162.63207181885821</v>
      </c>
      <c r="F26" s="444">
        <f t="shared" si="6"/>
        <v>828.9956497420842</v>
      </c>
      <c r="G26" s="444">
        <f t="shared" si="7"/>
        <v>0</v>
      </c>
      <c r="H26" s="444">
        <f t="shared" si="8"/>
        <v>0</v>
      </c>
      <c r="I26" s="444">
        <f t="shared" si="9"/>
        <v>0</v>
      </c>
      <c r="J26" s="444">
        <f t="shared" si="10"/>
        <v>15.142369023968161</v>
      </c>
      <c r="K26" s="444">
        <f t="shared" si="11"/>
        <v>0</v>
      </c>
      <c r="L26" s="444">
        <f t="shared" si="12"/>
        <v>0</v>
      </c>
      <c r="M26" s="444">
        <f t="shared" si="13"/>
        <v>0</v>
      </c>
      <c r="N26" s="444">
        <f t="shared" si="14"/>
        <v>0</v>
      </c>
      <c r="O26" s="444">
        <f t="shared" si="15"/>
        <v>0</v>
      </c>
      <c r="P26" s="445">
        <f t="shared" si="16"/>
        <v>0</v>
      </c>
      <c r="Q26" s="443">
        <f t="shared" ca="1" si="17"/>
        <v>3767.3573687749586</v>
      </c>
    </row>
    <row r="27" spans="1:17" s="449" customFormat="1">
      <c r="A27" s="447" t="s">
        <v>558</v>
      </c>
      <c r="B27" s="747">
        <f t="shared" ca="1" si="2"/>
        <v>7.2979192099220489</v>
      </c>
      <c r="C27" s="448">
        <f t="shared" ca="1" si="3"/>
        <v>0</v>
      </c>
      <c r="D27" s="448">
        <f t="shared" si="4"/>
        <v>10.653556780008778</v>
      </c>
      <c r="E27" s="448">
        <f t="shared" si="5"/>
        <v>131.92324973418116</v>
      </c>
      <c r="F27" s="448">
        <f t="shared" si="6"/>
        <v>0</v>
      </c>
      <c r="G27" s="448">
        <f t="shared" si="7"/>
        <v>51831.446782687337</v>
      </c>
      <c r="H27" s="448">
        <f t="shared" si="8"/>
        <v>7768.7024793411838</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59750.023987752633</v>
      </c>
    </row>
    <row r="28" spans="1:17">
      <c r="A28" s="443" t="s">
        <v>548</v>
      </c>
      <c r="B28" s="444">
        <f t="shared" ca="1" si="2"/>
        <v>1.8907480311270803</v>
      </c>
      <c r="C28" s="444">
        <f t="shared" ca="1" si="3"/>
        <v>0</v>
      </c>
      <c r="D28" s="444">
        <f t="shared" si="4"/>
        <v>0</v>
      </c>
      <c r="E28" s="444">
        <f t="shared" si="5"/>
        <v>0</v>
      </c>
      <c r="F28" s="444">
        <f t="shared" si="6"/>
        <v>0</v>
      </c>
      <c r="G28" s="444">
        <f t="shared" si="7"/>
        <v>460.96494561327512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462.85569364440221</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402.83538872207839</v>
      </c>
      <c r="C32" s="444">
        <f t="shared" ca="1" si="3"/>
        <v>0</v>
      </c>
      <c r="D32" s="444">
        <f t="shared" si="4"/>
        <v>322.19799693585873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725.03338565793706</v>
      </c>
    </row>
    <row r="33" spans="1:17" s="453" customFormat="1">
      <c r="A33" s="1009" t="s">
        <v>552</v>
      </c>
      <c r="B33" s="949">
        <f ca="1">SUM(B22:B32)</f>
        <v>13154.334670049626</v>
      </c>
      <c r="C33" s="949">
        <f t="shared" ref="C33:Q33" ca="1" si="18">SUM(C22:C32)</f>
        <v>0</v>
      </c>
      <c r="D33" s="949">
        <f t="shared" ca="1" si="18"/>
        <v>13927.845644964134</v>
      </c>
      <c r="E33" s="949">
        <f t="shared" si="18"/>
        <v>683.53570129413583</v>
      </c>
      <c r="F33" s="949">
        <f t="shared" ca="1" si="18"/>
        <v>14369.227868513177</v>
      </c>
      <c r="G33" s="949">
        <f t="shared" si="18"/>
        <v>52292.411728300613</v>
      </c>
      <c r="H33" s="949">
        <f t="shared" si="18"/>
        <v>7768.7024793411838</v>
      </c>
      <c r="I33" s="949">
        <f t="shared" si="18"/>
        <v>0</v>
      </c>
      <c r="J33" s="949">
        <f t="shared" si="18"/>
        <v>421.26175209899827</v>
      </c>
      <c r="K33" s="949">
        <f t="shared" si="18"/>
        <v>0</v>
      </c>
      <c r="L33" s="949">
        <f t="shared" ca="1" si="18"/>
        <v>0</v>
      </c>
      <c r="M33" s="949">
        <f t="shared" si="18"/>
        <v>0</v>
      </c>
      <c r="N33" s="949">
        <f t="shared" ca="1" si="18"/>
        <v>0</v>
      </c>
      <c r="O33" s="949">
        <f t="shared" si="18"/>
        <v>0</v>
      </c>
      <c r="P33" s="949">
        <f t="shared" si="18"/>
        <v>0</v>
      </c>
      <c r="Q33" s="949">
        <f t="shared" ca="1" si="18"/>
        <v>102617.31984456188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3866.9770338355443</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3866.9770338355443</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0.20751810406627549</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0.20751810406627549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0.20751810406627549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0.20751810406627549</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6165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1011</v>
      </c>
      <c r="C14" s="324"/>
      <c r="D14" s="324"/>
      <c r="E14" s="324"/>
      <c r="F14" s="324"/>
    </row>
    <row r="15" spans="1:6">
      <c r="A15" s="1302" t="s">
        <v>177</v>
      </c>
      <c r="B15" s="1303">
        <v>5</v>
      </c>
      <c r="C15" s="324"/>
      <c r="D15" s="324"/>
      <c r="E15" s="324"/>
      <c r="F15" s="324"/>
    </row>
    <row r="16" spans="1:6">
      <c r="A16" s="1302" t="s">
        <v>6</v>
      </c>
      <c r="B16" s="1303">
        <v>298</v>
      </c>
      <c r="C16" s="324"/>
      <c r="D16" s="324"/>
      <c r="E16" s="324"/>
      <c r="F16" s="324"/>
    </row>
    <row r="17" spans="1:6">
      <c r="A17" s="1302" t="s">
        <v>7</v>
      </c>
      <c r="B17" s="1303">
        <v>216</v>
      </c>
      <c r="C17" s="324"/>
      <c r="D17" s="324"/>
      <c r="E17" s="324"/>
      <c r="F17" s="324"/>
    </row>
    <row r="18" spans="1:6">
      <c r="A18" s="1302" t="s">
        <v>8</v>
      </c>
      <c r="B18" s="1303">
        <v>344</v>
      </c>
      <c r="C18" s="324"/>
      <c r="D18" s="324"/>
      <c r="E18" s="324"/>
      <c r="F18" s="324"/>
    </row>
    <row r="19" spans="1:6">
      <c r="A19" s="1302" t="s">
        <v>9</v>
      </c>
      <c r="B19" s="1303">
        <v>308</v>
      </c>
      <c r="C19" s="324"/>
      <c r="D19" s="324"/>
      <c r="E19" s="324"/>
      <c r="F19" s="324"/>
    </row>
    <row r="20" spans="1:6">
      <c r="A20" s="1302" t="s">
        <v>10</v>
      </c>
      <c r="B20" s="1303">
        <v>294</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88</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155</v>
      </c>
      <c r="C29" s="324"/>
      <c r="D29" s="324"/>
      <c r="E29" s="324"/>
      <c r="F29" s="324"/>
    </row>
    <row r="30" spans="1:6">
      <c r="A30" s="1297" t="s">
        <v>919</v>
      </c>
      <c r="B30" s="1305">
        <v>24</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2</v>
      </c>
      <c r="F38" s="1303">
        <v>5821.1549999999997</v>
      </c>
    </row>
    <row r="39" spans="1:6">
      <c r="A39" s="1302" t="s">
        <v>29</v>
      </c>
      <c r="B39" s="1302" t="s">
        <v>30</v>
      </c>
      <c r="C39" s="1303">
        <v>3368</v>
      </c>
      <c r="D39" s="1303">
        <v>53813090.465319999</v>
      </c>
      <c r="E39" s="1303">
        <v>5995</v>
      </c>
      <c r="F39" s="1303">
        <v>25998372</v>
      </c>
    </row>
    <row r="40" spans="1:6">
      <c r="A40" s="1302" t="s">
        <v>29</v>
      </c>
      <c r="B40" s="1302" t="s">
        <v>28</v>
      </c>
      <c r="C40" s="1303">
        <v>0</v>
      </c>
      <c r="D40" s="1303">
        <v>0</v>
      </c>
      <c r="E40" s="1303">
        <v>0</v>
      </c>
      <c r="F40" s="1303">
        <v>0</v>
      </c>
    </row>
    <row r="41" spans="1:6">
      <c r="A41" s="1302" t="s">
        <v>31</v>
      </c>
      <c r="B41" s="1302" t="s">
        <v>32</v>
      </c>
      <c r="C41" s="1303">
        <v>27</v>
      </c>
      <c r="D41" s="1303">
        <v>564480.25139627198</v>
      </c>
      <c r="E41" s="1303">
        <v>78</v>
      </c>
      <c r="F41" s="1303">
        <v>867569.7</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6</v>
      </c>
      <c r="F44" s="1303">
        <v>30767.58</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32</v>
      </c>
      <c r="D48" s="1303">
        <v>2746521.1204681899</v>
      </c>
      <c r="E48" s="1303">
        <v>61</v>
      </c>
      <c r="F48" s="1303">
        <v>9348973</v>
      </c>
    </row>
    <row r="49" spans="1:6">
      <c r="A49" s="1302" t="s">
        <v>31</v>
      </c>
      <c r="B49" s="1302" t="s">
        <v>39</v>
      </c>
      <c r="C49" s="1303">
        <v>0</v>
      </c>
      <c r="D49" s="1303">
        <v>0</v>
      </c>
      <c r="E49" s="1303">
        <v>0</v>
      </c>
      <c r="F49" s="1303">
        <v>0</v>
      </c>
    </row>
    <row r="50" spans="1:6">
      <c r="A50" s="1302" t="s">
        <v>31</v>
      </c>
      <c r="B50" s="1302" t="s">
        <v>40</v>
      </c>
      <c r="C50" s="1303">
        <v>0</v>
      </c>
      <c r="D50" s="1303">
        <v>0</v>
      </c>
      <c r="E50" s="1303">
        <v>7</v>
      </c>
      <c r="F50" s="1303">
        <v>148455.4</v>
      </c>
    </row>
    <row r="51" spans="1:6">
      <c r="A51" s="1302" t="s">
        <v>41</v>
      </c>
      <c r="B51" s="1302" t="s">
        <v>42</v>
      </c>
      <c r="C51" s="1303">
        <v>0</v>
      </c>
      <c r="D51" s="1303">
        <v>0</v>
      </c>
      <c r="E51" s="1303">
        <v>22</v>
      </c>
      <c r="F51" s="1303">
        <v>225696.3</v>
      </c>
    </row>
    <row r="52" spans="1:6">
      <c r="A52" s="1302" t="s">
        <v>41</v>
      </c>
      <c r="B52" s="1302" t="s">
        <v>28</v>
      </c>
      <c r="C52" s="1303">
        <v>8</v>
      </c>
      <c r="D52" s="1303">
        <v>112976.677005349</v>
      </c>
      <c r="E52" s="1303">
        <v>11</v>
      </c>
      <c r="F52" s="1303">
        <v>143431.20000000001</v>
      </c>
    </row>
    <row r="53" spans="1:6">
      <c r="A53" s="1302" t="s">
        <v>43</v>
      </c>
      <c r="B53" s="1302" t="s">
        <v>44</v>
      </c>
      <c r="C53" s="1303">
        <v>71</v>
      </c>
      <c r="D53" s="1303">
        <v>1595039.5887913799</v>
      </c>
      <c r="E53" s="1303">
        <v>178</v>
      </c>
      <c r="F53" s="1303">
        <v>1941206</v>
      </c>
    </row>
    <row r="54" spans="1:6">
      <c r="A54" s="1302" t="s">
        <v>45</v>
      </c>
      <c r="B54" s="1302" t="s">
        <v>46</v>
      </c>
      <c r="C54" s="1303">
        <v>0</v>
      </c>
      <c r="D54" s="1303">
        <v>0</v>
      </c>
      <c r="E54" s="1303">
        <v>1</v>
      </c>
      <c r="F54" s="1303">
        <v>906542</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22</v>
      </c>
      <c r="D57" s="1303">
        <v>510954.65031379397</v>
      </c>
      <c r="E57" s="1303">
        <v>45</v>
      </c>
      <c r="F57" s="1303">
        <v>386264</v>
      </c>
    </row>
    <row r="58" spans="1:6">
      <c r="A58" s="1302" t="s">
        <v>48</v>
      </c>
      <c r="B58" s="1302" t="s">
        <v>50</v>
      </c>
      <c r="C58" s="1303">
        <v>7</v>
      </c>
      <c r="D58" s="1303">
        <v>257414.020241444</v>
      </c>
      <c r="E58" s="1303">
        <v>24</v>
      </c>
      <c r="F58" s="1303">
        <v>189224</v>
      </c>
    </row>
    <row r="59" spans="1:6">
      <c r="A59" s="1302" t="s">
        <v>48</v>
      </c>
      <c r="B59" s="1302" t="s">
        <v>51</v>
      </c>
      <c r="C59" s="1303">
        <v>55</v>
      </c>
      <c r="D59" s="1303">
        <v>2442074.0842214399</v>
      </c>
      <c r="E59" s="1303">
        <v>126</v>
      </c>
      <c r="F59" s="1303">
        <v>8452914</v>
      </c>
    </row>
    <row r="60" spans="1:6">
      <c r="A60" s="1302" t="s">
        <v>48</v>
      </c>
      <c r="B60" s="1302" t="s">
        <v>52</v>
      </c>
      <c r="C60" s="1303">
        <v>35</v>
      </c>
      <c r="D60" s="1303">
        <v>1344509.8280867899</v>
      </c>
      <c r="E60" s="1303">
        <v>57</v>
      </c>
      <c r="F60" s="1303">
        <v>1471409</v>
      </c>
    </row>
    <row r="61" spans="1:6">
      <c r="A61" s="1302" t="s">
        <v>48</v>
      </c>
      <c r="B61" s="1302" t="s">
        <v>53</v>
      </c>
      <c r="C61" s="1303">
        <v>113</v>
      </c>
      <c r="D61" s="1303">
        <v>3367249.97474701</v>
      </c>
      <c r="E61" s="1303">
        <v>243</v>
      </c>
      <c r="F61" s="1303">
        <v>3063146</v>
      </c>
    </row>
    <row r="62" spans="1:6">
      <c r="A62" s="1302" t="s">
        <v>48</v>
      </c>
      <c r="B62" s="1302" t="s">
        <v>54</v>
      </c>
      <c r="C62" s="1303">
        <v>6</v>
      </c>
      <c r="D62" s="1303">
        <v>310180.111436265</v>
      </c>
      <c r="E62" s="1303">
        <v>7</v>
      </c>
      <c r="F62" s="1303">
        <v>341519.8</v>
      </c>
    </row>
    <row r="63" spans="1:6">
      <c r="A63" s="1302" t="s">
        <v>48</v>
      </c>
      <c r="B63" s="1302" t="s">
        <v>28</v>
      </c>
      <c r="C63" s="1303">
        <v>167</v>
      </c>
      <c r="D63" s="1303">
        <v>9144685.1213904899</v>
      </c>
      <c r="E63" s="1303">
        <v>225</v>
      </c>
      <c r="F63" s="1303">
        <v>7134349</v>
      </c>
    </row>
    <row r="64" spans="1:6">
      <c r="A64" s="1302" t="s">
        <v>55</v>
      </c>
      <c r="B64" s="1302" t="s">
        <v>56</v>
      </c>
      <c r="C64" s="1303">
        <v>0</v>
      </c>
      <c r="D64" s="1303">
        <v>0</v>
      </c>
      <c r="E64" s="1303">
        <v>0</v>
      </c>
      <c r="F64" s="1303">
        <v>0</v>
      </c>
    </row>
    <row r="65" spans="1:6">
      <c r="A65" s="1302" t="s">
        <v>55</v>
      </c>
      <c r="B65" s="1302" t="s">
        <v>28</v>
      </c>
      <c r="C65" s="1303">
        <v>5</v>
      </c>
      <c r="D65" s="1303">
        <v>127113.25000975499</v>
      </c>
      <c r="E65" s="1303">
        <v>5</v>
      </c>
      <c r="F65" s="1303">
        <v>22088.44</v>
      </c>
    </row>
    <row r="66" spans="1:6">
      <c r="A66" s="1302" t="s">
        <v>55</v>
      </c>
      <c r="B66" s="1302" t="s">
        <v>57</v>
      </c>
      <c r="C66" s="1303">
        <v>0</v>
      </c>
      <c r="D66" s="1303">
        <v>0</v>
      </c>
      <c r="E66" s="1303">
        <v>4</v>
      </c>
      <c r="F66" s="1303">
        <v>27816.92</v>
      </c>
    </row>
    <row r="67" spans="1:6">
      <c r="A67" s="1302" t="s">
        <v>55</v>
      </c>
      <c r="B67" s="1302" t="s">
        <v>58</v>
      </c>
      <c r="C67" s="1303">
        <v>0</v>
      </c>
      <c r="D67" s="1303">
        <v>0</v>
      </c>
      <c r="E67" s="1303">
        <v>0</v>
      </c>
      <c r="F67" s="1303">
        <v>0</v>
      </c>
    </row>
    <row r="68" spans="1:6">
      <c r="A68" s="1297" t="s">
        <v>55</v>
      </c>
      <c r="B68" s="1297" t="s">
        <v>59</v>
      </c>
      <c r="C68" s="1305">
        <v>3</v>
      </c>
      <c r="D68" s="1305">
        <v>2465557.5899239201</v>
      </c>
      <c r="E68" s="1305">
        <v>18</v>
      </c>
      <c r="F68" s="1305">
        <v>1240617</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24759211</v>
      </c>
      <c r="E73" s="442"/>
      <c r="F73" s="324"/>
    </row>
    <row r="74" spans="1:6">
      <c r="A74" s="1302" t="s">
        <v>63</v>
      </c>
      <c r="B74" s="1302" t="s">
        <v>695</v>
      </c>
      <c r="C74" s="1315" t="s">
        <v>697</v>
      </c>
      <c r="D74" s="1303">
        <v>4941988.4154123738</v>
      </c>
      <c r="E74" s="442"/>
      <c r="F74" s="324"/>
    </row>
    <row r="75" spans="1:6">
      <c r="A75" s="1302" t="s">
        <v>64</v>
      </c>
      <c r="B75" s="1302" t="s">
        <v>694</v>
      </c>
      <c r="C75" s="1315" t="s">
        <v>698</v>
      </c>
      <c r="D75" s="1303">
        <v>47760299</v>
      </c>
      <c r="E75" s="442"/>
      <c r="F75" s="324"/>
    </row>
    <row r="76" spans="1:6">
      <c r="A76" s="1302" t="s">
        <v>64</v>
      </c>
      <c r="B76" s="1302" t="s">
        <v>695</v>
      </c>
      <c r="C76" s="1315" t="s">
        <v>699</v>
      </c>
      <c r="D76" s="1303">
        <v>3460419.4154123738</v>
      </c>
      <c r="E76" s="442"/>
      <c r="F76" s="324"/>
    </row>
    <row r="77" spans="1:6">
      <c r="A77" s="1302" t="s">
        <v>65</v>
      </c>
      <c r="B77" s="1302" t="s">
        <v>694</v>
      </c>
      <c r="C77" s="1315" t="s">
        <v>700</v>
      </c>
      <c r="D77" s="1303">
        <v>159348924</v>
      </c>
      <c r="E77" s="442"/>
      <c r="F77" s="324"/>
    </row>
    <row r="78" spans="1:6">
      <c r="A78" s="1297" t="s">
        <v>65</v>
      </c>
      <c r="B78" s="1297" t="s">
        <v>695</v>
      </c>
      <c r="C78" s="1297" t="s">
        <v>701</v>
      </c>
      <c r="D78" s="1305">
        <v>18691766</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492839.16917525185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2694.7355184754815</v>
      </c>
      <c r="C91" s="324"/>
      <c r="D91" s="324"/>
      <c r="E91" s="324"/>
      <c r="F91" s="324"/>
    </row>
    <row r="92" spans="1:6">
      <c r="A92" s="1297" t="s">
        <v>68</v>
      </c>
      <c r="B92" s="1298">
        <v>1172.2415153600627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1691</v>
      </c>
      <c r="C97" s="324"/>
      <c r="D97" s="324"/>
      <c r="E97" s="324"/>
      <c r="F97" s="324"/>
    </row>
    <row r="98" spans="1:6">
      <c r="A98" s="1302" t="s">
        <v>71</v>
      </c>
      <c r="B98" s="1303">
        <v>2</v>
      </c>
      <c r="C98" s="324"/>
      <c r="D98" s="324"/>
      <c r="E98" s="324"/>
      <c r="F98" s="324"/>
    </row>
    <row r="99" spans="1:6">
      <c r="A99" s="1302" t="s">
        <v>72</v>
      </c>
      <c r="B99" s="1303">
        <v>122</v>
      </c>
      <c r="C99" s="324"/>
      <c r="D99" s="324"/>
      <c r="E99" s="324"/>
      <c r="F99" s="324"/>
    </row>
    <row r="100" spans="1:6">
      <c r="A100" s="1302" t="s">
        <v>73</v>
      </c>
      <c r="B100" s="1303">
        <v>513</v>
      </c>
      <c r="C100" s="324"/>
      <c r="D100" s="324"/>
      <c r="E100" s="324"/>
      <c r="F100" s="324"/>
    </row>
    <row r="101" spans="1:6">
      <c r="A101" s="1302" t="s">
        <v>74</v>
      </c>
      <c r="B101" s="1303">
        <v>54</v>
      </c>
      <c r="C101" s="324"/>
      <c r="D101" s="324"/>
      <c r="E101" s="324"/>
      <c r="F101" s="324"/>
    </row>
    <row r="102" spans="1:6">
      <c r="A102" s="1302" t="s">
        <v>75</v>
      </c>
      <c r="B102" s="1303">
        <v>63</v>
      </c>
      <c r="C102" s="324"/>
      <c r="D102" s="324"/>
      <c r="E102" s="324"/>
      <c r="F102" s="324"/>
    </row>
    <row r="103" spans="1:6">
      <c r="A103" s="1302" t="s">
        <v>76</v>
      </c>
      <c r="B103" s="1303">
        <v>128</v>
      </c>
      <c r="C103" s="324"/>
      <c r="D103" s="324"/>
      <c r="E103" s="324"/>
      <c r="F103" s="324"/>
    </row>
    <row r="104" spans="1:6">
      <c r="A104" s="1302" t="s">
        <v>77</v>
      </c>
      <c r="B104" s="1303">
        <v>2909</v>
      </c>
      <c r="C104" s="324"/>
      <c r="D104" s="324"/>
      <c r="E104" s="324"/>
      <c r="F104" s="324"/>
    </row>
    <row r="105" spans="1:6">
      <c r="A105" s="1297" t="s">
        <v>78</v>
      </c>
      <c r="B105" s="130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7</v>
      </c>
      <c r="C123" s="1303">
        <v>8</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77</v>
      </c>
      <c r="C129" s="324"/>
      <c r="D129" s="324"/>
      <c r="E129" s="324"/>
      <c r="F129" s="324"/>
    </row>
    <row r="130" spans="1:6">
      <c r="A130" s="1302" t="s">
        <v>284</v>
      </c>
      <c r="B130" s="1303">
        <v>0</v>
      </c>
      <c r="C130" s="324"/>
      <c r="D130" s="324"/>
      <c r="E130" s="324"/>
      <c r="F130" s="324"/>
    </row>
    <row r="131" spans="1:6">
      <c r="A131" s="1302" t="s">
        <v>285</v>
      </c>
      <c r="B131" s="1303">
        <v>0</v>
      </c>
      <c r="C131" s="324"/>
      <c r="D131" s="324"/>
      <c r="E131" s="324"/>
      <c r="F131" s="324"/>
    </row>
    <row r="132" spans="1:6">
      <c r="A132" s="1297" t="s">
        <v>286</v>
      </c>
      <c r="B132" s="1298">
        <v>12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63388.853368901713</v>
      </c>
      <c r="C3" s="43" t="s">
        <v>163</v>
      </c>
      <c r="D3" s="43"/>
      <c r="E3" s="154"/>
      <c r="F3" s="43"/>
      <c r="G3" s="43"/>
      <c r="H3" s="43"/>
      <c r="I3" s="43"/>
      <c r="J3" s="43"/>
      <c r="K3" s="96"/>
    </row>
    <row r="4" spans="1:11">
      <c r="A4" s="351" t="s">
        <v>164</v>
      </c>
      <c r="B4" s="49">
        <f>IF(ISERROR('SEAP template'!B78+'SEAP template'!C78),0,'SEAP template'!B78+'SEAP template'!C78)</f>
        <v>3866.9770338355443</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0.20751810406627549</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906.54200000000003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906.54200000000003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0.20751810406627549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188.12387709644952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25998.371999999999</v>
      </c>
      <c r="C5" s="17">
        <f>IF(ISERROR('Eigen informatie GS &amp; warmtenet'!B57),0,'Eigen informatie GS &amp; warmtenet'!B57)</f>
        <v>0</v>
      </c>
      <c r="D5" s="30">
        <f>(SUM(HH_hh_gas_kWh,HH_rest_gas_kWh)/1000)*0.902</f>
        <v>48539.407599718637</v>
      </c>
      <c r="E5" s="17">
        <f>B32*B41</f>
        <v>1482.5064020378022</v>
      </c>
      <c r="F5" s="17">
        <f>B36*B45</f>
        <v>46768.451852983919</v>
      </c>
      <c r="G5" s="18"/>
      <c r="H5" s="17"/>
      <c r="I5" s="17"/>
      <c r="J5" s="17">
        <f>B35*B44+C35*C44</f>
        <v>1090.6385304672524</v>
      </c>
      <c r="K5" s="17"/>
      <c r="L5" s="17"/>
      <c r="M5" s="17"/>
      <c r="N5" s="17">
        <f>B34*B43+C34*C43</f>
        <v>7279.6025782628894</v>
      </c>
      <c r="O5" s="17">
        <f>B52*B53*B54</f>
        <v>132.88333333333333</v>
      </c>
      <c r="P5" s="17">
        <f>B60*B61*B62/1000-B60*B61*B62/1000/B63</f>
        <v>381.33333333333337</v>
      </c>
    </row>
    <row r="6" spans="1:16">
      <c r="A6" s="16" t="s">
        <v>618</v>
      </c>
      <c r="B6" s="755">
        <f>kWh_PV_kleiner_dan_10kW</f>
        <v>2694.7355184754815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28693.107518475481</v>
      </c>
      <c r="C8" s="21">
        <f>C5</f>
        <v>0</v>
      </c>
      <c r="D8" s="21">
        <f>D5</f>
        <v>48539.407599718637</v>
      </c>
      <c r="E8" s="21">
        <f>E5</f>
        <v>1482.5064020378022</v>
      </c>
      <c r="F8" s="21">
        <f>F5</f>
        <v>46768.451852983919</v>
      </c>
      <c r="G8" s="21"/>
      <c r="H8" s="21"/>
      <c r="I8" s="21"/>
      <c r="J8" s="21">
        <f>J5</f>
        <v>1090.6385304672524</v>
      </c>
      <c r="K8" s="21"/>
      <c r="L8" s="21">
        <f>L5</f>
        <v>0</v>
      </c>
      <c r="M8" s="21">
        <f>M5</f>
        <v>0</v>
      </c>
      <c r="N8" s="21">
        <f>N5</f>
        <v>7279.6025782628894</v>
      </c>
      <c r="O8" s="21">
        <f>O5</f>
        <v>132.88333333333333</v>
      </c>
      <c r="P8" s="21">
        <f>P5</f>
        <v>381.33333333333337</v>
      </c>
    </row>
    <row r="9" spans="1:16">
      <c r="B9" s="19"/>
      <c r="C9" s="19"/>
      <c r="D9" s="254"/>
      <c r="E9" s="19"/>
      <c r="F9" s="19"/>
      <c r="G9" s="19"/>
      <c r="H9" s="19"/>
      <c r="I9" s="19"/>
      <c r="J9" s="19"/>
      <c r="K9" s="19"/>
      <c r="L9" s="19"/>
      <c r="M9" s="19"/>
      <c r="N9" s="19"/>
      <c r="O9" s="19"/>
      <c r="P9" s="19"/>
    </row>
    <row r="10" spans="1:16">
      <c r="A10" s="24" t="s">
        <v>207</v>
      </c>
      <c r="B10" s="25">
        <f ca="1">'EF ele_warmte'!B12</f>
        <v>0.20751810406627549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5954.3392720038264</v>
      </c>
      <c r="C12" s="23">
        <f ca="1">C10*C8</f>
        <v>0</v>
      </c>
      <c r="D12" s="23">
        <f>D8*D10</f>
        <v>9804.9603351431651</v>
      </c>
      <c r="E12" s="23">
        <f>E10*E8</f>
        <v>336.52895326258113</v>
      </c>
      <c r="F12" s="23">
        <f>F10*F8</f>
        <v>12487.176644746707</v>
      </c>
      <c r="G12" s="23"/>
      <c r="H12" s="23"/>
      <c r="I12" s="23"/>
      <c r="J12" s="23">
        <f>J10*J8</f>
        <v>386.08603978540731</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6165</v>
      </c>
      <c r="C26" s="36"/>
      <c r="D26" s="225"/>
    </row>
    <row r="27" spans="1:5" s="15" customFormat="1">
      <c r="A27" s="227" t="s">
        <v>721</v>
      </c>
      <c r="B27" s="37">
        <f>SUM(HH_hh_gas_aantal,HH_rest_gas_aantal)</f>
        <v>3368</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3199.6</v>
      </c>
      <c r="C31" s="34" t="s">
        <v>104</v>
      </c>
      <c r="D31" s="171"/>
    </row>
    <row r="32" spans="1:5">
      <c r="A32" s="168" t="s">
        <v>72</v>
      </c>
      <c r="B32" s="33">
        <f>IF((B21*($B$26-($B$27-0.05*$B$27)-$B$60))&lt;0,0,B21*($B$26-($B$27-0.05*$B$27)-$B$60))</f>
        <v>18.571396312265691</v>
      </c>
      <c r="C32" s="34" t="s">
        <v>104</v>
      </c>
      <c r="D32" s="171"/>
    </row>
    <row r="33" spans="1:6">
      <c r="A33" s="168" t="s">
        <v>73</v>
      </c>
      <c r="B33" s="33">
        <f>IF((B22*($B$26-($B$27-0.05*$B$27)-$B$60))&lt;0,0,B22*($B$26-($B$27-0.05*$B$27)-$B$60))</f>
        <v>646.72348417377418</v>
      </c>
      <c r="C33" s="34" t="s">
        <v>104</v>
      </c>
      <c r="D33" s="171"/>
    </row>
    <row r="34" spans="1:6">
      <c r="A34" s="168" t="s">
        <v>74</v>
      </c>
      <c r="B34" s="33">
        <f>IF((B24*($B$26-($B$27-0.05*$B$27)-$B$60))&lt;0,0,B24*($B$26-($B$27-0.05*$B$27)-$B$60))</f>
        <v>128.3717505518633</v>
      </c>
      <c r="C34" s="33">
        <f>B26*C24</f>
        <v>1261.3570421470361</v>
      </c>
      <c r="D34" s="230"/>
    </row>
    <row r="35" spans="1:6">
      <c r="A35" s="168" t="s">
        <v>76</v>
      </c>
      <c r="B35" s="33">
        <f>IF((B19*($B$26-($B$27-0.05*$B$27)-$B$60))&lt;0,0,B19*($B$26-($B$27-0.05*$B$27)-$B$60))</f>
        <v>62.716900591923853</v>
      </c>
      <c r="C35" s="33">
        <f>B35/2</f>
        <v>31.358450295961926</v>
      </c>
      <c r="D35" s="230"/>
    </row>
    <row r="36" spans="1:6">
      <c r="A36" s="168" t="s">
        <v>77</v>
      </c>
      <c r="B36" s="33">
        <f>IF((B18*($B$26-($B$27-0.05*$B$27)-$B$60))&lt;0,0,B18*($B$26-($B$27-0.05*$B$27)-$B$60))</f>
        <v>2089.0164683701742</v>
      </c>
      <c r="C36" s="34" t="s">
        <v>104</v>
      </c>
      <c r="D36" s="171"/>
    </row>
    <row r="37" spans="1:6">
      <c r="A37" s="168" t="s">
        <v>78</v>
      </c>
      <c r="B37" s="33">
        <f>B60</f>
        <v>20</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85</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20</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21038.825799999999</v>
      </c>
      <c r="C5" s="17">
        <f>IF(ISERROR('Eigen informatie GS &amp; warmtenet'!B58),0,'Eigen informatie GS &amp; warmtenet'!B58)</f>
        <v>0</v>
      </c>
      <c r="D5" s="30">
        <f>SUM(D6:D12)</f>
        <v>15674.115146974385</v>
      </c>
      <c r="E5" s="17">
        <f>SUM(E6:E12)</f>
        <v>227.64453925898187</v>
      </c>
      <c r="F5" s="17">
        <f>SUM(F6:F12)</f>
        <v>3007.4815809159422</v>
      </c>
      <c r="G5" s="18"/>
      <c r="H5" s="17"/>
      <c r="I5" s="17"/>
      <c r="J5" s="17">
        <f>SUM(J6:J12)</f>
        <v>0</v>
      </c>
      <c r="K5" s="17"/>
      <c r="L5" s="17"/>
      <c r="M5" s="17"/>
      <c r="N5" s="17">
        <f>SUM(N6:N12)</f>
        <v>982.02896683064876</v>
      </c>
      <c r="O5" s="17">
        <f>B38*B39*B40</f>
        <v>0</v>
      </c>
      <c r="P5" s="17">
        <f>B46*B47*B48/1000-B46*B47*B48/1000/B49</f>
        <v>0</v>
      </c>
      <c r="R5" s="32"/>
    </row>
    <row r="6" spans="1:18">
      <c r="A6" s="32" t="s">
        <v>53</v>
      </c>
      <c r="B6" s="37">
        <f>B26</f>
        <v>3063.1460000000002</v>
      </c>
      <c r="C6" s="33"/>
      <c r="D6" s="37">
        <f>IF(ISERROR(TER_kantoor_gas_kWh/1000),0,TER_kantoor_gas_kWh/1000)*0.902</f>
        <v>3037.2594772218031</v>
      </c>
      <c r="E6" s="33">
        <f>$C$26*'E Balans VL '!I12/100/3.6*1000000</f>
        <v>8.8743833892436559</v>
      </c>
      <c r="F6" s="33">
        <f>$C$26*('E Balans VL '!L12+'E Balans VL '!N12)/100/3.6*1000000</f>
        <v>346.68064086124593</v>
      </c>
      <c r="G6" s="34"/>
      <c r="H6" s="33"/>
      <c r="I6" s="33"/>
      <c r="J6" s="33">
        <f>$C$26*('E Balans VL '!D12+'E Balans VL '!E12)/100/3.6*1000000</f>
        <v>0</v>
      </c>
      <c r="K6" s="33"/>
      <c r="L6" s="33"/>
      <c r="M6" s="33"/>
      <c r="N6" s="33">
        <f>$C$26*'E Balans VL '!Y12/100/3.6*1000000</f>
        <v>30.659834433253735</v>
      </c>
      <c r="O6" s="33"/>
      <c r="P6" s="33"/>
      <c r="R6" s="32"/>
    </row>
    <row r="7" spans="1:18">
      <c r="A7" s="32" t="s">
        <v>52</v>
      </c>
      <c r="B7" s="37">
        <f t="shared" ref="B7:B12" si="0">B27</f>
        <v>1471.4090000000001</v>
      </c>
      <c r="C7" s="33"/>
      <c r="D7" s="37">
        <f>IF(ISERROR(TER_horeca_gas_kWh/1000),0,TER_horeca_gas_kWh/1000)*0.902</f>
        <v>1212.7478649342845</v>
      </c>
      <c r="E7" s="33">
        <f>$C$27*'E Balans VL '!I9/100/3.6*1000000</f>
        <v>61.765638784503821</v>
      </c>
      <c r="F7" s="33">
        <f>$C$27*('E Balans VL '!L9+'E Balans VL '!N9)/100/3.6*1000000</f>
        <v>316.1623977334292</v>
      </c>
      <c r="G7" s="34"/>
      <c r="H7" s="33"/>
      <c r="I7" s="33"/>
      <c r="J7" s="33">
        <f>$C$27*('E Balans VL '!D9+'E Balans VL '!E9)/100/3.6*1000000</f>
        <v>0</v>
      </c>
      <c r="K7" s="33"/>
      <c r="L7" s="33"/>
      <c r="M7" s="33"/>
      <c r="N7" s="33">
        <f>$C$27*'E Balans VL '!Y9/100/3.6*1000000</f>
        <v>0.37916923136148084</v>
      </c>
      <c r="O7" s="33"/>
      <c r="P7" s="33"/>
      <c r="R7" s="32"/>
    </row>
    <row r="8" spans="1:18">
      <c r="A8" s="6" t="s">
        <v>51</v>
      </c>
      <c r="B8" s="37">
        <f t="shared" si="0"/>
        <v>8452.9140000000007</v>
      </c>
      <c r="C8" s="33"/>
      <c r="D8" s="37">
        <f>IF(ISERROR(TER_handel_gas_kWh/1000),0,TER_handel_gas_kWh/1000)*0.902</f>
        <v>2202.7508239677391</v>
      </c>
      <c r="E8" s="33">
        <f>$C$28*'E Balans VL '!I13/100/3.6*1000000</f>
        <v>90.791331520336584</v>
      </c>
      <c r="F8" s="33">
        <f>$C$28*('E Balans VL '!L13+'E Balans VL '!N13)/100/3.6*1000000</f>
        <v>1094.2995200248436</v>
      </c>
      <c r="G8" s="34"/>
      <c r="H8" s="33"/>
      <c r="I8" s="33"/>
      <c r="J8" s="33">
        <f>$C$28*('E Balans VL '!D13+'E Balans VL '!E13)/100/3.6*1000000</f>
        <v>0</v>
      </c>
      <c r="K8" s="33"/>
      <c r="L8" s="33"/>
      <c r="M8" s="33"/>
      <c r="N8" s="33">
        <f>$C$28*'E Balans VL '!Y13/100/3.6*1000000</f>
        <v>68.570499917172341</v>
      </c>
      <c r="O8" s="33"/>
      <c r="P8" s="33"/>
      <c r="R8" s="32"/>
    </row>
    <row r="9" spans="1:18">
      <c r="A9" s="32" t="s">
        <v>50</v>
      </c>
      <c r="B9" s="37">
        <f t="shared" si="0"/>
        <v>189.22399999999999</v>
      </c>
      <c r="C9" s="33"/>
      <c r="D9" s="37">
        <f>IF(ISERROR(TER_gezond_gas_kWh/1000),0,TER_gezond_gas_kWh/1000)*0.902</f>
        <v>232.18744625778251</v>
      </c>
      <c r="E9" s="33">
        <f>$C$29*'E Balans VL '!I10/100/3.6*1000000</f>
        <v>0.15063454268043602</v>
      </c>
      <c r="F9" s="33">
        <f>$C$29*('E Balans VL '!L10+'E Balans VL '!N10)/100/3.6*1000000</f>
        <v>23.0029117331005</v>
      </c>
      <c r="G9" s="34"/>
      <c r="H9" s="33"/>
      <c r="I9" s="33"/>
      <c r="J9" s="33">
        <f>$C$29*('E Balans VL '!D10+'E Balans VL '!E10)/100/3.6*1000000</f>
        <v>0</v>
      </c>
      <c r="K9" s="33"/>
      <c r="L9" s="33"/>
      <c r="M9" s="33"/>
      <c r="N9" s="33">
        <f>$C$29*'E Balans VL '!Y10/100/3.6*1000000</f>
        <v>1.5285013403950318</v>
      </c>
      <c r="O9" s="33"/>
      <c r="P9" s="33"/>
      <c r="R9" s="32"/>
    </row>
    <row r="10" spans="1:18">
      <c r="A10" s="32" t="s">
        <v>49</v>
      </c>
      <c r="B10" s="37">
        <f t="shared" si="0"/>
        <v>386.26400000000001</v>
      </c>
      <c r="C10" s="33"/>
      <c r="D10" s="37">
        <f>IF(ISERROR(TER_ander_gas_kWh/1000),0,TER_ander_gas_kWh/1000)*0.902</f>
        <v>460.88109458304217</v>
      </c>
      <c r="E10" s="33">
        <f>$C$30*'E Balans VL '!I14/100/3.6*1000000</f>
        <v>1.3237470197094479</v>
      </c>
      <c r="F10" s="33">
        <f>$C$30*('E Balans VL '!L14+'E Balans VL '!N14)/100/3.6*1000000</f>
        <v>86.275681679964464</v>
      </c>
      <c r="G10" s="34"/>
      <c r="H10" s="33"/>
      <c r="I10" s="33"/>
      <c r="J10" s="33">
        <f>$C$30*('E Balans VL '!D14+'E Balans VL '!E14)/100/3.6*1000000</f>
        <v>0</v>
      </c>
      <c r="K10" s="33"/>
      <c r="L10" s="33"/>
      <c r="M10" s="33"/>
      <c r="N10" s="33">
        <f>$C$30*'E Balans VL '!Y14/100/3.6*1000000</f>
        <v>272.08647171898485</v>
      </c>
      <c r="O10" s="33"/>
      <c r="P10" s="33"/>
      <c r="R10" s="32"/>
    </row>
    <row r="11" spans="1:18">
      <c r="A11" s="32" t="s">
        <v>54</v>
      </c>
      <c r="B11" s="37">
        <f t="shared" si="0"/>
        <v>341.51979999999998</v>
      </c>
      <c r="C11" s="33"/>
      <c r="D11" s="37">
        <f>IF(ISERROR(TER_onderwijs_gas_kWh/1000),0,TER_onderwijs_gas_kWh/1000)*0.902</f>
        <v>279.78246051551105</v>
      </c>
      <c r="E11" s="33">
        <f>$C$31*'E Balans VL '!I11/100/3.6*1000000</f>
        <v>0.23608211975793825</v>
      </c>
      <c r="F11" s="33">
        <f>$C$31*('E Balans VL '!L11+'E Balans VL '!N11)/100/3.6*1000000</f>
        <v>89.399963162930518</v>
      </c>
      <c r="G11" s="34"/>
      <c r="H11" s="33"/>
      <c r="I11" s="33"/>
      <c r="J11" s="33">
        <f>$C$31*('E Balans VL '!D11+'E Balans VL '!E11)/100/3.6*1000000</f>
        <v>0</v>
      </c>
      <c r="K11" s="33"/>
      <c r="L11" s="33"/>
      <c r="M11" s="33"/>
      <c r="N11" s="33">
        <f>$C$31*'E Balans VL '!Y11/100/3.6*1000000</f>
        <v>0.33995387251257048</v>
      </c>
      <c r="O11" s="33"/>
      <c r="P11" s="33"/>
      <c r="R11" s="32"/>
    </row>
    <row r="12" spans="1:18">
      <c r="A12" s="32" t="s">
        <v>249</v>
      </c>
      <c r="B12" s="37">
        <f t="shared" si="0"/>
        <v>7134.3490000000002</v>
      </c>
      <c r="C12" s="33"/>
      <c r="D12" s="37">
        <f>IF(ISERROR(TER_rest_gas_kWh/1000),0,TER_rest_gas_kWh/1000)*0.902</f>
        <v>8248.5059794942226</v>
      </c>
      <c r="E12" s="33">
        <f>$C$32*'E Balans VL '!I8/100/3.6*1000000</f>
        <v>64.502721882749981</v>
      </c>
      <c r="F12" s="33">
        <f>$C$32*('E Balans VL '!L8+'E Balans VL '!N8)/100/3.6*1000000</f>
        <v>1051.660465720428</v>
      </c>
      <c r="G12" s="34"/>
      <c r="H12" s="33"/>
      <c r="I12" s="33"/>
      <c r="J12" s="33">
        <f>$C$32*('E Balans VL '!D8+'E Balans VL '!E8)/100/3.6*1000000</f>
        <v>0</v>
      </c>
      <c r="K12" s="33"/>
      <c r="L12" s="33"/>
      <c r="M12" s="33"/>
      <c r="N12" s="33">
        <f>$C$32*'E Balans VL '!Y8/100/3.6*1000000</f>
        <v>608.46453631696875</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21038.825799999999</v>
      </c>
      <c r="C16" s="21">
        <f t="shared" ca="1" si="1"/>
        <v>0</v>
      </c>
      <c r="D16" s="21">
        <f t="shared" ca="1" si="1"/>
        <v>15674.115146974385</v>
      </c>
      <c r="E16" s="21">
        <f t="shared" si="1"/>
        <v>227.64453925898187</v>
      </c>
      <c r="F16" s="21">
        <f t="shared" ca="1" si="1"/>
        <v>3007.4815809159422</v>
      </c>
      <c r="G16" s="21">
        <f t="shared" si="1"/>
        <v>0</v>
      </c>
      <c r="H16" s="21">
        <f t="shared" si="1"/>
        <v>0</v>
      </c>
      <c r="I16" s="21">
        <f t="shared" si="1"/>
        <v>0</v>
      </c>
      <c r="J16" s="21">
        <f t="shared" si="1"/>
        <v>0</v>
      </c>
      <c r="K16" s="21">
        <f t="shared" si="1"/>
        <v>0</v>
      </c>
      <c r="L16" s="21">
        <f t="shared" ca="1" si="1"/>
        <v>0</v>
      </c>
      <c r="M16" s="21">
        <f t="shared" si="1"/>
        <v>0</v>
      </c>
      <c r="N16" s="21">
        <f t="shared" ca="1" si="1"/>
        <v>982.02896683064876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0.20751810406627549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4365.9372417966415</v>
      </c>
      <c r="C20" s="23">
        <f t="shared" ref="C20:P20" ca="1" si="2">C16*C18</f>
        <v>0</v>
      </c>
      <c r="D20" s="23">
        <f t="shared" ca="1" si="2"/>
        <v>3166.171259688826</v>
      </c>
      <c r="E20" s="23">
        <f t="shared" si="2"/>
        <v>51.675310411788885</v>
      </c>
      <c r="F20" s="23">
        <f t="shared" ca="1" si="2"/>
        <v>802.99758210455661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3063.1460000000002</v>
      </c>
      <c r="C26" s="39">
        <f>IF(ISERROR(B26*3.6/1000000/'E Balans VL '!Z12*100),0,B26*3.6/1000000/'E Balans VL '!Z12*100)</f>
        <v>6.7285543241397169E-2</v>
      </c>
      <c r="D26" s="233" t="s">
        <v>676</v>
      </c>
      <c r="F26" s="6"/>
    </row>
    <row r="27" spans="1:18">
      <c r="A27" s="228" t="s">
        <v>52</v>
      </c>
      <c r="B27" s="33">
        <f>IF(ISERROR(TER_horeca_ele_kWh/1000),0,TER_horeca_ele_kWh/1000)</f>
        <v>1471.4090000000001</v>
      </c>
      <c r="C27" s="39">
        <f>IF(ISERROR(B27*3.6/1000000/'E Balans VL '!Z9*100),0,B27*3.6/1000000/'E Balans VL '!Z9*100)</f>
        <v>0.11824238032814723</v>
      </c>
      <c r="D27" s="233" t="s">
        <v>676</v>
      </c>
      <c r="F27" s="6"/>
    </row>
    <row r="28" spans="1:18">
      <c r="A28" s="168" t="s">
        <v>51</v>
      </c>
      <c r="B28" s="33">
        <f>IF(ISERROR(TER_handel_ele_kWh/1000),0,TER_handel_ele_kWh/1000)</f>
        <v>8452.9140000000007</v>
      </c>
      <c r="C28" s="39">
        <f>IF(ISERROR(B28*3.6/1000000/'E Balans VL '!Z13*100),0,B28*3.6/1000000/'E Balans VL '!Z13*100)</f>
        <v>0.24994676165028795</v>
      </c>
      <c r="D28" s="233" t="s">
        <v>676</v>
      </c>
      <c r="F28" s="6"/>
    </row>
    <row r="29" spans="1:18">
      <c r="A29" s="228" t="s">
        <v>50</v>
      </c>
      <c r="B29" s="33">
        <f>IF(ISERROR(TER_gezond_ele_kWh/1000),0,TER_gezond_ele_kWh/1000)</f>
        <v>189.22399999999999</v>
      </c>
      <c r="C29" s="39">
        <f>IF(ISERROR(B29*3.6/1000000/'E Balans VL '!Z10*100),0,B29*3.6/1000000/'E Balans VL '!Z10*100)</f>
        <v>2.1320659466963193E-2</v>
      </c>
      <c r="D29" s="233" t="s">
        <v>676</v>
      </c>
      <c r="F29" s="6"/>
    </row>
    <row r="30" spans="1:18">
      <c r="A30" s="228" t="s">
        <v>49</v>
      </c>
      <c r="B30" s="33">
        <f>IF(ISERROR(TER_ander_ele_kWh/1000),0,TER_ander_ele_kWh/1000)</f>
        <v>386.26400000000001</v>
      </c>
      <c r="C30" s="39">
        <f>IF(ISERROR(B30*3.6/1000000/'E Balans VL '!Z14*100),0,B30*3.6/1000000/'E Balans VL '!Z14*100)</f>
        <v>2.9212486031517271E-2</v>
      </c>
      <c r="D30" s="233" t="s">
        <v>676</v>
      </c>
      <c r="F30" s="6"/>
    </row>
    <row r="31" spans="1:18">
      <c r="A31" s="228" t="s">
        <v>54</v>
      </c>
      <c r="B31" s="33">
        <f>IF(ISERROR(TER_onderwijs_ele_kWh/1000),0,TER_onderwijs_ele_kWh/1000)</f>
        <v>341.51979999999998</v>
      </c>
      <c r="C31" s="39">
        <f>IF(ISERROR(B31*3.6/1000000/'E Balans VL '!Z11*100),0,B31*3.6/1000000/'E Balans VL '!Z11*100)</f>
        <v>7.0891582438197195E-2</v>
      </c>
      <c r="D31" s="233" t="s">
        <v>676</v>
      </c>
    </row>
    <row r="32" spans="1:18">
      <c r="A32" s="228" t="s">
        <v>249</v>
      </c>
      <c r="B32" s="33">
        <f>IF(ISERROR(TER_rest_ele_kWh/1000),0,TER_rest_ele_kWh/1000)</f>
        <v>7134.3490000000002</v>
      </c>
      <c r="C32" s="39">
        <f>IF(ISERROR(B32*3.6/1000000/'E Balans VL '!Z8*100),0,B32*3.6/1000000/'E Balans VL '!Z8*100)</f>
        <v>6.0102693329613051E-2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10395.76568</v>
      </c>
      <c r="C5" s="17">
        <f>IF(ISERROR('Eigen informatie GS &amp; warmtenet'!B59),0,'Eigen informatie GS &amp; warmtenet'!B59)</f>
        <v>0</v>
      </c>
      <c r="D5" s="30">
        <f>SUM(D6:D15)</f>
        <v>2986.5232374217449</v>
      </c>
      <c r="E5" s="17">
        <f>SUM(E6:E15)</f>
        <v>716.44084501699649</v>
      </c>
      <c r="F5" s="17">
        <f>SUM(F6:F15)</f>
        <v>3104.8526207568693</v>
      </c>
      <c r="G5" s="18"/>
      <c r="H5" s="17"/>
      <c r="I5" s="17"/>
      <c r="J5" s="17">
        <f>SUM(J6:J15)</f>
        <v>42.775053740023054</v>
      </c>
      <c r="K5" s="17"/>
      <c r="L5" s="17"/>
      <c r="M5" s="17"/>
      <c r="N5" s="17">
        <f>SUM(N6:N15)</f>
        <v>658.22199184726378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30.767580000000002</v>
      </c>
      <c r="C8" s="33"/>
      <c r="D8" s="37">
        <f>IF( ISERROR(IND_metaal_Gas_kWH/1000),0,IND_metaal_Gas_kWH/1000)*0.902</f>
        <v>0</v>
      </c>
      <c r="E8" s="33">
        <f>C30*'E Balans VL '!I18/100/3.6*1000000</f>
        <v>0.77000484317698414</v>
      </c>
      <c r="F8" s="33">
        <f>C30*'E Balans VL '!L18/100/3.6*1000000+C30*'E Balans VL '!N18/100/3.6*1000000</f>
        <v>9.6427126178137552</v>
      </c>
      <c r="G8" s="34"/>
      <c r="H8" s="33"/>
      <c r="I8" s="33"/>
      <c r="J8" s="40">
        <f>C30*'E Balans VL '!D18/100/3.6*1000000+C30*'E Balans VL '!E18/100/3.6*1000000</f>
        <v>0</v>
      </c>
      <c r="K8" s="33"/>
      <c r="L8" s="33"/>
      <c r="M8" s="33"/>
      <c r="N8" s="33">
        <f>C30*'E Balans VL '!Y18/100/3.6*1000000</f>
        <v>0.77296145843297204</v>
      </c>
      <c r="O8" s="33"/>
      <c r="P8" s="33"/>
      <c r="R8" s="32"/>
    </row>
    <row r="9" spans="1:18">
      <c r="A9" s="6" t="s">
        <v>32</v>
      </c>
      <c r="B9" s="37">
        <f t="shared" si="0"/>
        <v>867.5696999999999</v>
      </c>
      <c r="C9" s="33"/>
      <c r="D9" s="37">
        <f>IF( ISERROR(IND_andere_gas_kWh/1000),0,IND_andere_gas_kWh/1000)*0.902</f>
        <v>509.16118675943738</v>
      </c>
      <c r="E9" s="33">
        <f>C31*'E Balans VL '!I19/100/3.6*1000000</f>
        <v>238.5460840805226</v>
      </c>
      <c r="F9" s="33">
        <f>C31*'E Balans VL '!L19/100/3.6*1000000+C31*'E Balans VL '!N19/100/3.6*1000000</f>
        <v>683.79589156699171</v>
      </c>
      <c r="G9" s="34"/>
      <c r="H9" s="33"/>
      <c r="I9" s="33"/>
      <c r="J9" s="40">
        <f>C31*'E Balans VL '!D19/100/3.6*1000000+C31*'E Balans VL '!E19/100/3.6*1000000</f>
        <v>0</v>
      </c>
      <c r="K9" s="33"/>
      <c r="L9" s="33"/>
      <c r="M9" s="33"/>
      <c r="N9" s="33">
        <f>C31*'E Balans VL '!Y19/100/3.6*1000000</f>
        <v>69.891961735794723</v>
      </c>
      <c r="O9" s="33"/>
      <c r="P9" s="33"/>
      <c r="R9" s="32"/>
    </row>
    <row r="10" spans="1:18">
      <c r="A10" s="6" t="s">
        <v>40</v>
      </c>
      <c r="B10" s="37">
        <f t="shared" si="0"/>
        <v>148.4554</v>
      </c>
      <c r="C10" s="33"/>
      <c r="D10" s="37">
        <f>IF( ISERROR(IND_voed_gas_kWh/1000),0,IND_voed_gas_kWh/1000)*0.902</f>
        <v>0</v>
      </c>
      <c r="E10" s="33">
        <f>C32*'E Balans VL '!I20/100/3.6*1000000</f>
        <v>1.5134210184534755</v>
      </c>
      <c r="F10" s="33">
        <f>C32*'E Balans VL '!L20/100/3.6*1000000+C32*'E Balans VL '!N20/100/3.6*1000000</f>
        <v>280.43132210110196</v>
      </c>
      <c r="G10" s="34"/>
      <c r="H10" s="33"/>
      <c r="I10" s="33"/>
      <c r="J10" s="40">
        <f>C32*'E Balans VL '!D20/100/3.6*1000000+C32*'E Balans VL '!E20/100/3.6*1000000</f>
        <v>3.5530234702679762</v>
      </c>
      <c r="K10" s="33"/>
      <c r="L10" s="33"/>
      <c r="M10" s="33"/>
      <c r="N10" s="33">
        <f>C32*'E Balans VL '!Y20/100/3.6*1000000</f>
        <v>78.253095765221303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9348.973</v>
      </c>
      <c r="C15" s="33"/>
      <c r="D15" s="37">
        <f>IF( ISERROR(IND_rest_gas_kWh/1000),0,IND_rest_gas_kWh/1000)*0.902</f>
        <v>2477.3620506623074</v>
      </c>
      <c r="E15" s="33">
        <f>C37*'E Balans VL '!I15/100/3.6*1000000</f>
        <v>475.61133507484345</v>
      </c>
      <c r="F15" s="33">
        <f>C37*'E Balans VL '!L15/100/3.6*1000000+C37*'E Balans VL '!N15/100/3.6*1000000</f>
        <v>2130.9826944709616</v>
      </c>
      <c r="G15" s="34"/>
      <c r="H15" s="33"/>
      <c r="I15" s="33"/>
      <c r="J15" s="40">
        <f>C37*'E Balans VL '!D15/100/3.6*1000000+C37*'E Balans VL '!E15/100/3.6*1000000</f>
        <v>39.222030269755081</v>
      </c>
      <c r="K15" s="33"/>
      <c r="L15" s="33"/>
      <c r="M15" s="33"/>
      <c r="N15" s="33">
        <f>C37*'E Balans VL '!Y15/100/3.6*1000000</f>
        <v>509.30397288781472</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10395.76568</v>
      </c>
      <c r="C18" s="21">
        <f>C5+C16</f>
        <v>0</v>
      </c>
      <c r="D18" s="21">
        <f>MAX((D5+D16),0)</f>
        <v>2986.5232374217449</v>
      </c>
      <c r="E18" s="21">
        <f>MAX((E5+E16),0)</f>
        <v>716.44084501699649</v>
      </c>
      <c r="F18" s="21">
        <f>MAX((F5+F16),0)</f>
        <v>3104.8526207568693</v>
      </c>
      <c r="G18" s="21"/>
      <c r="H18" s="21"/>
      <c r="I18" s="21"/>
      <c r="J18" s="21">
        <f>MAX((J5+J16),0)</f>
        <v>42.775053740023054</v>
      </c>
      <c r="K18" s="21"/>
      <c r="L18" s="21">
        <f>MAX((L5+L16),0)</f>
        <v>0</v>
      </c>
      <c r="M18" s="21"/>
      <c r="N18" s="21">
        <f>MAX((N5+N16),0)</f>
        <v>658.22199184726378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0.20751810406627549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2157.3095842308553</v>
      </c>
      <c r="C22" s="23">
        <f ca="1">C18*C20</f>
        <v>0</v>
      </c>
      <c r="D22" s="23">
        <f>D18*D20</f>
        <v>603.27769395919245</v>
      </c>
      <c r="E22" s="23">
        <f>E18*E20</f>
        <v>162.63207181885821</v>
      </c>
      <c r="F22" s="23">
        <f>F18*F20</f>
        <v>828.9956497420842</v>
      </c>
      <c r="G22" s="23"/>
      <c r="H22" s="23"/>
      <c r="I22" s="23"/>
      <c r="J22" s="23">
        <f>J18*J20</f>
        <v>15.142369023968161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30.767580000000002</v>
      </c>
      <c r="C30" s="39">
        <f>IF(ISERROR(B30*3.6/1000000/'E Balans VL '!Z18*100),0,B30*3.6/1000000/'E Balans VL '!Z18*100)</f>
        <v>4.3064358590692462E-3</v>
      </c>
      <c r="D30" s="233" t="s">
        <v>676</v>
      </c>
    </row>
    <row r="31" spans="1:18">
      <c r="A31" s="6" t="s">
        <v>32</v>
      </c>
      <c r="B31" s="37">
        <f>IF( ISERROR(IND_ander_ele_kWh/1000),0,IND_ander_ele_kWh/1000)</f>
        <v>867.5696999999999</v>
      </c>
      <c r="C31" s="39">
        <f>IF(ISERROR(B31*3.6/1000000/'E Balans VL '!Z19*100),0,B31*3.6/1000000/'E Balans VL '!Z19*100)</f>
        <v>3.7973385029199135E-2</v>
      </c>
      <c r="D31" s="233" t="s">
        <v>676</v>
      </c>
    </row>
    <row r="32" spans="1:18">
      <c r="A32" s="168" t="s">
        <v>40</v>
      </c>
      <c r="B32" s="37">
        <f>IF( ISERROR(IND_voed_ele_kWh/1000),0,IND_voed_ele_kWh/1000)</f>
        <v>148.4554</v>
      </c>
      <c r="C32" s="39">
        <f>IF(ISERROR(B32*3.6/1000000/'E Balans VL '!Z20*100),0,B32*3.6/1000000/'E Balans VL '!Z20*100)</f>
        <v>3.6752627079338684E-2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9348.973</v>
      </c>
      <c r="C37" s="39">
        <f>IF(ISERROR(B37*3.6/1000000/'E Balans VL '!Z15*100),0,B37*3.6/1000000/'E Balans VL '!Z15*100)</f>
        <v>6.9321034183090185E-2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369.1275</v>
      </c>
      <c r="C5" s="17">
        <f>'Eigen informatie GS &amp; warmtenet'!B60</f>
        <v>0</v>
      </c>
      <c r="D5" s="30">
        <f>IF(ISERROR(SUM(LB_lb_gas_kWh,LB_rest_gas_kWh)/1000),0,SUM(LB_lb_gas_kWh,LB_rest_gas_kWh)/1000)*0.902</f>
        <v>101.9049626588248</v>
      </c>
      <c r="E5" s="17">
        <f>B17*'E Balans VL '!I25/3.6*1000000/100</f>
        <v>3.419013509808571</v>
      </c>
      <c r="F5" s="17">
        <f>B17*('E Balans VL '!L25/3.6*1000000+'E Balans VL '!N25/3.6*1000000)/100</f>
        <v>936.54678621658752</v>
      </c>
      <c r="G5" s="18"/>
      <c r="H5" s="17"/>
      <c r="I5" s="17"/>
      <c r="J5" s="17">
        <f>('E Balans VL '!D25+'E Balans VL '!E25)/3.6*1000000*landbouw!B17/100</f>
        <v>56.591365224923074</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369.1275</v>
      </c>
      <c r="C8" s="21">
        <f>C5+C6</f>
        <v>0</v>
      </c>
      <c r="D8" s="21">
        <f>MAX((D5+D6),0)</f>
        <v>101.9049626588248</v>
      </c>
      <c r="E8" s="21">
        <f>MAX((E5+E6),0)</f>
        <v>3.419013509808571</v>
      </c>
      <c r="F8" s="21">
        <f>MAX((F5+F6),0)</f>
        <v>936.54678621658752</v>
      </c>
      <c r="G8" s="21"/>
      <c r="H8" s="21"/>
      <c r="I8" s="21"/>
      <c r="J8" s="21">
        <f>MAX((J5+J6),0)</f>
        <v>56.591365224923074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0.20751810406627549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76.600638958724105</v>
      </c>
      <c r="C12" s="23">
        <f ca="1">C8*C10</f>
        <v>0</v>
      </c>
      <c r="D12" s="23">
        <f>D8*D10</f>
        <v>20.58480245708261</v>
      </c>
      <c r="E12" s="23">
        <f>E8*E10</f>
        <v>0.77611606672654565</v>
      </c>
      <c r="F12" s="23">
        <f>F8*F10</f>
        <v>250.05799191982888</v>
      </c>
      <c r="G12" s="23"/>
      <c r="H12" s="23"/>
      <c r="I12" s="23"/>
      <c r="J12" s="23">
        <f>J8*J10</f>
        <v>20.033343289622767</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5.248210364413524E-2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92.814115424312718</v>
      </c>
      <c r="C26" s="243">
        <f>B26*'GWP N2O_CH4'!B5</f>
        <v>1949.096423910567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12.651092417909508</v>
      </c>
      <c r="C27" s="243">
        <f>B27*'GWP N2O_CH4'!B5</f>
        <v>265.67294077609967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1.3477222882653987</v>
      </c>
      <c r="C28" s="243">
        <f>B28*'GWP N2O_CH4'!B4</f>
        <v>417.79390936227361</v>
      </c>
      <c r="D28" s="50"/>
    </row>
    <row r="29" spans="1:4">
      <c r="A29" s="41" t="s">
        <v>266</v>
      </c>
      <c r="B29" s="243">
        <f>B34*'ha_N2O bodem landbouw'!B4</f>
        <v>6.6926048062128611</v>
      </c>
      <c r="C29" s="243">
        <f>B29*'GWP N2O_CH4'!B4</f>
        <v>2074.7074899259869</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1.5010333523375143E-3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1.2660345599210308E-4</v>
      </c>
      <c r="C5" s="430" t="s">
        <v>204</v>
      </c>
      <c r="D5" s="415">
        <f>SUM(D6:D11)</f>
        <v>1.8986536835659208E-4</v>
      </c>
      <c r="E5" s="415">
        <f>SUM(E6:E11)</f>
        <v>2.0921748856522122E-3</v>
      </c>
      <c r="F5" s="428" t="s">
        <v>204</v>
      </c>
      <c r="G5" s="415">
        <f>SUM(G6:G11)</f>
        <v>0.69885096785645839</v>
      </c>
      <c r="H5" s="415">
        <f>SUM(H6:H11)</f>
        <v>0.1123185900627641</v>
      </c>
      <c r="I5" s="430" t="s">
        <v>204</v>
      </c>
      <c r="J5" s="430" t="s">
        <v>204</v>
      </c>
      <c r="K5" s="430" t="s">
        <v>204</v>
      </c>
      <c r="L5" s="430" t="s">
        <v>204</v>
      </c>
      <c r="M5" s="415">
        <f>SUM(M6:M11)</f>
        <v>4.394342686111756E-2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1.1613291434466395E-5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1.7539996282603877E-5</v>
      </c>
      <c r="E6" s="858">
        <f>vkm_GW_PW*SUMIFS(TableVerdeelsleutelVkm[LPG],TableVerdeelsleutelVkm[Voertuigtype],"Lichte voertuigen")*SUMIFS(TableECFTransport[EnergieConsumptieFactor (PJ per km)],TableECFTransport[Index],CONCATENATE($A6,"_LPG_LPG"))</f>
        <v>1.7276036081805102E-4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3.9523941373220739E-2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1.0199657018515801E-2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2.6026043556662921E-3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1.2046709916130384E-6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4.6235774485051291E-2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8.7424583981234682E-7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2.6806449930689255E-3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2.5521819535725587E-5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5.8146957744420618E-5</v>
      </c>
      <c r="E8" s="418">
        <f>vkm_NGW_PW*SUMIFS(TableVerdeelsleutelVkm[LPG],TableVerdeelsleutelVkm[Voertuigtype],"Lichte voertuigen")*SUMIFS(TableECFTransport[EnergieConsumptieFactor (PJ per km)],TableECFTransport[Index],CONCATENATE($A8,"_LPG_LPG"))</f>
        <v>5.4621121226277138E-4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0.11597993115710187</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3.2663729943192318E-2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7.7205236096476327E-3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8.4352016600467683E-7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4.1595418754866859E-2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7.3888531902211913E-7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2.4116062746626791E-3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8.2863803992651693E-5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1.1417841432956759E-4</v>
      </c>
      <c r="E10" s="418">
        <f>vkm_SW_PW*SUMIFS(TableVerdeelsleutelVkm[LPG],TableVerdeelsleutelVkm[Voertuigtype],"Lichte voertuigen")*SUMIFS(TableECFTransport[EnergieConsumptieFactor (PJ per km)],TableECFTransport[Index],CONCATENATE($A10,"_LPG_LPG"))</f>
        <v>1.3732033125713897E-3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0.28882101101213797</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6.9450186572783693E-2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1.8863449495067765E-2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4.5563498716416877E-6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0.16669489107407964</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3.4033971134572579E-6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9.6645981330042655E-3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35.167626664473076</v>
      </c>
      <c r="C14" s="21"/>
      <c r="D14" s="21">
        <f t="shared" ref="D14:M14" si="0">((D5)*10^9/3600)+D12</f>
        <v>52.740380099053354</v>
      </c>
      <c r="E14" s="21">
        <f t="shared" si="0"/>
        <v>581.15969045894781</v>
      </c>
      <c r="F14" s="21"/>
      <c r="G14" s="21">
        <f t="shared" si="0"/>
        <v>194125.26884901623</v>
      </c>
      <c r="H14" s="21">
        <f t="shared" si="0"/>
        <v>31199.608350767805</v>
      </c>
      <c r="I14" s="21"/>
      <c r="J14" s="21"/>
      <c r="K14" s="21"/>
      <c r="L14" s="21"/>
      <c r="M14" s="21">
        <f t="shared" si="0"/>
        <v>12206.507461421543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0.20751810406627549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7.2979192099220489</v>
      </c>
      <c r="C18" s="23"/>
      <c r="D18" s="23">
        <f t="shared" ref="D18:M18" si="1">D14*D16</f>
        <v>10.653556780008778</v>
      </c>
      <c r="E18" s="23">
        <f t="shared" si="1"/>
        <v>131.92324973418116</v>
      </c>
      <c r="F18" s="23"/>
      <c r="G18" s="23">
        <f t="shared" si="1"/>
        <v>51831.446782687337</v>
      </c>
      <c r="H18" s="23">
        <f t="shared" si="1"/>
        <v>7768.7024793411838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3.2800477542352746E-5</v>
      </c>
      <c r="C50" s="313">
        <f t="shared" ref="C50:P50" si="2">SUM(C51:C52)</f>
        <v>0</v>
      </c>
      <c r="D50" s="313">
        <f t="shared" si="2"/>
        <v>0</v>
      </c>
      <c r="E50" s="313">
        <f t="shared" si="2"/>
        <v>0</v>
      </c>
      <c r="F50" s="313">
        <f t="shared" si="2"/>
        <v>0</v>
      </c>
      <c r="G50" s="313">
        <f t="shared" si="2"/>
        <v>6.2152576936621356E-3</v>
      </c>
      <c r="H50" s="313">
        <f t="shared" si="2"/>
        <v>0</v>
      </c>
      <c r="I50" s="313">
        <f t="shared" si="2"/>
        <v>0</v>
      </c>
      <c r="J50" s="313">
        <f t="shared" si="2"/>
        <v>0</v>
      </c>
      <c r="K50" s="313">
        <f t="shared" si="2"/>
        <v>0</v>
      </c>
      <c r="L50" s="313">
        <f t="shared" si="2"/>
        <v>0</v>
      </c>
      <c r="M50" s="313">
        <f t="shared" si="2"/>
        <v>3.5780017877440351E-4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3.2800477542352746E-5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6.2152576936621356E-3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3.5780017877440351E-4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9.1112437617646513</v>
      </c>
      <c r="C54" s="21">
        <f t="shared" ref="C54:P54" si="3">(C50)*10^9/3600</f>
        <v>0</v>
      </c>
      <c r="D54" s="21">
        <f t="shared" si="3"/>
        <v>0</v>
      </c>
      <c r="E54" s="21">
        <f t="shared" si="3"/>
        <v>0</v>
      </c>
      <c r="F54" s="21">
        <f t="shared" si="3"/>
        <v>0</v>
      </c>
      <c r="G54" s="21">
        <f t="shared" si="3"/>
        <v>1726.4604704617045</v>
      </c>
      <c r="H54" s="21">
        <f t="shared" si="3"/>
        <v>0</v>
      </c>
      <c r="I54" s="21">
        <f t="shared" si="3"/>
        <v>0</v>
      </c>
      <c r="J54" s="21">
        <f t="shared" si="3"/>
        <v>0</v>
      </c>
      <c r="K54" s="21">
        <f t="shared" si="3"/>
        <v>0</v>
      </c>
      <c r="L54" s="21">
        <f t="shared" si="3"/>
        <v>0</v>
      </c>
      <c r="M54" s="21">
        <f t="shared" si="3"/>
        <v>99.388938548445424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0.20751810406627549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1.8907480311270803</v>
      </c>
      <c r="C58" s="23">
        <f t="shared" ref="C58:P58" ca="1" si="4">C54*C56</f>
        <v>0</v>
      </c>
      <c r="D58" s="23">
        <f t="shared" si="4"/>
        <v>0</v>
      </c>
      <c r="E58" s="23">
        <f t="shared" si="4"/>
        <v>0</v>
      </c>
      <c r="F58" s="23">
        <f t="shared" si="4"/>
        <v>0</v>
      </c>
      <c r="G58" s="23">
        <f t="shared" si="4"/>
        <v>460.96494561327512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3866.9770338355443</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3866.9770338355443</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2021-11-11T13:09:40Z</dcterms:modified>
</cp:coreProperties>
</file>