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9CD10BA1-B679-490F-B6F7-BFF37E0BAD3E}"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2" i="48" s="1"/>
  <c r="K4" i="48"/>
  <c r="I4" i="48"/>
  <c r="H4" i="48"/>
  <c r="G4" i="48"/>
  <c r="H11" i="48"/>
  <c r="G11" i="48"/>
  <c r="P3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D90" i="14"/>
  <c r="A31" i="23"/>
  <c r="A32" i="23"/>
  <c r="A33" i="23"/>
  <c r="Q87" i="14" l="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6" i="13"/>
  <c r="B32" i="13"/>
  <c r="B35" i="13"/>
  <c r="C35" i="13" s="1"/>
  <c r="B34" i="13"/>
  <c r="B33"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<sst xmlns="http://schemas.openxmlformats.org/spreadsheetml/2006/main" count="2501" uniqueCount="922">
  <si>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</si>
  <si>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</si>
  <si>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</si>
  <si>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</si>
  <si>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</si>
  <si>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</si>
  <si>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</si>
  <si>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</si>
  <si>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</si>
  <si>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</si>
  <si>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</si>
  <si>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</si>
  <si>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</si>
  <si>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</si>
  <si>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</si>
  <si>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</si>
  <si>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</si>
  <si>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</si>
  <si>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</si>
  <si>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</si>
  <si>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</si>
  <si>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</si>
  <si>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</si>
  <si>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</si>
  <si>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</si>
  <si>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</si>
  <si>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</si>
  <si>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</si>
  <si>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</si>
  <si>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</si>
  <si>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</si>
  <si>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</si>
  <si>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</si>
  <si>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</si>
  <si>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</si>
  <si>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</si>
  <si>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</si>
  <si>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</si>
  <si>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</si>
  <si>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</si>
  <si>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</si>
  <si>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</si>
  <si>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</si>
  <si>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</si>
  <si>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</si>
  <si>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</si>
  <si>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</si>
  <si>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</si>
  <si>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</si>
  <si>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</si>
  <si>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</si>
  <si>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</si>
  <si>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</si>
  <si>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</si>
  <si>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</si>
  <si>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</si>
  <si>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</si>
  <si>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</si>
  <si>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</si>
  <si>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</si>
  <si>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</si>
  <si>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</si>
  <si>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</si>
  <si>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</si>
  <si>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</si>
  <si>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</si>
  <si>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</si>
  <si>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</si>
  <si>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</si>
  <si>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</si>
  <si>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</si>
  <si>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</si>
  <si>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</si>
  <si>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</si>
  <si>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</si>
  <si>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</si>
  <si>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</si>
  <si>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</si>
  <si>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</si>
  <si>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</si>
  <si>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</si>
  <si>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</si>
  <si>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</si>
  <si>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</si>
  <si>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</si>
  <si>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</si>
  <si>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</si>
  <si>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</si>
  <si>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</si>
  <si>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</si>
  <si>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</si>
  <si>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</si>
  <si>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</si>
  <si>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</si>
  <si>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</si>
  <si>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</si>
  <si>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</si>
  <si>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</si>
  <si>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</si>
  <si>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</si>
  <si>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</si>
  <si>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</si>
  <si>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</si>
  <si>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</si>
  <si>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</si>
  <si>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</si>
  <si>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</si>
  <si>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</si>
  <si>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</si>
  <si>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</si>
  <si>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</si>
  <si>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</si>
  <si>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</si>
  <si>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</si>
  <si>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</si>
  <si>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</si>
  <si>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</si>
  <si>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</si>
  <si>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</si>
  <si>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</si>
  <si>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</si>
  <si>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</si>
  <si>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</si>
  <si>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</si>
  <si>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</si>
  <si>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</si>
  <si>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</si>
  <si>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</si>
  <si>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</si>
  <si>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</si>
  <si>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</si>
  <si>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</si>
  <si>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</si>
  <si>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</si>
  <si>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</si>
  <si>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</si>
  <si>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</si>
  <si>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</si>
  <si>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</si>
  <si>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</si>
  <si>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</si>
  <si>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</si>
  <si>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</si>
  <si>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</si>
  <si>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</si>
  <si>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</si>
  <si>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</si>
  <si>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</si>
  <si>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</si>
  <si>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</si>
  <si>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</si>
  <si>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</si>
  <si>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</si>
  <si>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</si>
  <si>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</si>
  <si>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</si>
  <si>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</si>
  <si>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</si>
  <si>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</si>
  <si>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</si>
  <si>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</si>
  <si>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</si>
  <si>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</si>
  <si>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</si>
  <si>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</si>
  <si>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</si>
  <si>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</si>
  <si>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</si>
  <si>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</si>
  <si>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</si>
  <si>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</si>
  <si>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</si>
  <si>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</si>
  <si>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</si>
  <si>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</si>
  <si>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</si>
  <si>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</si>
  <si>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</si>
  <si>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</si>
  <si>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</si>
  <si>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</si>
  <si>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</si>
  <si>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</si>
  <si>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</si>
  <si>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</si>
  <si>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</si>
  <si>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</si>
  <si>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</si>
  <si>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</si>
  <si>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</si>
  <si>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</si>
  <si>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</si>
  <si>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</si>
  <si>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</si>
  <si>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</si>
  <si>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</si>
  <si>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</si>
  <si>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</si>
  <si>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</si>
  <si>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</si>
  <si>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</si>
  <si>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</si>
  <si>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</si>
  <si>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</si>
  <si>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</si>
  <si>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</si>
  <si>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</si>
  <si>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</si>
  <si>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</si>
  <si>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</si>
  <si>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</si>
  <si>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</si>
  <si>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</si>
  <si>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</si>
  <si>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</si>
  <si>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</si>
  <si>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</si>
  <si>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</si>
  <si>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</si>
  <si>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</si>
  <si>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</si>
  <si>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</si>
  <si>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</si>
  <si>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</si>
  <si>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</si>
  <si>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</si>
  <si>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</si>
  <si>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</si>
  <si>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</si>
  <si>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</si>
  <si>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</si>
  <si>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</si>
  <si>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</si>
  <si>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</si>
  <si>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</si>
  <si>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</si>
  <si>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</si>
  <si>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</si>
  <si>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</si>
  <si>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</si>
  <si>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</si>
  <si>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</si>
  <si>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</si>
  <si>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</si>
  <si>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</si>
  <si>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</si>
  <si>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</si>
  <si>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</si>
  <si>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</si>
  <si>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</si>
  <si>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</si>
  <si>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</si>
  <si>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</si>
  <si>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</si>
  <si>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</si>
  <si>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</si>
  <si>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</si>
  <si>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</si>
  <si>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</si>
  <si>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</si>
  <si>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</si>
  <si>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</si>
  <si>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</si>
  <si>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</si>
  <si>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</si>
  <si>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</si>
  <si>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</si>
  <si>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</si>
  <si>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</si>
  <si>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</si>
  <si>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</si>
  <si>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</si>
  <si>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</si>
  <si>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</si>
  <si>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</si>
  <si>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</si>
  <si>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</si>
  <si>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</si>
  <si>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</si>
  <si>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</si>
  <si>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</si>
  <si>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</si>
  <si>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</si>
  <si>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</si>
  <si>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</si>
  <si>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</si>
  <si>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</si>
  <si>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</si>
  <si>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</si>
  <si>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</si>
  <si>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</si>
  <si>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</si>
  <si>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</si>
  <si>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</si>
  <si>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</si>
  <si>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</si>
  <si>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</si>
  <si>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</si>
  <si>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</si>
  <si>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</si>
  <si>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</si>
  <si>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</si>
  <si>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</si>
  <si>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</si>
  <si>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</si>
  <si>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</si>
  <si>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</si>
  <si>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</si>
  <si>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</si>
  <si>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</si>
  <si>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</si>
  <si>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</si>
  <si>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</si>
  <si>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</si>
  <si>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</si>
  <si>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</si>
  <si>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</si>
  <si>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</si>
  <si>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</si>
  <si>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</si>
  <si>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</si>
  <si>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</si>
  <si>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</si>
  <si>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</si>
  <si>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</si>
  <si>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</si>
  <si>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</si>
  <si>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</si>
  <si>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</si>
  <si>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</si>
  <si>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</si>
  <si>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</si>
  <si>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</si>
  <si>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</si>
  <si>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</si>
  <si>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</si>
  <si>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</si>
  <si>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</si>
  <si>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</si>
  <si>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</si>
  <si>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</si>
  <si>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</si>
  <si>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</si>
  <si>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</si>
  <si>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</si>
  <si>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</si>
  <si>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</si>
  <si>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</si>
  <si>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</si>
  <si>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</si>
  <si>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</si>
  <si>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</si>
  <si>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</si>
  <si>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</si>
  <si>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</si>
  <si>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</si>
  <si>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</si>
  <si>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</si>
  <si>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</si>
  <si>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</si>
  <si>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</si>
  <si>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</si>
  <si>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</si>
  <si>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</si>
  <si>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</si>
  <si>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</si>
  <si>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</si>
  <si>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</si>
  <si>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</si>
  <si>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</si>
  <si>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</si>
  <si>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</si>
  <si>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</si>
  <si>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</si>
  <si>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</si>
  <si>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</si>
  <si>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</si>
  <si>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</si>
  <si>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</si>
  <si>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</si>
  <si>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</si>
  <si>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</si>
  <si>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</si>
  <si>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</si>
  <si>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</si>
  <si>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</si>
  <si>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</si>
  <si>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</si>
  <si>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</si>
  <si>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</si>
  <si>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</si>
  <si>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</si>
  <si>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</si>
  <si>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</si>
  <si>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</si>
  <si>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</si>
  <si>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</si>
  <si>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</si>
  <si>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</si>
  <si>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</si>
  <si>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</si>
  <si>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</si>
  <si>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</si>
  <si>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</si>
  <si>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</si>
  <si>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</si>
  <si>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</si>
  <si>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</si>
  <si>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</si>
  <si>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</si>
  <si>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</si>
  <si>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</si>
  <si>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</si>
  <si>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</si>
  <si>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</si>
  <si>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</si>
  <si>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</si>
  <si>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</si>
  <si>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</si>
  <si>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</si>
  <si>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</si>
  <si>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</si>
  <si>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</si>
  <si>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</si>
  <si>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</si>
  <si>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</si>
  <si>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</si>
  <si>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</si>
  <si>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</si>
  <si>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</si>
  <si>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</si>
  <si>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</si>
  <si>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</si>
  <si>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</si>
  <si>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</si>
  <si>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</si>
  <si>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</si>
  <si>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</si>
  <si>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</si>
  <si>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</si>
  <si>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</si>
  <si>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</si>
  <si>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</si>
  <si>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</si>
  <si>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</si>
  <si>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</si>
  <si>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</si>
  <si>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</si>
  <si>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</si>
  <si>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</si>
  <si>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</si>
  <si>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</si>
  <si>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</si>
  <si>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</si>
  <si>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</si>
  <si>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</si>
  <si>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</si>
  <si>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</si>
  <si>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</si>
  <si>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</si>
  <si>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</si>
  <si>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</si>
  <si>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</si>
  <si>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</si>
  <si>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</si>
  <si>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</si>
  <si>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</si>
  <si>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</si>
  <si>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</si>
  <si>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</si>
  <si>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</si>
  <si>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</si>
  <si>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</si>
  <si>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</si>
  <si>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</si>
  <si>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</si>
  <si>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</si>
  <si>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</si>
  <si>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</si>
  <si>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</si>
  <si>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</si>
  <si>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</si>
  <si>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</si>
  <si>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</si>
  <si>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</si>
  <si>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</si>
  <si>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</si>
  <si>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</si>
  <si>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</si>
  <si>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</si>
  <si>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</si>
  <si>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</si>
  <si>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</si>
  <si>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</si>
  <si>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</si>
  <si>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</si>
  <si>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</si>
  <si>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</si>
  <si>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</si>
  <si>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</si>
  <si>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</si>
  <si>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</si>
  <si>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</si>
  <si>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</si>
  <si>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</si>
  <si>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</si>
  <si>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</si>
  <si>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</si>
  <si>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</si>
  <si>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</si>
  <si>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</si>
  <si>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</si>
  <si>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</si>
  <si>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</si>
  <si>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</si>
  <si>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</si>
  <si>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</si>
  <si>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</si>
  <si>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</si>
  <si>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</si>
  <si>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</si>
  <si>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</si>
  <si>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</si>
  <si>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</si>
  <si>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</si>
  <si>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</si>
  <si>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</si>
  <si>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</si>
  <si>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</si>
  <si>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</si>
  <si>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</si>
  <si>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</si>
  <si>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</si>
  <si>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</si>
  <si>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</si>
  <si>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</si>
  <si>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</si>
  <si>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</si>
  <si>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</si>
  <si>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</si>
  <si>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</si>
  <si>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</si>
  <si>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</si>
  <si>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</si>
  <si>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</si>
  <si>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</si>
  <si>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</si>
  <si>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</si>
  <si>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</si>
  <si>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</si>
  <si>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</si>
  <si>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</si>
  <si>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</si>
  <si>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</si>
  <si>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</si>
  <si>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</si>
  <si>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</si>
  <si>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</si>
  <si>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</si>
  <si>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</si>
  <si>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</si>
  <si>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</si>
  <si>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</si>
  <si>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</si>
  <si>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</si>
  <si>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</si>
  <si>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</si>
  <si>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</si>
  <si>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</si>
  <si>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</si>
  <si>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</si>
  <si>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</si>
  <si>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</si>
  <si>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</si>
  <si>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</si>
  <si>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</si>
  <si>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</si>
  <si>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</si>
  <si>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</si>
  <si>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</si>
  <si>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</si>
  <si>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</si>
  <si>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</si>
  <si>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</si>
  <si>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</si>
  <si>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</si>
  <si>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</si>
  <si>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</si>
  <si>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</si>
  <si>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</si>
  <si>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</si>
  <si>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</si>
  <si>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</si>
  <si>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</si>
  <si>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</si>
  <si>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</si>
  <si>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</si>
  <si>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</si>
  <si>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</si>
  <si>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</si>
  <si>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</si>
  <si>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</si>
  <si>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</si>
  <si>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</si>
  <si>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</si>
  <si>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</si>
  <si>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</si>
  <si>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</si>
  <si>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</si>
  <si>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</si>
  <si>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</si>
  <si>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</si>
  <si>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</si>
  <si>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</si>
  <si>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</si>
  <si>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</si>
  <si>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</si>
  <si>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</si>
  <si>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</si>
  <si>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</si>
  <si>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</si>
  <si>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</si>
  <si>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</si>
  <si>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</si>
  <si>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</si>
  <si>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</si>
  <si>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</si>
  <si>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</si>
  <si>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</si>
  <si>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</si>
  <si>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</si>
  <si>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</si>
  <si>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</si>
  <si>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</si>
  <si>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</si>
  <si>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</si>
  <si>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</si>
  <si>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</si>
  <si>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</si>
  <si>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</si>
  <si>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</si>
  <si>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</si>
  <si>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</si>
  <si>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</si>
  <si>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</si>
  <si>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</si>
  <si>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</si>
  <si>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</si>
  <si>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</si>
  <si>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</si>
  <si>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</si>
  <si>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</si>
  <si>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</si>
  <si>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</si>
  <si>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</si>
  <si>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</si>
  <si>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</si>
  <si>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</si>
  <si>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</si>
  <si>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</si>
  <si>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</si>
  <si>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</si>
  <si>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</si>
  <si>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</si>
  <si>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</si>
  <si>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</si>
  <si>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</si>
  <si>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</si>
  <si>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</si>
  <si>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</si>
  <si>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</si>
  <si>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</si>
  <si>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</si>
  <si>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</si>
  <si>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</si>
  <si>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</si>
  <si>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</si>
  <si>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</si>
  <si>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</si>
  <si>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</si>
  <si>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</si>
  <si>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</si>
  <si>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</si>
  <si>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</si>
  <si>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</si>
  <si>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</si>
  <si>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</si>
  <si>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</si>
  <si>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</si>
  <si>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</si>
  <si>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</si>
  <si>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</si>
  <si>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</si>
  <si>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</si>
  <si>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</si>
  <si>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</si>
  <si>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</si>
  <si>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</si>
  <si>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</si>
  <si>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</si>
  <si>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</si>
  <si>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</si>
  <si>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</si>
  <si>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</si>
  <si>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</si>
  <si>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</si>
  <si>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</si>
  <si>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</si>
  <si>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</si>
  <si>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</si>
  <si>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</si>
  <si>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</si>
  <si>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</si>
  <si>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</si>
  <si>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</si>
  <si>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</si>
  <si>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</si>
  <si>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</si>
  <si>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</si>
  <si>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</si>
  <si>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</si>
  <si>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</si>
  <si>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</si>
  <si>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</si>
  <si>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</si>
  <si>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</si>
  <si>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</si>
  <si>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</si>
  <si>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</si>
  <si>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</si>
  <si>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</si>
  <si>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</si>
  <si>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</si>
  <si>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</si>
  <si>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</si>
  <si>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</si>
  <si>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</si>
  <si>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</si>
  <si>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</si>
  <si>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</si>
  <si>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</si>
  <si>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</si>
  <si>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</si>
  <si>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</si>
  <si>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</si>
  <si>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</si>
  <si>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</si>
  <si>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</si>
  <si>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</si>
  <si>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</si>
  <si>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</si>
  <si>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</si>
  <si>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</si>
  <si>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</si>
  <si>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</si>
  <si>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</si>
  <si>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</si>
  <si>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</si>
  <si>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</si>
  <si>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</si>
  <si>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</si>
  <si>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</si>
  <si>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</si>
  <si>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</si>
  <si>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</si>
  <si>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</si>
  <si>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</si>
  <si>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</si>
  <si>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</si>
  <si>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</si>
  <si>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</si>
  <si>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</si>
  <si>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</si>
  <si>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</si>
  <si>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</si>
  <si>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</si>
  <si>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</si>
  <si>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</si>
  <si>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</si>
  <si>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</si>
  <si>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</si>
  <si>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</si>
  <si>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</si>
  <si>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</si>
  <si>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</si>
  <si>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</si>
  <si>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</si>
  <si>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</si>
  <si>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</si>
  <si>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</si>
  <si>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</si>
  <si>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</si>
  <si>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</si>
  <si>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</si>
  <si>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</si>
  <si>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</si>
  <si>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</si>
  <si>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</si>
  <si>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</si>
  <si>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</si>
  <si>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</si>
  <si>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</si>
  <si>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</si>
  <si>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</si>
  <si>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</si>
  <si>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</si>
  <si>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</si>
  <si>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</si>
  <si>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</si>
  <si>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</si>
  <si>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</si>
  <si>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</si>
  <si>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</si>
  <si>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</si>
  <si>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</si>
  <si>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</si>
  <si>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</si>
  <si>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</si>
  <si>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</si>
  <si>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</si>
  <si>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</si>
  <si>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</si>
  <si>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</si>
  <si>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</si>
  <si>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</si>
  <si>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</si>
  <si>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</si>
  <si>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</si>
  <si>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</si>
  <si>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</si>
  <si>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</si>
  <si>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</si>
  <si>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</si>
  <si>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</si>
  <si>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</si>
  <si>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</si>
  <si>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</si>
  <si>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</si>
  <si>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</si>
  <si>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</si>
  <si>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</si>
  <si>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</si>
  <si>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</si>
  <si>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</si>
  <si>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</si>
  <si>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</si>
  <si>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</si>
  <si>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</si>
  <si>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</si>
  <si>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</si>
  <si>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</si>
  <si>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</si>
  <si>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</si>
  <si>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</si>
  <si>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</si>
  <si>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</si>
  <si>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</si>
  <si>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</si>
  <si>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</si>
  <si>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</si>
  <si>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</si>
  <si>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</si>
  <si>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</si>
  <si>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</si>
  <si>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</si>
  <si>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</si>
  <si>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</si>
  <si>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</si>
  <si>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</si>
  <si>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</si>
  <si>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</si>
  <si>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</si>
  <si>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</si>
  <si>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</si>
  <si>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</si>
  <si>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</si>
  <si>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</si>
  <si>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</si>
  <si>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</si>
  <si>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</si>
  <si>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</si>
  <si>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</si>
  <si>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</si>
  <si>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</si>
  <si>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</si>
  <si>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</si>
  <si>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</si>
  <si>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</si>
  <si>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</si>
  <si>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</si>
  <si>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</si>
  <si>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</si>
  <si>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</si>
  <si>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</si>
  <si>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</si>
  <si>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</si>
  <si>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</si>
  <si>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</si>
  <si>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</si>
  <si>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</si>
  <si>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</si>
  <si>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</si>
  <si>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</si>
  <si>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</si>
  <si>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</si>
  <si>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</si>
  <si>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</si>
  <si>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</si>
  <si>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</si>
  <si>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</si>
  <si>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</si>
  <si>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</si>
  <si>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</si>
  <si>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</si>
  <si>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</si>
  <si>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</si>
  <si>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23081</t>
  </si>
  <si>
    <t>STEENOKKERZEEL</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</si>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</sst>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91720CEE-783C-4B42-BA81-A6FC2FC7073C}"/>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104128.42784888746</c:v>
                </c:pt>
                <c:pt idx="1">
                  <c:v>54360.606468257</c:v>
                </c:pt>
                <c:pt idx="2">
                  <c:v>951.96400000000006</c:v>
                </c:pt>
                <c:pt idx="3">
                  <c:v>1599.7195672059263</c:v>
                </c:pt>
                <c:pt idx="4">
                  <c:v>3326.1440343655936</c:v>
                </c:pt>
                <c:pt idx="5">
                  <c:v>91713.480534023547</c:v>
                </c:pt>
                <c:pt idx="6">
                  <c:v>5431.3762241664735</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104128.42784888746</c:v>
                </c:pt>
                <c:pt idx="1">
                  <c:v>54360.606468257</c:v>
                </c:pt>
                <c:pt idx="2">
                  <c:v>951.96400000000006</c:v>
                </c:pt>
                <c:pt idx="3">
                  <c:v>1599.7195672059263</c:v>
                </c:pt>
                <c:pt idx="4">
                  <c:v>3326.1440343655936</c:v>
                </c:pt>
                <c:pt idx="5">
                  <c:v>91713.480534023547</c:v>
                </c:pt>
                <c:pt idx="6">
                  <c:v>5431.3762241664735</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21554.938388273575</c:v>
                </c:pt>
                <c:pt idx="2">
                  <c:v>11070.772298469748</c:v>
                </c:pt>
                <c:pt idx="3">
                  <c:v>197.84460788920876</c:v>
                </c:pt>
                <c:pt idx="4">
                  <c:v>394.9972516235689</c:v>
                </c:pt>
                <c:pt idx="5">
                  <c:v>700.51228113480636</c:v>
                </c:pt>
                <c:pt idx="6">
                  <c:v>23005.170381010244</c:v>
                </c:pt>
                <c:pt idx="7">
                  <c:v>1370.0341382969182</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21554.938388273575</c:v>
                </c:pt>
                <c:pt idx="2">
                  <c:v>11070.772298469748</c:v>
                </c:pt>
                <c:pt idx="3">
                  <c:v>197.84460788920876</c:v>
                </c:pt>
                <c:pt idx="4">
                  <c:v>394.9972516235689</c:v>
                </c:pt>
                <c:pt idx="5">
                  <c:v>700.51228113480636</c:v>
                </c:pt>
                <c:pt idx="6">
                  <c:v>23005.170381010244</c:v>
                </c:pt>
                <c:pt idx="7">
                  <c:v>1370.0341382969182</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23081</v>
      </c>
      <c r="B6" s="383"/>
      <c r="C6" s="384"/>
    </row>
    <row r="7" spans="1:7" s="381" customFormat="1" ht="15.75" customHeight="1">
      <c r="A7" s="385" t="str">
        <f>txtMunicipality</f>
        <v>STEENOKKERZEEL</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24374.320999999996</v>
      </c>
      <c r="D10" s="983">
        <f ca="1">tertiair!C16</f>
        <v>0</v>
      </c>
      <c r="E10" s="983">
        <f ca="1">tertiair!D16</f>
        <v>26715.399017999996</v>
      </c>
      <c r="F10" s="983">
        <f>tertiair!E16</f>
        <v>113.35415335450372</v>
      </c>
      <c r="G10" s="983">
        <f ca="1">tertiair!F16</f>
        <v>2924.0179220268155</v>
      </c>
      <c r="H10" s="983">
        <f>tertiair!G16</f>
        <v>0</v>
      </c>
      <c r="I10" s="983">
        <f>tertiair!H16</f>
        <v>0</v>
      </c>
      <c r="J10" s="983">
        <f>tertiair!I16</f>
        <v>0</v>
      </c>
      <c r="K10" s="983">
        <f>tertiair!J16</f>
        <v>0</v>
      </c>
      <c r="L10" s="983">
        <f>tertiair!K16</f>
        <v>0</v>
      </c>
      <c r="M10" s="983">
        <f ca="1">tertiair!L16</f>
        <v>0</v>
      </c>
      <c r="N10" s="983">
        <f>tertiair!M16</f>
        <v>0</v>
      </c>
      <c r="O10" s="983">
        <f ca="1">tertiair!N16</f>
        <v>1166.4117082090129</v>
      </c>
      <c r="P10" s="983">
        <f>tertiair!O16</f>
        <v>0</v>
      </c>
      <c r="Q10" s="984">
        <f>tertiair!P16</f>
        <v>19.066666666666666</v>
      </c>
      <c r="R10" s="667">
        <f ca="1">SUM(C10:Q10)</f>
        <v>55312.570468256999</v>
      </c>
      <c r="S10" s="67"/>
    </row>
    <row r="11" spans="1:19" s="440" customFormat="1">
      <c r="A11" s="776" t="s">
        <v>214</v>
      </c>
      <c r="B11" s="781"/>
      <c r="C11" s="983">
        <f>huishoudens!B8</f>
        <v>20806.215937497003</v>
      </c>
      <c r="D11" s="983">
        <f>huishoudens!C8</f>
        <v>0</v>
      </c>
      <c r="E11" s="983">
        <f>huishoudens!D8</f>
        <v>54598.510999999999</v>
      </c>
      <c r="F11" s="983">
        <f>huishoudens!E8</f>
        <v>696.02905481699418</v>
      </c>
      <c r="G11" s="983">
        <f>huishoudens!F8</f>
        <v>21957.54520435214</v>
      </c>
      <c r="H11" s="983">
        <f>huishoudens!G8</f>
        <v>0</v>
      </c>
      <c r="I11" s="983">
        <f>huishoudens!H8</f>
        <v>0</v>
      </c>
      <c r="J11" s="983">
        <f>huishoudens!I8</f>
        <v>0</v>
      </c>
      <c r="K11" s="983">
        <f>huishoudens!J8</f>
        <v>512.04912468820532</v>
      </c>
      <c r="L11" s="983">
        <f>huishoudens!K8</f>
        <v>0</v>
      </c>
      <c r="M11" s="983">
        <f>huishoudens!L8</f>
        <v>0</v>
      </c>
      <c r="N11" s="983">
        <f>huishoudens!M8</f>
        <v>0</v>
      </c>
      <c r="O11" s="983">
        <f>huishoudens!N8</f>
        <v>5146.0908608664595</v>
      </c>
      <c r="P11" s="983">
        <f>huishoudens!O8</f>
        <v>68.786666666666676</v>
      </c>
      <c r="Q11" s="984">
        <f>huishoudens!P8</f>
        <v>343.2</v>
      </c>
      <c r="R11" s="667">
        <f>SUM(C11:Q11)</f>
        <v>104128.42784888746</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915.69900000000007</v>
      </c>
      <c r="D13" s="983">
        <f>industrie!C18</f>
        <v>0</v>
      </c>
      <c r="E13" s="983">
        <f>industrie!D18</f>
        <v>1172.5413699999999</v>
      </c>
      <c r="F13" s="983">
        <f>industrie!E18</f>
        <v>90.811592796933368</v>
      </c>
      <c r="G13" s="983">
        <f>industrie!F18</f>
        <v>936.14855751551238</v>
      </c>
      <c r="H13" s="983">
        <f>industrie!G18</f>
        <v>0</v>
      </c>
      <c r="I13" s="983">
        <f>industrie!H18</f>
        <v>0</v>
      </c>
      <c r="J13" s="983">
        <f>industrie!I18</f>
        <v>0</v>
      </c>
      <c r="K13" s="983">
        <f>industrie!J18</f>
        <v>7.8680682733305645</v>
      </c>
      <c r="L13" s="983">
        <f>industrie!K18</f>
        <v>0</v>
      </c>
      <c r="M13" s="983">
        <f>industrie!L18</f>
        <v>0</v>
      </c>
      <c r="N13" s="983">
        <f>industrie!M18</f>
        <v>0</v>
      </c>
      <c r="O13" s="983">
        <f>industrie!N18</f>
        <v>203.07544577981707</v>
      </c>
      <c r="P13" s="983">
        <f>industrie!O18</f>
        <v>0</v>
      </c>
      <c r="Q13" s="984">
        <f>industrie!P18</f>
        <v>0</v>
      </c>
      <c r="R13" s="667">
        <f>SUM(C13:Q13)</f>
        <v>3326.1440343655936</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46096.235937497004</v>
      </c>
      <c r="D16" s="699">
        <f t="shared" ref="D16:R16" ca="1" si="0">SUM(D9:D15)</f>
        <v>0</v>
      </c>
      <c r="E16" s="699">
        <f t="shared" ca="1" si="0"/>
        <v>82486.451388000001</v>
      </c>
      <c r="F16" s="699">
        <f t="shared" si="0"/>
        <v>900.19480096843131</v>
      </c>
      <c r="G16" s="699">
        <f t="shared" ca="1" si="0"/>
        <v>25817.711683894468</v>
      </c>
      <c r="H16" s="699">
        <f t="shared" si="0"/>
        <v>0</v>
      </c>
      <c r="I16" s="699">
        <f t="shared" si="0"/>
        <v>0</v>
      </c>
      <c r="J16" s="699">
        <f t="shared" si="0"/>
        <v>0</v>
      </c>
      <c r="K16" s="699">
        <f t="shared" si="0"/>
        <v>519.91719296153587</v>
      </c>
      <c r="L16" s="699">
        <f t="shared" si="0"/>
        <v>0</v>
      </c>
      <c r="M16" s="699">
        <f t="shared" ca="1" si="0"/>
        <v>0</v>
      </c>
      <c r="N16" s="699">
        <f t="shared" si="0"/>
        <v>0</v>
      </c>
      <c r="O16" s="699">
        <f t="shared" ca="1" si="0"/>
        <v>6515.5780148552894</v>
      </c>
      <c r="P16" s="699">
        <f t="shared" si="0"/>
        <v>68.786666666666676</v>
      </c>
      <c r="Q16" s="699">
        <f t="shared" si="0"/>
        <v>362.26666666666665</v>
      </c>
      <c r="R16" s="699">
        <f t="shared" ca="1" si="0"/>
        <v>162767.14235151006</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26.968748711575127</v>
      </c>
      <c r="D19" s="983">
        <f>transport!C54</f>
        <v>0</v>
      </c>
      <c r="E19" s="983">
        <f>transport!D54</f>
        <v>0</v>
      </c>
      <c r="F19" s="983">
        <f>transport!E54</f>
        <v>0</v>
      </c>
      <c r="G19" s="983">
        <f>transport!F54</f>
        <v>0</v>
      </c>
      <c r="H19" s="983">
        <f>transport!G54</f>
        <v>5110.2220295916795</v>
      </c>
      <c r="I19" s="983">
        <f>transport!H54</f>
        <v>0</v>
      </c>
      <c r="J19" s="983">
        <f>transport!I54</f>
        <v>0</v>
      </c>
      <c r="K19" s="983">
        <f>transport!J54</f>
        <v>0</v>
      </c>
      <c r="L19" s="983">
        <f>transport!K54</f>
        <v>0</v>
      </c>
      <c r="M19" s="983">
        <f>transport!L54</f>
        <v>0</v>
      </c>
      <c r="N19" s="983">
        <f>transport!M54</f>
        <v>294.18544586321906</v>
      </c>
      <c r="O19" s="983">
        <f>transport!N54</f>
        <v>0</v>
      </c>
      <c r="P19" s="983">
        <f>transport!O54</f>
        <v>0</v>
      </c>
      <c r="Q19" s="984">
        <f>transport!P54</f>
        <v>0</v>
      </c>
      <c r="R19" s="667">
        <f>SUM(C19:Q19)</f>
        <v>5431.3762241664735</v>
      </c>
      <c r="S19" s="67"/>
    </row>
    <row r="20" spans="1:19" s="440" customFormat="1">
      <c r="A20" s="776" t="s">
        <v>296</v>
      </c>
      <c r="B20" s="781"/>
      <c r="C20" s="983">
        <f>transport!B14</f>
        <v>13.877966461266993</v>
      </c>
      <c r="D20" s="983">
        <f>transport!C14</f>
        <v>0</v>
      </c>
      <c r="E20" s="983">
        <f>transport!D14</f>
        <v>20.657108735453424</v>
      </c>
      <c r="F20" s="983">
        <f>transport!E14</f>
        <v>210.93385901391414</v>
      </c>
      <c r="G20" s="983">
        <f>transport!F14</f>
        <v>0</v>
      </c>
      <c r="H20" s="983">
        <f>transport!G14</f>
        <v>74713.679890500323</v>
      </c>
      <c r="I20" s="983">
        <f>transport!H14</f>
        <v>12054.935344163161</v>
      </c>
      <c r="J20" s="983">
        <f>transport!I14</f>
        <v>0</v>
      </c>
      <c r="K20" s="983">
        <f>transport!J14</f>
        <v>0</v>
      </c>
      <c r="L20" s="983">
        <f>transport!K14</f>
        <v>0</v>
      </c>
      <c r="M20" s="983">
        <f>transport!L14</f>
        <v>0</v>
      </c>
      <c r="N20" s="983">
        <f>transport!M14</f>
        <v>4699.396365149435</v>
      </c>
      <c r="O20" s="983">
        <f>transport!N14</f>
        <v>0</v>
      </c>
      <c r="P20" s="983">
        <f>transport!O14</f>
        <v>0</v>
      </c>
      <c r="Q20" s="984">
        <f>transport!P14</f>
        <v>0</v>
      </c>
      <c r="R20" s="667">
        <f>SUM(C20:Q20)</f>
        <v>91713.480534023547</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40.846715172842124</v>
      </c>
      <c r="D22" s="779">
        <f t="shared" ref="D22:R22" si="1">SUM(D18:D21)</f>
        <v>0</v>
      </c>
      <c r="E22" s="779">
        <f t="shared" si="1"/>
        <v>20.657108735453424</v>
      </c>
      <c r="F22" s="779">
        <f t="shared" si="1"/>
        <v>210.93385901391414</v>
      </c>
      <c r="G22" s="779">
        <f t="shared" si="1"/>
        <v>0</v>
      </c>
      <c r="H22" s="779">
        <f t="shared" si="1"/>
        <v>79823.901920092001</v>
      </c>
      <c r="I22" s="779">
        <f t="shared" si="1"/>
        <v>12054.935344163161</v>
      </c>
      <c r="J22" s="779">
        <f t="shared" si="1"/>
        <v>0</v>
      </c>
      <c r="K22" s="779">
        <f t="shared" si="1"/>
        <v>0</v>
      </c>
      <c r="L22" s="779">
        <f t="shared" si="1"/>
        <v>0</v>
      </c>
      <c r="M22" s="779">
        <f t="shared" si="1"/>
        <v>0</v>
      </c>
      <c r="N22" s="779">
        <f t="shared" si="1"/>
        <v>4993.5818110126538</v>
      </c>
      <c r="O22" s="779">
        <f t="shared" si="1"/>
        <v>0</v>
      </c>
      <c r="P22" s="779">
        <f t="shared" si="1"/>
        <v>0</v>
      </c>
      <c r="Q22" s="779">
        <f t="shared" si="1"/>
        <v>0</v>
      </c>
      <c r="R22" s="779">
        <f t="shared" si="1"/>
        <v>97144.856758190028</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369.84699999999998</v>
      </c>
      <c r="D24" s="983">
        <f>+landbouw!C8</f>
        <v>0</v>
      </c>
      <c r="E24" s="983">
        <f>+landbouw!D8</f>
        <v>231.37292200000002</v>
      </c>
      <c r="F24" s="983">
        <f>+landbouw!E8</f>
        <v>3.4256778201628726</v>
      </c>
      <c r="G24" s="983">
        <f>+landbouw!F8</f>
        <v>938.37229478119696</v>
      </c>
      <c r="H24" s="983">
        <f>+landbouw!G8</f>
        <v>0</v>
      </c>
      <c r="I24" s="983">
        <f>+landbouw!H8</f>
        <v>0</v>
      </c>
      <c r="J24" s="983">
        <f>+landbouw!I8</f>
        <v>0</v>
      </c>
      <c r="K24" s="983">
        <f>+landbouw!J8</f>
        <v>56.701672604566518</v>
      </c>
      <c r="L24" s="983">
        <f>+landbouw!K8</f>
        <v>0</v>
      </c>
      <c r="M24" s="983">
        <f>+landbouw!L8</f>
        <v>0</v>
      </c>
      <c r="N24" s="983">
        <f>+landbouw!M8</f>
        <v>0</v>
      </c>
      <c r="O24" s="983">
        <f>+landbouw!N8</f>
        <v>0</v>
      </c>
      <c r="P24" s="983">
        <f>+landbouw!O8</f>
        <v>0</v>
      </c>
      <c r="Q24" s="984">
        <f>+landbouw!P8</f>
        <v>0</v>
      </c>
      <c r="R24" s="667">
        <f>SUM(C24:Q24)</f>
        <v>1599.7195672059263</v>
      </c>
      <c r="S24" s="67"/>
    </row>
    <row r="25" spans="1:19" s="440" customFormat="1" ht="15" thickBot="1">
      <c r="A25" s="798" t="s">
        <v>829</v>
      </c>
      <c r="B25" s="986"/>
      <c r="C25" s="987">
        <f>IF(Onbekend_ele_kWh="---",0,Onbekend_ele_kWh)/1000+IF(REST_rest_ele_kWh="---",0,REST_rest_ele_kWh)/1000</f>
        <v>568.93600000000004</v>
      </c>
      <c r="D25" s="987"/>
      <c r="E25" s="987">
        <f>IF(onbekend_gas_kWh="---",0,onbekend_gas_kWh)/1000+IF(REST_rest_gas_kWh="---",0,REST_rest_gas_kWh)/1000</f>
        <v>866.61099999999999</v>
      </c>
      <c r="F25" s="987"/>
      <c r="G25" s="987"/>
      <c r="H25" s="987"/>
      <c r="I25" s="987"/>
      <c r="J25" s="987"/>
      <c r="K25" s="987"/>
      <c r="L25" s="987"/>
      <c r="M25" s="987"/>
      <c r="N25" s="987"/>
      <c r="O25" s="987"/>
      <c r="P25" s="987"/>
      <c r="Q25" s="988"/>
      <c r="R25" s="667">
        <f>SUM(C25:Q25)</f>
        <v>1435.547</v>
      </c>
      <c r="S25" s="67"/>
    </row>
    <row r="26" spans="1:19" s="440" customFormat="1" ht="15.75" thickBot="1">
      <c r="A26" s="672" t="s">
        <v>830</v>
      </c>
      <c r="B26" s="784"/>
      <c r="C26" s="779">
        <f>SUM(C24:C25)</f>
        <v>938.78300000000002</v>
      </c>
      <c r="D26" s="779">
        <f t="shared" ref="D26:R26" si="2">SUM(D24:D25)</f>
        <v>0</v>
      </c>
      <c r="E26" s="779">
        <f t="shared" si="2"/>
        <v>1097.9839219999999</v>
      </c>
      <c r="F26" s="779">
        <f t="shared" si="2"/>
        <v>3.4256778201628726</v>
      </c>
      <c r="G26" s="779">
        <f t="shared" si="2"/>
        <v>938.37229478119696</v>
      </c>
      <c r="H26" s="779">
        <f t="shared" si="2"/>
        <v>0</v>
      </c>
      <c r="I26" s="779">
        <f t="shared" si="2"/>
        <v>0</v>
      </c>
      <c r="J26" s="779">
        <f t="shared" si="2"/>
        <v>0</v>
      </c>
      <c r="K26" s="779">
        <f t="shared" si="2"/>
        <v>56.701672604566518</v>
      </c>
      <c r="L26" s="779">
        <f t="shared" si="2"/>
        <v>0</v>
      </c>
      <c r="M26" s="779">
        <f t="shared" si="2"/>
        <v>0</v>
      </c>
      <c r="N26" s="779">
        <f t="shared" si="2"/>
        <v>0</v>
      </c>
      <c r="O26" s="779">
        <f t="shared" si="2"/>
        <v>0</v>
      </c>
      <c r="P26" s="779">
        <f t="shared" si="2"/>
        <v>0</v>
      </c>
      <c r="Q26" s="779">
        <f t="shared" si="2"/>
        <v>0</v>
      </c>
      <c r="R26" s="779">
        <f t="shared" si="2"/>
        <v>3035.2665672059265</v>
      </c>
      <c r="S26" s="67"/>
    </row>
    <row r="27" spans="1:19" s="440" customFormat="1" ht="17.25" thickTop="1" thickBot="1">
      <c r="A27" s="673" t="s">
        <v>109</v>
      </c>
      <c r="B27" s="772"/>
      <c r="C27" s="674">
        <f ca="1">C22+C16+C26</f>
        <v>47075.865652669847</v>
      </c>
      <c r="D27" s="674">
        <f t="shared" ref="D27:R27" ca="1" si="3">D22+D16+D26</f>
        <v>0</v>
      </c>
      <c r="E27" s="674">
        <f t="shared" ca="1" si="3"/>
        <v>83605.092418735454</v>
      </c>
      <c r="F27" s="674">
        <f t="shared" si="3"/>
        <v>1114.5543378025084</v>
      </c>
      <c r="G27" s="674">
        <f t="shared" ca="1" si="3"/>
        <v>26756.083978675666</v>
      </c>
      <c r="H27" s="674">
        <f t="shared" si="3"/>
        <v>79823.901920092001</v>
      </c>
      <c r="I27" s="674">
        <f t="shared" si="3"/>
        <v>12054.935344163161</v>
      </c>
      <c r="J27" s="674">
        <f t="shared" si="3"/>
        <v>0</v>
      </c>
      <c r="K27" s="674">
        <f t="shared" si="3"/>
        <v>576.61886556610239</v>
      </c>
      <c r="L27" s="674">
        <f t="shared" si="3"/>
        <v>0</v>
      </c>
      <c r="M27" s="674">
        <f t="shared" ca="1" si="3"/>
        <v>0</v>
      </c>
      <c r="N27" s="674">
        <f t="shared" si="3"/>
        <v>4993.5818110126538</v>
      </c>
      <c r="O27" s="674">
        <f t="shared" ca="1" si="3"/>
        <v>6515.5780148552894</v>
      </c>
      <c r="P27" s="674">
        <f t="shared" si="3"/>
        <v>68.786666666666676</v>
      </c>
      <c r="Q27" s="674">
        <f t="shared" si="3"/>
        <v>362.26666666666665</v>
      </c>
      <c r="R27" s="674">
        <f t="shared" ca="1" si="3"/>
        <v>262947.26567690604</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5065.6621267303235</v>
      </c>
      <c r="D40" s="983">
        <f ca="1">tertiair!C20</f>
        <v>0</v>
      </c>
      <c r="E40" s="983">
        <f ca="1">tertiair!D20</f>
        <v>5396.5106016359996</v>
      </c>
      <c r="F40" s="983">
        <f>tertiair!E20</f>
        <v>25.731392811472347</v>
      </c>
      <c r="G40" s="983">
        <f ca="1">tertiair!F20</f>
        <v>780.7127851811598</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11268.616906358957</v>
      </c>
    </row>
    <row r="41" spans="1:18">
      <c r="A41" s="789" t="s">
        <v>214</v>
      </c>
      <c r="B41" s="796"/>
      <c r="C41" s="983">
        <f ca="1">huishoudens!B12</f>
        <v>4324.1106111284671</v>
      </c>
      <c r="D41" s="983">
        <f ca="1">huishoudens!C12</f>
        <v>0</v>
      </c>
      <c r="E41" s="983">
        <f>huishoudens!D12</f>
        <v>11028.899222</v>
      </c>
      <c r="F41" s="983">
        <f>huishoudens!E12</f>
        <v>157.99859544345767</v>
      </c>
      <c r="G41" s="983">
        <f>huishoudens!F12</f>
        <v>5862.6645695620218</v>
      </c>
      <c r="H41" s="983">
        <f>huishoudens!G12</f>
        <v>0</v>
      </c>
      <c r="I41" s="983">
        <f>huishoudens!H12</f>
        <v>0</v>
      </c>
      <c r="J41" s="983">
        <f>huishoudens!I12</f>
        <v>0</v>
      </c>
      <c r="K41" s="983">
        <f>huishoudens!J12</f>
        <v>181.26539013962469</v>
      </c>
      <c r="L41" s="983">
        <f>huishoudens!K12</f>
        <v>0</v>
      </c>
      <c r="M41" s="983">
        <f>huishoudens!L12</f>
        <v>0</v>
      </c>
      <c r="N41" s="983">
        <f>huishoudens!M12</f>
        <v>0</v>
      </c>
      <c r="O41" s="983">
        <f>huishoudens!N12</f>
        <v>0</v>
      </c>
      <c r="P41" s="983">
        <f>huishoudens!O12</f>
        <v>0</v>
      </c>
      <c r="Q41" s="741">
        <f>huishoudens!P12</f>
        <v>0</v>
      </c>
      <c r="R41" s="817">
        <f t="shared" ca="1" si="4"/>
        <v>21554.938388273575</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190.3077318045016</v>
      </c>
      <c r="D43" s="983">
        <f ca="1">industrie!C22</f>
        <v>0</v>
      </c>
      <c r="E43" s="983">
        <f>industrie!D22</f>
        <v>236.85335674000001</v>
      </c>
      <c r="F43" s="983">
        <f>industrie!E22</f>
        <v>20.614231564903875</v>
      </c>
      <c r="G43" s="983">
        <f>industrie!F22</f>
        <v>249.95166485664183</v>
      </c>
      <c r="H43" s="983">
        <f>industrie!G22</f>
        <v>0</v>
      </c>
      <c r="I43" s="983">
        <f>industrie!H22</f>
        <v>0</v>
      </c>
      <c r="J43" s="983">
        <f>industrie!I22</f>
        <v>0</v>
      </c>
      <c r="K43" s="983">
        <f>industrie!J22</f>
        <v>2.7852961687590199</v>
      </c>
      <c r="L43" s="983">
        <f>industrie!K22</f>
        <v>0</v>
      </c>
      <c r="M43" s="983">
        <f>industrie!L22</f>
        <v>0</v>
      </c>
      <c r="N43" s="983">
        <f>industrie!M22</f>
        <v>0</v>
      </c>
      <c r="O43" s="983">
        <f>industrie!N22</f>
        <v>0</v>
      </c>
      <c r="P43" s="983">
        <f>industrie!O22</f>
        <v>0</v>
      </c>
      <c r="Q43" s="741">
        <f>industrie!P22</f>
        <v>0</v>
      </c>
      <c r="R43" s="816">
        <f t="shared" ca="1" si="4"/>
        <v>700.51228113480636</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9580.0804696632931</v>
      </c>
      <c r="D46" s="699">
        <f t="shared" ref="D46:Q46" ca="1" si="5">SUM(D39:D45)</f>
        <v>0</v>
      </c>
      <c r="E46" s="699">
        <f t="shared" ca="1" si="5"/>
        <v>16662.263180376001</v>
      </c>
      <c r="F46" s="699">
        <f t="shared" si="5"/>
        <v>204.34421981983388</v>
      </c>
      <c r="G46" s="699">
        <f t="shared" ca="1" si="5"/>
        <v>6893.3290195998234</v>
      </c>
      <c r="H46" s="699">
        <f t="shared" si="5"/>
        <v>0</v>
      </c>
      <c r="I46" s="699">
        <f t="shared" si="5"/>
        <v>0</v>
      </c>
      <c r="J46" s="699">
        <f t="shared" si="5"/>
        <v>0</v>
      </c>
      <c r="K46" s="699">
        <f t="shared" si="5"/>
        <v>184.05068630838372</v>
      </c>
      <c r="L46" s="699">
        <f t="shared" si="5"/>
        <v>0</v>
      </c>
      <c r="M46" s="699">
        <f t="shared" ca="1" si="5"/>
        <v>0</v>
      </c>
      <c r="N46" s="699">
        <f t="shared" si="5"/>
        <v>0</v>
      </c>
      <c r="O46" s="699">
        <f t="shared" ca="1" si="5"/>
        <v>0</v>
      </c>
      <c r="P46" s="699">
        <f t="shared" si="5"/>
        <v>0</v>
      </c>
      <c r="Q46" s="699">
        <f t="shared" si="5"/>
        <v>0</v>
      </c>
      <c r="R46" s="699">
        <f ca="1">SUM(R39:R45)</f>
        <v>33524.067575767338</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5.6048563959395361</v>
      </c>
      <c r="D49" s="983">
        <f ca="1">transport!C58</f>
        <v>0</v>
      </c>
      <c r="E49" s="983">
        <f>transport!D58</f>
        <v>0</v>
      </c>
      <c r="F49" s="983">
        <f>transport!E58</f>
        <v>0</v>
      </c>
      <c r="G49" s="983">
        <f>transport!F58</f>
        <v>0</v>
      </c>
      <c r="H49" s="983">
        <f>transport!G58</f>
        <v>1364.4292819009786</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1370.0341382969182</v>
      </c>
    </row>
    <row r="50" spans="1:18">
      <c r="A50" s="792" t="s">
        <v>296</v>
      </c>
      <c r="B50" s="802"/>
      <c r="C50" s="670">
        <f ca="1">transport!B18</f>
        <v>2.8842275893090057</v>
      </c>
      <c r="D50" s="670">
        <f>transport!C18</f>
        <v>0</v>
      </c>
      <c r="E50" s="670">
        <f>transport!D18</f>
        <v>4.1727359645615918</v>
      </c>
      <c r="F50" s="670">
        <f>transport!E18</f>
        <v>47.881985996158512</v>
      </c>
      <c r="G50" s="670">
        <f>transport!F18</f>
        <v>0</v>
      </c>
      <c r="H50" s="670">
        <f>transport!G18</f>
        <v>19948.552530763587</v>
      </c>
      <c r="I50" s="670">
        <f>transport!H18</f>
        <v>3001.6789006966269</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23005.170381010244</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8.4890839852485414</v>
      </c>
      <c r="D52" s="699">
        <f t="shared" ref="D52:Q52" ca="1" si="6">SUM(D48:D51)</f>
        <v>0</v>
      </c>
      <c r="E52" s="699">
        <f t="shared" si="6"/>
        <v>4.1727359645615918</v>
      </c>
      <c r="F52" s="699">
        <f t="shared" si="6"/>
        <v>47.881985996158512</v>
      </c>
      <c r="G52" s="699">
        <f t="shared" si="6"/>
        <v>0</v>
      </c>
      <c r="H52" s="699">
        <f t="shared" si="6"/>
        <v>21312.981812664566</v>
      </c>
      <c r="I52" s="699">
        <f t="shared" si="6"/>
        <v>3001.6789006966269</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24375.204519307161</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76.864497705795785</v>
      </c>
      <c r="D54" s="670">
        <f ca="1">+landbouw!C12</f>
        <v>0</v>
      </c>
      <c r="E54" s="670">
        <f>+landbouw!D12</f>
        <v>46.737330244000006</v>
      </c>
      <c r="F54" s="670">
        <f>+landbouw!E12</f>
        <v>0.77762886517697205</v>
      </c>
      <c r="G54" s="670">
        <f>+landbouw!F12</f>
        <v>250.54540270657961</v>
      </c>
      <c r="H54" s="670">
        <f>+landbouw!G12</f>
        <v>0</v>
      </c>
      <c r="I54" s="670">
        <f>+landbouw!H12</f>
        <v>0</v>
      </c>
      <c r="J54" s="670">
        <f>+landbouw!I12</f>
        <v>0</v>
      </c>
      <c r="K54" s="670">
        <f>+landbouw!J12</f>
        <v>20.072392102016547</v>
      </c>
      <c r="L54" s="670">
        <f>+landbouw!K12</f>
        <v>0</v>
      </c>
      <c r="M54" s="670">
        <f>+landbouw!L12</f>
        <v>0</v>
      </c>
      <c r="N54" s="670">
        <f>+landbouw!M12</f>
        <v>0</v>
      </c>
      <c r="O54" s="670">
        <f>+landbouw!N12</f>
        <v>0</v>
      </c>
      <c r="P54" s="670">
        <f>+landbouw!O12</f>
        <v>0</v>
      </c>
      <c r="Q54" s="671">
        <f>+landbouw!P12</f>
        <v>0</v>
      </c>
      <c r="R54" s="698">
        <f ca="1">SUM(C54:Q54)</f>
        <v>394.9972516235689</v>
      </c>
    </row>
    <row r="55" spans="1:18" ht="15" thickBot="1">
      <c r="A55" s="792" t="s">
        <v>829</v>
      </c>
      <c r="B55" s="802"/>
      <c r="C55" s="670">
        <f ca="1">C25*'EF ele_warmte'!B12</f>
        <v>118.24073161806</v>
      </c>
      <c r="D55" s="670"/>
      <c r="E55" s="670">
        <f>E25*EF_CO2_aardgas</f>
        <v>175.05542200000002</v>
      </c>
      <c r="F55" s="670"/>
      <c r="G55" s="670"/>
      <c r="H55" s="670"/>
      <c r="I55" s="670"/>
      <c r="J55" s="670"/>
      <c r="K55" s="670"/>
      <c r="L55" s="670"/>
      <c r="M55" s="670"/>
      <c r="N55" s="670"/>
      <c r="O55" s="670"/>
      <c r="P55" s="670"/>
      <c r="Q55" s="671"/>
      <c r="R55" s="698">
        <f ca="1">SUM(C55:Q55)</f>
        <v>293.29615361806003</v>
      </c>
    </row>
    <row r="56" spans="1:18" ht="15.75" thickBot="1">
      <c r="A56" s="790" t="s">
        <v>830</v>
      </c>
      <c r="B56" s="803"/>
      <c r="C56" s="699">
        <f ca="1">SUM(C54:C55)</f>
        <v>195.10522932385578</v>
      </c>
      <c r="D56" s="699">
        <f t="shared" ref="D56:Q56" ca="1" si="7">SUM(D54:D55)</f>
        <v>0</v>
      </c>
      <c r="E56" s="699">
        <f t="shared" si="7"/>
        <v>221.79275224400004</v>
      </c>
      <c r="F56" s="699">
        <f t="shared" si="7"/>
        <v>0.77762886517697205</v>
      </c>
      <c r="G56" s="699">
        <f t="shared" si="7"/>
        <v>250.54540270657961</v>
      </c>
      <c r="H56" s="699">
        <f t="shared" si="7"/>
        <v>0</v>
      </c>
      <c r="I56" s="699">
        <f t="shared" si="7"/>
        <v>0</v>
      </c>
      <c r="J56" s="699">
        <f t="shared" si="7"/>
        <v>0</v>
      </c>
      <c r="K56" s="699">
        <f t="shared" si="7"/>
        <v>20.072392102016547</v>
      </c>
      <c r="L56" s="699">
        <f t="shared" si="7"/>
        <v>0</v>
      </c>
      <c r="M56" s="699">
        <f t="shared" si="7"/>
        <v>0</v>
      </c>
      <c r="N56" s="699">
        <f t="shared" si="7"/>
        <v>0</v>
      </c>
      <c r="O56" s="699">
        <f t="shared" si="7"/>
        <v>0</v>
      </c>
      <c r="P56" s="699">
        <f t="shared" si="7"/>
        <v>0</v>
      </c>
      <c r="Q56" s="700">
        <f t="shared" si="7"/>
        <v>0</v>
      </c>
      <c r="R56" s="701">
        <f ca="1">SUM(R54:R55)</f>
        <v>688.29340524162899</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9783.6747829723972</v>
      </c>
      <c r="D61" s="707">
        <f t="shared" ref="D61:Q61" ca="1" si="8">D46+D52+D56</f>
        <v>0</v>
      </c>
      <c r="E61" s="707">
        <f t="shared" ca="1" si="8"/>
        <v>16888.228668584565</v>
      </c>
      <c r="F61" s="707">
        <f t="shared" si="8"/>
        <v>253.00383468116937</v>
      </c>
      <c r="G61" s="707">
        <f t="shared" ca="1" si="8"/>
        <v>7143.8744223064032</v>
      </c>
      <c r="H61" s="707">
        <f t="shared" si="8"/>
        <v>21312.981812664566</v>
      </c>
      <c r="I61" s="707">
        <f t="shared" si="8"/>
        <v>3001.6789006966269</v>
      </c>
      <c r="J61" s="707">
        <f t="shared" si="8"/>
        <v>0</v>
      </c>
      <c r="K61" s="707">
        <f t="shared" si="8"/>
        <v>204.12307841040027</v>
      </c>
      <c r="L61" s="707">
        <f t="shared" si="8"/>
        <v>0</v>
      </c>
      <c r="M61" s="707">
        <f t="shared" ca="1" si="8"/>
        <v>0</v>
      </c>
      <c r="N61" s="707">
        <f t="shared" si="8"/>
        <v>0</v>
      </c>
      <c r="O61" s="707">
        <f t="shared" ca="1" si="8"/>
        <v>0</v>
      </c>
      <c r="P61" s="707">
        <f t="shared" si="8"/>
        <v>0</v>
      </c>
      <c r="Q61" s="707">
        <f t="shared" si="8"/>
        <v>0</v>
      </c>
      <c r="R61" s="707">
        <f ca="1">R46+R52+R56</f>
        <v>58587.56550031613</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0.20782782530558797</v>
      </c>
      <c r="D63" s="748">
        <f t="shared" ca="1" si="9"/>
        <v>0</v>
      </c>
      <c r="E63" s="994">
        <f t="shared" ca="1" si="9"/>
        <v>0.20200000000000004</v>
      </c>
      <c r="F63" s="748">
        <f t="shared" si="9"/>
        <v>0.22699999999999998</v>
      </c>
      <c r="G63" s="748">
        <f t="shared" ca="1" si="9"/>
        <v>0.26700000000000002</v>
      </c>
      <c r="H63" s="748">
        <f t="shared" si="9"/>
        <v>0.26700000000000002</v>
      </c>
      <c r="I63" s="748">
        <f t="shared" si="9"/>
        <v>0.24899999999999997</v>
      </c>
      <c r="J63" s="748">
        <f t="shared" si="9"/>
        <v>0</v>
      </c>
      <c r="K63" s="748">
        <f t="shared" si="9"/>
        <v>0.35400000000000004</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2805.8440102608088</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2805.8440102608088</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20806.215937497003</v>
      </c>
      <c r="C4" s="444">
        <f>huishoudens!C8</f>
        <v>0</v>
      </c>
      <c r="D4" s="444">
        <f>huishoudens!D8</f>
        <v>54598.510999999999</v>
      </c>
      <c r="E4" s="444">
        <f>huishoudens!E8</f>
        <v>696.02905481699418</v>
      </c>
      <c r="F4" s="444">
        <f>huishoudens!F8</f>
        <v>21957.54520435214</v>
      </c>
      <c r="G4" s="444">
        <f>huishoudens!G8</f>
        <v>0</v>
      </c>
      <c r="H4" s="444">
        <f>huishoudens!H8</f>
        <v>0</v>
      </c>
      <c r="I4" s="444">
        <f>huishoudens!I8</f>
        <v>0</v>
      </c>
      <c r="J4" s="444">
        <f>huishoudens!J8</f>
        <v>512.04912468820532</v>
      </c>
      <c r="K4" s="444">
        <f>huishoudens!K8</f>
        <v>0</v>
      </c>
      <c r="L4" s="444">
        <f>huishoudens!L8</f>
        <v>0</v>
      </c>
      <c r="M4" s="444">
        <f>huishoudens!M8</f>
        <v>0</v>
      </c>
      <c r="N4" s="444">
        <f>huishoudens!N8</f>
        <v>5146.0908608664595</v>
      </c>
      <c r="O4" s="444">
        <f>huishoudens!O8</f>
        <v>68.786666666666676</v>
      </c>
      <c r="P4" s="445">
        <f>huishoudens!P8</f>
        <v>343.2</v>
      </c>
      <c r="Q4" s="446">
        <f>SUM(B4:P4)</f>
        <v>104128.42784888746</v>
      </c>
    </row>
    <row r="5" spans="1:17">
      <c r="A5" s="443" t="s">
        <v>149</v>
      </c>
      <c r="B5" s="444">
        <f ca="1">tertiair!B16</f>
        <v>23422.356999999996</v>
      </c>
      <c r="C5" s="444">
        <f ca="1">tertiair!C16</f>
        <v>0</v>
      </c>
      <c r="D5" s="444">
        <f ca="1">tertiair!D16</f>
        <v>26715.399017999996</v>
      </c>
      <c r="E5" s="444">
        <f>tertiair!E16</f>
        <v>113.35415335450372</v>
      </c>
      <c r="F5" s="444">
        <f ca="1">tertiair!F16</f>
        <v>2924.0179220268155</v>
      </c>
      <c r="G5" s="444">
        <f>tertiair!G16</f>
        <v>0</v>
      </c>
      <c r="H5" s="444">
        <f>tertiair!H16</f>
        <v>0</v>
      </c>
      <c r="I5" s="444">
        <f>tertiair!I16</f>
        <v>0</v>
      </c>
      <c r="J5" s="444">
        <f>tertiair!J16</f>
        <v>0</v>
      </c>
      <c r="K5" s="444">
        <f>tertiair!K16</f>
        <v>0</v>
      </c>
      <c r="L5" s="444">
        <f ca="1">tertiair!L16</f>
        <v>0</v>
      </c>
      <c r="M5" s="444">
        <f>tertiair!M16</f>
        <v>0</v>
      </c>
      <c r="N5" s="444">
        <f ca="1">tertiair!N16</f>
        <v>1166.4117082090129</v>
      </c>
      <c r="O5" s="444">
        <f>tertiair!O16</f>
        <v>0</v>
      </c>
      <c r="P5" s="445">
        <f>tertiair!P16</f>
        <v>19.066666666666666</v>
      </c>
      <c r="Q5" s="443">
        <f t="shared" ref="Q5:Q14" ca="1" si="0">SUM(B5:P5)</f>
        <v>54360.606468257</v>
      </c>
    </row>
    <row r="6" spans="1:17">
      <c r="A6" s="443" t="s">
        <v>187</v>
      </c>
      <c r="B6" s="444">
        <f>'openbare verlichting'!B8</f>
        <v>951.96400000000006</v>
      </c>
      <c r="C6" s="444"/>
      <c r="D6" s="444"/>
      <c r="E6" s="444"/>
      <c r="F6" s="444"/>
      <c r="G6" s="444"/>
      <c r="H6" s="444"/>
      <c r="I6" s="444"/>
      <c r="J6" s="444"/>
      <c r="K6" s="444"/>
      <c r="L6" s="444"/>
      <c r="M6" s="444"/>
      <c r="N6" s="444"/>
      <c r="O6" s="444"/>
      <c r="P6" s="445"/>
      <c r="Q6" s="443">
        <f t="shared" si="0"/>
        <v>951.96400000000006</v>
      </c>
    </row>
    <row r="7" spans="1:17">
      <c r="A7" s="443" t="s">
        <v>105</v>
      </c>
      <c r="B7" s="444">
        <f>landbouw!B8</f>
        <v>369.84699999999998</v>
      </c>
      <c r="C7" s="444">
        <f>landbouw!C8</f>
        <v>0</v>
      </c>
      <c r="D7" s="444">
        <f>landbouw!D8</f>
        <v>231.37292200000002</v>
      </c>
      <c r="E7" s="444">
        <f>landbouw!E8</f>
        <v>3.4256778201628726</v>
      </c>
      <c r="F7" s="444">
        <f>landbouw!F8</f>
        <v>938.37229478119696</v>
      </c>
      <c r="G7" s="444">
        <f>landbouw!G8</f>
        <v>0</v>
      </c>
      <c r="H7" s="444">
        <f>landbouw!H8</f>
        <v>0</v>
      </c>
      <c r="I7" s="444">
        <f>landbouw!I8</f>
        <v>0</v>
      </c>
      <c r="J7" s="444">
        <f>landbouw!J8</f>
        <v>56.701672604566518</v>
      </c>
      <c r="K7" s="444">
        <f>landbouw!K8</f>
        <v>0</v>
      </c>
      <c r="L7" s="444">
        <f>landbouw!L8</f>
        <v>0</v>
      </c>
      <c r="M7" s="444">
        <f>landbouw!M8</f>
        <v>0</v>
      </c>
      <c r="N7" s="444">
        <f>landbouw!N8</f>
        <v>0</v>
      </c>
      <c r="O7" s="444">
        <f>landbouw!O8</f>
        <v>0</v>
      </c>
      <c r="P7" s="445">
        <f>landbouw!P8</f>
        <v>0</v>
      </c>
      <c r="Q7" s="443">
        <f t="shared" si="0"/>
        <v>1599.7195672059263</v>
      </c>
    </row>
    <row r="8" spans="1:17">
      <c r="A8" s="443" t="s">
        <v>637</v>
      </c>
      <c r="B8" s="444">
        <f>industrie!B18</f>
        <v>915.69900000000007</v>
      </c>
      <c r="C8" s="444">
        <f>industrie!C18</f>
        <v>0</v>
      </c>
      <c r="D8" s="444">
        <f>industrie!D18</f>
        <v>1172.5413699999999</v>
      </c>
      <c r="E8" s="444">
        <f>industrie!E18</f>
        <v>90.811592796933368</v>
      </c>
      <c r="F8" s="444">
        <f>industrie!F18</f>
        <v>936.14855751551238</v>
      </c>
      <c r="G8" s="444">
        <f>industrie!G18</f>
        <v>0</v>
      </c>
      <c r="H8" s="444">
        <f>industrie!H18</f>
        <v>0</v>
      </c>
      <c r="I8" s="444">
        <f>industrie!I18</f>
        <v>0</v>
      </c>
      <c r="J8" s="444">
        <f>industrie!J18</f>
        <v>7.8680682733305645</v>
      </c>
      <c r="K8" s="444">
        <f>industrie!K18</f>
        <v>0</v>
      </c>
      <c r="L8" s="444">
        <f>industrie!L18</f>
        <v>0</v>
      </c>
      <c r="M8" s="444">
        <f>industrie!M18</f>
        <v>0</v>
      </c>
      <c r="N8" s="444">
        <f>industrie!N18</f>
        <v>203.07544577981707</v>
      </c>
      <c r="O8" s="444">
        <f>industrie!O18</f>
        <v>0</v>
      </c>
      <c r="P8" s="445">
        <f>industrie!P18</f>
        <v>0</v>
      </c>
      <c r="Q8" s="443">
        <f t="shared" si="0"/>
        <v>3326.1440343655936</v>
      </c>
    </row>
    <row r="9" spans="1:17" s="449" customFormat="1">
      <c r="A9" s="447" t="s">
        <v>558</v>
      </c>
      <c r="B9" s="448">
        <f>transport!B14</f>
        <v>13.877966461266993</v>
      </c>
      <c r="C9" s="448">
        <f>transport!C14</f>
        <v>0</v>
      </c>
      <c r="D9" s="448">
        <f>transport!D14</f>
        <v>20.657108735453424</v>
      </c>
      <c r="E9" s="448">
        <f>transport!E14</f>
        <v>210.93385901391414</v>
      </c>
      <c r="F9" s="448">
        <f>transport!F14</f>
        <v>0</v>
      </c>
      <c r="G9" s="448">
        <f>transport!G14</f>
        <v>74713.679890500323</v>
      </c>
      <c r="H9" s="448">
        <f>transport!H14</f>
        <v>12054.935344163161</v>
      </c>
      <c r="I9" s="448">
        <f>transport!I14</f>
        <v>0</v>
      </c>
      <c r="J9" s="448">
        <f>transport!J14</f>
        <v>0</v>
      </c>
      <c r="K9" s="448">
        <f>transport!K14</f>
        <v>0</v>
      </c>
      <c r="L9" s="448">
        <f>transport!L14</f>
        <v>0</v>
      </c>
      <c r="M9" s="448">
        <f>transport!M14</f>
        <v>4699.396365149435</v>
      </c>
      <c r="N9" s="448">
        <f>transport!N14</f>
        <v>0</v>
      </c>
      <c r="O9" s="448">
        <f>transport!O14</f>
        <v>0</v>
      </c>
      <c r="P9" s="448">
        <f>transport!P14</f>
        <v>0</v>
      </c>
      <c r="Q9" s="447">
        <f>SUM(B9:P9)</f>
        <v>91713.480534023547</v>
      </c>
    </row>
    <row r="10" spans="1:17">
      <c r="A10" s="443" t="s">
        <v>548</v>
      </c>
      <c r="B10" s="444">
        <f>transport!B54</f>
        <v>26.968748711575127</v>
      </c>
      <c r="C10" s="444">
        <f>transport!C54</f>
        <v>0</v>
      </c>
      <c r="D10" s="444">
        <f>transport!D54</f>
        <v>0</v>
      </c>
      <c r="E10" s="444">
        <f>transport!E54</f>
        <v>0</v>
      </c>
      <c r="F10" s="444">
        <f>transport!F54</f>
        <v>0</v>
      </c>
      <c r="G10" s="444">
        <f>transport!G54</f>
        <v>5110.2220295916795</v>
      </c>
      <c r="H10" s="444">
        <f>transport!H54</f>
        <v>0</v>
      </c>
      <c r="I10" s="444">
        <f>transport!I54</f>
        <v>0</v>
      </c>
      <c r="J10" s="444">
        <f>transport!J54</f>
        <v>0</v>
      </c>
      <c r="K10" s="444">
        <f>transport!K54</f>
        <v>0</v>
      </c>
      <c r="L10" s="444">
        <f>transport!L54</f>
        <v>0</v>
      </c>
      <c r="M10" s="444">
        <f>transport!M54</f>
        <v>294.18544586321906</v>
      </c>
      <c r="N10" s="444">
        <f>transport!N54</f>
        <v>0</v>
      </c>
      <c r="O10" s="444">
        <f>transport!O54</f>
        <v>0</v>
      </c>
      <c r="P10" s="445">
        <f>transport!P54</f>
        <v>0</v>
      </c>
      <c r="Q10" s="443">
        <f t="shared" si="0"/>
        <v>5431.3762241664735</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568.93600000000004</v>
      </c>
      <c r="C14" s="451"/>
      <c r="D14" s="451">
        <f>'SEAP template'!E25</f>
        <v>866.61099999999999</v>
      </c>
      <c r="E14" s="451"/>
      <c r="F14" s="451"/>
      <c r="G14" s="451"/>
      <c r="H14" s="451"/>
      <c r="I14" s="451"/>
      <c r="J14" s="451"/>
      <c r="K14" s="451"/>
      <c r="L14" s="451"/>
      <c r="M14" s="451"/>
      <c r="N14" s="451"/>
      <c r="O14" s="451"/>
      <c r="P14" s="452"/>
      <c r="Q14" s="443">
        <f t="shared" si="0"/>
        <v>1435.547</v>
      </c>
    </row>
    <row r="15" spans="1:17" s="453" customFormat="1">
      <c r="A15" s="1009" t="s">
        <v>552</v>
      </c>
      <c r="B15" s="949">
        <f ca="1">SUM(B4:B14)</f>
        <v>47075.86565266984</v>
      </c>
      <c r="C15" s="949">
        <f t="shared" ref="C15:Q15" ca="1" si="1">SUM(C4:C14)</f>
        <v>0</v>
      </c>
      <c r="D15" s="949">
        <f t="shared" ca="1" si="1"/>
        <v>83605.092418735454</v>
      </c>
      <c r="E15" s="949">
        <f t="shared" si="1"/>
        <v>1114.5543378025084</v>
      </c>
      <c r="F15" s="949">
        <f t="shared" ca="1" si="1"/>
        <v>26756.083978675666</v>
      </c>
      <c r="G15" s="949">
        <f t="shared" si="1"/>
        <v>79823.901920092001</v>
      </c>
      <c r="H15" s="949">
        <f t="shared" si="1"/>
        <v>12054.935344163161</v>
      </c>
      <c r="I15" s="949">
        <f t="shared" si="1"/>
        <v>0</v>
      </c>
      <c r="J15" s="949">
        <f t="shared" si="1"/>
        <v>576.61886556610239</v>
      </c>
      <c r="K15" s="949">
        <f t="shared" si="1"/>
        <v>0</v>
      </c>
      <c r="L15" s="949">
        <f t="shared" ca="1" si="1"/>
        <v>0</v>
      </c>
      <c r="M15" s="949">
        <f t="shared" si="1"/>
        <v>4993.5818110126538</v>
      </c>
      <c r="N15" s="949">
        <f t="shared" ca="1" si="1"/>
        <v>6515.5780148552894</v>
      </c>
      <c r="O15" s="949">
        <f t="shared" si="1"/>
        <v>68.786666666666676</v>
      </c>
      <c r="P15" s="949">
        <f t="shared" si="1"/>
        <v>362.26666666666665</v>
      </c>
      <c r="Q15" s="949">
        <f t="shared" ca="1" si="1"/>
        <v>262947.26567690604</v>
      </c>
    </row>
    <row r="17" spans="1:17">
      <c r="A17" s="454" t="s">
        <v>553</v>
      </c>
      <c r="B17" s="753">
        <f ca="1">huishoudens!B10</f>
        <v>0.20782782530558797</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4324.1106111284671</v>
      </c>
      <c r="C22" s="444">
        <f t="shared" ref="C22:C32" ca="1" si="3">C4*$C$17</f>
        <v>0</v>
      </c>
      <c r="D22" s="444">
        <f t="shared" ref="D22:D32" si="4">D4*$D$17</f>
        <v>11028.899222</v>
      </c>
      <c r="E22" s="444">
        <f t="shared" ref="E22:E32" si="5">E4*$E$17</f>
        <v>157.99859544345767</v>
      </c>
      <c r="F22" s="444">
        <f t="shared" ref="F22:F32" si="6">F4*$F$17</f>
        <v>5862.6645695620218</v>
      </c>
      <c r="G22" s="444">
        <f t="shared" ref="G22:G32" si="7">G4*$G$17</f>
        <v>0</v>
      </c>
      <c r="H22" s="444">
        <f t="shared" ref="H22:H32" si="8">H4*$H$17</f>
        <v>0</v>
      </c>
      <c r="I22" s="444">
        <f t="shared" ref="I22:I32" si="9">I4*$I$17</f>
        <v>0</v>
      </c>
      <c r="J22" s="444">
        <f t="shared" ref="J22:J32" si="10">J4*$J$17</f>
        <v>181.26539013962469</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21554.938388273575</v>
      </c>
    </row>
    <row r="23" spans="1:17">
      <c r="A23" s="443" t="s">
        <v>149</v>
      </c>
      <c r="B23" s="444">
        <f t="shared" ca="1" si="2"/>
        <v>4867.8175188411151</v>
      </c>
      <c r="C23" s="444">
        <f t="shared" ca="1" si="3"/>
        <v>0</v>
      </c>
      <c r="D23" s="444">
        <f t="shared" ca="1" si="4"/>
        <v>5396.5106016359996</v>
      </c>
      <c r="E23" s="444">
        <f t="shared" si="5"/>
        <v>25.731392811472347</v>
      </c>
      <c r="F23" s="444">
        <f t="shared" ca="1" si="6"/>
        <v>780.7127851811598</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11070.772298469748</v>
      </c>
    </row>
    <row r="24" spans="1:17">
      <c r="A24" s="443" t="s">
        <v>187</v>
      </c>
      <c r="B24" s="444">
        <f t="shared" ca="1" si="2"/>
        <v>197.84460788920876</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197.84460788920876</v>
      </c>
    </row>
    <row r="25" spans="1:17">
      <c r="A25" s="443" t="s">
        <v>105</v>
      </c>
      <c r="B25" s="444">
        <f t="shared" ca="1" si="2"/>
        <v>76.864497705795785</v>
      </c>
      <c r="C25" s="444">
        <f t="shared" ca="1" si="3"/>
        <v>0</v>
      </c>
      <c r="D25" s="444">
        <f t="shared" si="4"/>
        <v>46.737330244000006</v>
      </c>
      <c r="E25" s="444">
        <f t="shared" si="5"/>
        <v>0.77762886517697205</v>
      </c>
      <c r="F25" s="444">
        <f t="shared" si="6"/>
        <v>250.54540270657961</v>
      </c>
      <c r="G25" s="444">
        <f t="shared" si="7"/>
        <v>0</v>
      </c>
      <c r="H25" s="444">
        <f t="shared" si="8"/>
        <v>0</v>
      </c>
      <c r="I25" s="444">
        <f t="shared" si="9"/>
        <v>0</v>
      </c>
      <c r="J25" s="444">
        <f t="shared" si="10"/>
        <v>20.072392102016547</v>
      </c>
      <c r="K25" s="444">
        <f t="shared" si="11"/>
        <v>0</v>
      </c>
      <c r="L25" s="444">
        <f t="shared" si="12"/>
        <v>0</v>
      </c>
      <c r="M25" s="444">
        <f t="shared" si="13"/>
        <v>0</v>
      </c>
      <c r="N25" s="444">
        <f t="shared" si="14"/>
        <v>0</v>
      </c>
      <c r="O25" s="444">
        <f t="shared" si="15"/>
        <v>0</v>
      </c>
      <c r="P25" s="445">
        <f t="shared" si="16"/>
        <v>0</v>
      </c>
      <c r="Q25" s="443">
        <f t="shared" ca="1" si="17"/>
        <v>394.9972516235689</v>
      </c>
    </row>
    <row r="26" spans="1:17">
      <c r="A26" s="443" t="s">
        <v>637</v>
      </c>
      <c r="B26" s="444">
        <f t="shared" ca="1" si="2"/>
        <v>190.3077318045016</v>
      </c>
      <c r="C26" s="444">
        <f t="shared" ca="1" si="3"/>
        <v>0</v>
      </c>
      <c r="D26" s="444">
        <f t="shared" si="4"/>
        <v>236.85335674000001</v>
      </c>
      <c r="E26" s="444">
        <f t="shared" si="5"/>
        <v>20.614231564903875</v>
      </c>
      <c r="F26" s="444">
        <f t="shared" si="6"/>
        <v>249.95166485664183</v>
      </c>
      <c r="G26" s="444">
        <f t="shared" si="7"/>
        <v>0</v>
      </c>
      <c r="H26" s="444">
        <f t="shared" si="8"/>
        <v>0</v>
      </c>
      <c r="I26" s="444">
        <f t="shared" si="9"/>
        <v>0</v>
      </c>
      <c r="J26" s="444">
        <f t="shared" si="10"/>
        <v>2.7852961687590199</v>
      </c>
      <c r="K26" s="444">
        <f t="shared" si="11"/>
        <v>0</v>
      </c>
      <c r="L26" s="444">
        <f t="shared" si="12"/>
        <v>0</v>
      </c>
      <c r="M26" s="444">
        <f t="shared" si="13"/>
        <v>0</v>
      </c>
      <c r="N26" s="444">
        <f t="shared" si="14"/>
        <v>0</v>
      </c>
      <c r="O26" s="444">
        <f t="shared" si="15"/>
        <v>0</v>
      </c>
      <c r="P26" s="445">
        <f t="shared" si="16"/>
        <v>0</v>
      </c>
      <c r="Q26" s="443">
        <f t="shared" ca="1" si="17"/>
        <v>700.51228113480636</v>
      </c>
    </row>
    <row r="27" spans="1:17" s="449" customFormat="1">
      <c r="A27" s="447" t="s">
        <v>558</v>
      </c>
      <c r="B27" s="747">
        <f t="shared" ca="1" si="2"/>
        <v>2.8842275893090057</v>
      </c>
      <c r="C27" s="448">
        <f t="shared" ca="1" si="3"/>
        <v>0</v>
      </c>
      <c r="D27" s="448">
        <f t="shared" si="4"/>
        <v>4.1727359645615918</v>
      </c>
      <c r="E27" s="448">
        <f t="shared" si="5"/>
        <v>47.881985996158512</v>
      </c>
      <c r="F27" s="448">
        <f t="shared" si="6"/>
        <v>0</v>
      </c>
      <c r="G27" s="448">
        <f t="shared" si="7"/>
        <v>19948.552530763587</v>
      </c>
      <c r="H27" s="448">
        <f t="shared" si="8"/>
        <v>3001.6789006966269</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23005.170381010244</v>
      </c>
    </row>
    <row r="28" spans="1:17">
      <c r="A28" s="443" t="s">
        <v>548</v>
      </c>
      <c r="B28" s="444">
        <f t="shared" ca="1" si="2"/>
        <v>5.6048563959395361</v>
      </c>
      <c r="C28" s="444">
        <f t="shared" ca="1" si="3"/>
        <v>0</v>
      </c>
      <c r="D28" s="444">
        <f t="shared" si="4"/>
        <v>0</v>
      </c>
      <c r="E28" s="444">
        <f t="shared" si="5"/>
        <v>0</v>
      </c>
      <c r="F28" s="444">
        <f t="shared" si="6"/>
        <v>0</v>
      </c>
      <c r="G28" s="444">
        <f t="shared" si="7"/>
        <v>1364.4292819009786</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1370.0341382969182</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118.24073161806</v>
      </c>
      <c r="C32" s="444">
        <f t="shared" ca="1" si="3"/>
        <v>0</v>
      </c>
      <c r="D32" s="444">
        <f t="shared" si="4"/>
        <v>175.05542200000002</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293.29615361806003</v>
      </c>
    </row>
    <row r="33" spans="1:17" s="453" customFormat="1">
      <c r="A33" s="1009" t="s">
        <v>552</v>
      </c>
      <c r="B33" s="949">
        <f ca="1">SUM(B22:B32)</f>
        <v>9783.6747829723972</v>
      </c>
      <c r="C33" s="949">
        <f t="shared" ref="C33:Q33" ca="1" si="18">SUM(C22:C32)</f>
        <v>0</v>
      </c>
      <c r="D33" s="949">
        <f t="shared" ca="1" si="18"/>
        <v>16888.228668584565</v>
      </c>
      <c r="E33" s="949">
        <f t="shared" si="18"/>
        <v>253.00383468116939</v>
      </c>
      <c r="F33" s="949">
        <f t="shared" ca="1" si="18"/>
        <v>7143.8744223064032</v>
      </c>
      <c r="G33" s="949">
        <f t="shared" si="18"/>
        <v>21312.981812664566</v>
      </c>
      <c r="H33" s="949">
        <f t="shared" si="18"/>
        <v>3001.6789006966269</v>
      </c>
      <c r="I33" s="949">
        <f t="shared" si="18"/>
        <v>0</v>
      </c>
      <c r="J33" s="949">
        <f t="shared" si="18"/>
        <v>204.12307841040027</v>
      </c>
      <c r="K33" s="949">
        <f t="shared" si="18"/>
        <v>0</v>
      </c>
      <c r="L33" s="949">
        <f t="shared" ca="1" si="18"/>
        <v>0</v>
      </c>
      <c r="M33" s="949">
        <f t="shared" si="18"/>
        <v>0</v>
      </c>
      <c r="N33" s="949">
        <f t="shared" ca="1" si="18"/>
        <v>0</v>
      </c>
      <c r="O33" s="949">
        <f t="shared" si="18"/>
        <v>0</v>
      </c>
      <c r="P33" s="949">
        <f t="shared" si="18"/>
        <v>0</v>
      </c>
      <c r="Q33" s="949">
        <f t="shared" ca="1" si="18"/>
        <v>58587.56550031613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2805.8440102608088</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2805.8440102608088</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0.20782782530558797</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0.20782782530558797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0.20782782530558797</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0.20782782530558797</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4609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690</v>
      </c>
      <c r="C14" s="324"/>
      <c r="D14" s="324"/>
      <c r="E14" s="324"/>
      <c r="F14" s="324"/>
    </row>
    <row r="15" spans="1:6">
      <c r="A15" s="1302" t="s">
        <v>177</v>
      </c>
      <c r="B15" s="1303">
        <v>1</v>
      </c>
      <c r="C15" s="324"/>
      <c r="D15" s="324"/>
      <c r="E15" s="324"/>
      <c r="F15" s="324"/>
    </row>
    <row r="16" spans="1:6">
      <c r="A16" s="1302" t="s">
        <v>6</v>
      </c>
      <c r="B16" s="1303">
        <v>0</v>
      </c>
      <c r="C16" s="324"/>
      <c r="D16" s="324"/>
      <c r="E16" s="324"/>
      <c r="F16" s="324"/>
    </row>
    <row r="17" spans="1:6">
      <c r="A17" s="1302" t="s">
        <v>7</v>
      </c>
      <c r="B17" s="1303">
        <v>21</v>
      </c>
      <c r="C17" s="324"/>
      <c r="D17" s="324"/>
      <c r="E17" s="324"/>
      <c r="F17" s="324"/>
    </row>
    <row r="18" spans="1:6">
      <c r="A18" s="1302" t="s">
        <v>8</v>
      </c>
      <c r="B18" s="1303">
        <v>10</v>
      </c>
      <c r="C18" s="324"/>
      <c r="D18" s="324"/>
      <c r="E18" s="324"/>
      <c r="F18" s="324"/>
    </row>
    <row r="19" spans="1:6">
      <c r="A19" s="1302" t="s">
        <v>9</v>
      </c>
      <c r="B19" s="1303">
        <v>13</v>
      </c>
      <c r="C19" s="324"/>
      <c r="D19" s="324"/>
      <c r="E19" s="324"/>
      <c r="F19" s="324"/>
    </row>
    <row r="20" spans="1:6">
      <c r="A20" s="1302" t="s">
        <v>10</v>
      </c>
      <c r="B20" s="1303">
        <v>21</v>
      </c>
      <c r="C20" s="324"/>
      <c r="D20" s="324"/>
      <c r="E20" s="324"/>
      <c r="F20" s="324"/>
    </row>
    <row r="21" spans="1:6">
      <c r="A21" s="1302" t="s">
        <v>11</v>
      </c>
      <c r="B21" s="1303">
        <v>0</v>
      </c>
      <c r="C21" s="324"/>
      <c r="D21" s="324"/>
      <c r="E21" s="324"/>
      <c r="F21" s="324"/>
    </row>
    <row r="22" spans="1:6">
      <c r="A22" s="1302" t="s">
        <v>12</v>
      </c>
      <c r="B22" s="1303">
        <v>0</v>
      </c>
      <c r="C22" s="324"/>
      <c r="D22" s="324"/>
      <c r="E22" s="324"/>
      <c r="F22" s="324"/>
    </row>
    <row r="23" spans="1:6">
      <c r="A23" s="1302" t="s">
        <v>13</v>
      </c>
      <c r="B23" s="1303">
        <v>0</v>
      </c>
      <c r="C23" s="324"/>
      <c r="D23" s="324"/>
      <c r="E23" s="324"/>
      <c r="F23" s="324"/>
    </row>
    <row r="24" spans="1:6">
      <c r="A24" s="1302" t="s">
        <v>14</v>
      </c>
      <c r="B24" s="1303">
        <v>0</v>
      </c>
      <c r="C24" s="324"/>
      <c r="D24" s="324"/>
      <c r="E24" s="324"/>
      <c r="F24" s="324"/>
    </row>
    <row r="25" spans="1:6">
      <c r="A25" s="1302" t="s">
        <v>15</v>
      </c>
      <c r="B25" s="1303">
        <v>0</v>
      </c>
      <c r="C25" s="324"/>
      <c r="D25" s="324"/>
      <c r="E25" s="324"/>
      <c r="F25" s="324"/>
    </row>
    <row r="26" spans="1:6">
      <c r="A26" s="1302" t="s">
        <v>16</v>
      </c>
      <c r="B26" s="1303">
        <v>67</v>
      </c>
      <c r="C26" s="324"/>
      <c r="D26" s="324"/>
      <c r="E26" s="324"/>
      <c r="F26" s="324"/>
    </row>
    <row r="27" spans="1:6">
      <c r="A27" s="1302" t="s">
        <v>17</v>
      </c>
      <c r="B27" s="1303">
        <v>0</v>
      </c>
      <c r="C27" s="324"/>
      <c r="D27" s="324"/>
      <c r="E27" s="324"/>
      <c r="F27" s="324"/>
    </row>
    <row r="28" spans="1:6">
      <c r="A28" s="1302" t="s">
        <v>18</v>
      </c>
      <c r="B28" s="1304">
        <v>0</v>
      </c>
      <c r="C28" s="324"/>
      <c r="D28" s="324"/>
      <c r="E28" s="324"/>
      <c r="F28" s="324"/>
    </row>
    <row r="29" spans="1:6">
      <c r="A29" s="1302" t="s">
        <v>918</v>
      </c>
      <c r="B29" s="1304">
        <v>28</v>
      </c>
      <c r="C29" s="324"/>
      <c r="D29" s="324"/>
      <c r="E29" s="324"/>
      <c r="F29" s="324"/>
    </row>
    <row r="30" spans="1:6">
      <c r="A30" s="1297" t="s">
        <v>919</v>
      </c>
      <c r="B30" s="1305">
        <v>5</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6</v>
      </c>
      <c r="F36" s="1303">
        <v>22715</v>
      </c>
    </row>
    <row r="37" spans="1:6">
      <c r="A37" s="1302" t="s">
        <v>24</v>
      </c>
      <c r="B37" s="1302" t="s">
        <v>27</v>
      </c>
      <c r="C37" s="1303">
        <v>0</v>
      </c>
      <c r="D37" s="1303">
        <v>0</v>
      </c>
      <c r="E37" s="1303">
        <v>0</v>
      </c>
      <c r="F37" s="1303">
        <v>0</v>
      </c>
    </row>
    <row r="38" spans="1:6">
      <c r="A38" s="1302" t="s">
        <v>24</v>
      </c>
      <c r="B38" s="1302" t="s">
        <v>28</v>
      </c>
      <c r="C38" s="1303">
        <v>0</v>
      </c>
      <c r="D38" s="1303">
        <v>0</v>
      </c>
      <c r="E38" s="1303">
        <v>2</v>
      </c>
      <c r="F38" s="1303">
        <v>4437</v>
      </c>
    </row>
    <row r="39" spans="1:6">
      <c r="A39" s="1302" t="s">
        <v>29</v>
      </c>
      <c r="B39" s="1302" t="s">
        <v>30</v>
      </c>
      <c r="C39" s="1303">
        <v>3377</v>
      </c>
      <c r="D39" s="1303">
        <v>60530500</v>
      </c>
      <c r="E39" s="1303">
        <v>4646</v>
      </c>
      <c r="F39" s="1303">
        <v>18393053</v>
      </c>
    </row>
    <row r="40" spans="1:6">
      <c r="A40" s="1302" t="s">
        <v>29</v>
      </c>
      <c r="B40" s="1302" t="s">
        <v>28</v>
      </c>
      <c r="C40" s="1303">
        <v>0</v>
      </c>
      <c r="D40" s="1303">
        <v>0</v>
      </c>
      <c r="E40" s="1303">
        <v>0</v>
      </c>
      <c r="F40" s="1303">
        <v>0</v>
      </c>
    </row>
    <row r="41" spans="1:6">
      <c r="A41" s="1302" t="s">
        <v>31</v>
      </c>
      <c r="B41" s="1302" t="s">
        <v>32</v>
      </c>
      <c r="C41" s="1303">
        <v>28</v>
      </c>
      <c r="D41" s="1303">
        <v>581340</v>
      </c>
      <c r="E41" s="1303">
        <v>48</v>
      </c>
      <c r="F41" s="1303">
        <v>289233</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10</v>
      </c>
      <c r="F44" s="1303">
        <v>283737</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4</v>
      </c>
      <c r="D48" s="1303">
        <v>341119</v>
      </c>
      <c r="E48" s="1303">
        <v>4</v>
      </c>
      <c r="F48" s="1303">
        <v>16950</v>
      </c>
    </row>
    <row r="49" spans="1:6">
      <c r="A49" s="1302" t="s">
        <v>31</v>
      </c>
      <c r="B49" s="1302" t="s">
        <v>39</v>
      </c>
      <c r="C49" s="1303">
        <v>0</v>
      </c>
      <c r="D49" s="1303">
        <v>0</v>
      </c>
      <c r="E49" s="1303">
        <v>0</v>
      </c>
      <c r="F49" s="1303">
        <v>0</v>
      </c>
    </row>
    <row r="50" spans="1:6">
      <c r="A50" s="1302" t="s">
        <v>31</v>
      </c>
      <c r="B50" s="1302" t="s">
        <v>40</v>
      </c>
      <c r="C50" s="1303">
        <v>3</v>
      </c>
      <c r="D50" s="1303">
        <v>377476</v>
      </c>
      <c r="E50" s="1303">
        <v>7</v>
      </c>
      <c r="F50" s="1303">
        <v>325779</v>
      </c>
    </row>
    <row r="51" spans="1:6">
      <c r="A51" s="1302" t="s">
        <v>41</v>
      </c>
      <c r="B51" s="1302" t="s">
        <v>42</v>
      </c>
      <c r="C51" s="1303">
        <v>8</v>
      </c>
      <c r="D51" s="1303">
        <v>256511</v>
      </c>
      <c r="E51" s="1303">
        <v>21</v>
      </c>
      <c r="F51" s="1303">
        <v>369847</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2</v>
      </c>
      <c r="F54" s="1303">
        <v>951964</v>
      </c>
    </row>
    <row r="55" spans="1:6">
      <c r="A55" s="1302" t="s">
        <v>45</v>
      </c>
      <c r="B55" s="1302" t="s">
        <v>28</v>
      </c>
      <c r="C55" s="1303">
        <v>0</v>
      </c>
      <c r="D55" s="1303">
        <v>0</v>
      </c>
      <c r="E55" s="1303">
        <v>0</v>
      </c>
      <c r="F55" s="1303">
        <v>0</v>
      </c>
    </row>
    <row r="56" spans="1:6">
      <c r="A56" s="1302" t="s">
        <v>47</v>
      </c>
      <c r="B56" s="1302" t="s">
        <v>28</v>
      </c>
      <c r="C56" s="1303">
        <v>34</v>
      </c>
      <c r="D56" s="1303">
        <v>866611</v>
      </c>
      <c r="E56" s="1303">
        <v>71</v>
      </c>
      <c r="F56" s="1303">
        <v>568936</v>
      </c>
    </row>
    <row r="57" spans="1:6">
      <c r="A57" s="1302" t="s">
        <v>48</v>
      </c>
      <c r="B57" s="1302" t="s">
        <v>49</v>
      </c>
      <c r="C57" s="1303">
        <v>35</v>
      </c>
      <c r="D57" s="1303">
        <v>3641767</v>
      </c>
      <c r="E57" s="1303">
        <v>53</v>
      </c>
      <c r="F57" s="1303">
        <v>1362796</v>
      </c>
    </row>
    <row r="58" spans="1:6">
      <c r="A58" s="1302" t="s">
        <v>48</v>
      </c>
      <c r="B58" s="1302" t="s">
        <v>50</v>
      </c>
      <c r="C58" s="1303">
        <v>21</v>
      </c>
      <c r="D58" s="1303">
        <v>1565194</v>
      </c>
      <c r="E58" s="1303">
        <v>22</v>
      </c>
      <c r="F58" s="1303">
        <v>1367465</v>
      </c>
    </row>
    <row r="59" spans="1:6">
      <c r="A59" s="1302" t="s">
        <v>48</v>
      </c>
      <c r="B59" s="1302" t="s">
        <v>51</v>
      </c>
      <c r="C59" s="1303">
        <v>53</v>
      </c>
      <c r="D59" s="1303">
        <v>2780885</v>
      </c>
      <c r="E59" s="1303">
        <v>107</v>
      </c>
      <c r="F59" s="1303">
        <v>3022912</v>
      </c>
    </row>
    <row r="60" spans="1:6">
      <c r="A60" s="1302" t="s">
        <v>48</v>
      </c>
      <c r="B60" s="1302" t="s">
        <v>52</v>
      </c>
      <c r="C60" s="1303">
        <v>17</v>
      </c>
      <c r="D60" s="1303">
        <v>893274</v>
      </c>
      <c r="E60" s="1303">
        <v>23</v>
      </c>
      <c r="F60" s="1303">
        <v>612496</v>
      </c>
    </row>
    <row r="61" spans="1:6">
      <c r="A61" s="1302" t="s">
        <v>48</v>
      </c>
      <c r="B61" s="1302" t="s">
        <v>53</v>
      </c>
      <c r="C61" s="1303">
        <v>112</v>
      </c>
      <c r="D61" s="1303">
        <v>20548582</v>
      </c>
      <c r="E61" s="1303">
        <v>241</v>
      </c>
      <c r="F61" s="1303">
        <v>17056688</v>
      </c>
    </row>
    <row r="62" spans="1:6">
      <c r="A62" s="1302" t="s">
        <v>48</v>
      </c>
      <c r="B62" s="1302" t="s">
        <v>54</v>
      </c>
      <c r="C62" s="1303">
        <v>3</v>
      </c>
      <c r="D62" s="1303">
        <v>188257</v>
      </c>
      <c r="E62" s="1303">
        <v>0</v>
      </c>
      <c r="F62" s="1303">
        <v>0</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4</v>
      </c>
      <c r="D65" s="1303">
        <v>121098</v>
      </c>
      <c r="E65" s="1303">
        <v>2</v>
      </c>
      <c r="F65" s="1303">
        <v>9293</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8</v>
      </c>
      <c r="F68" s="1305">
        <v>150502</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65976853</v>
      </c>
      <c r="E73" s="442"/>
      <c r="F73" s="324"/>
    </row>
    <row r="74" spans="1:6">
      <c r="A74" s="1302" t="s">
        <v>63</v>
      </c>
      <c r="B74" s="1302" t="s">
        <v>695</v>
      </c>
      <c r="C74" s="1315" t="s">
        <v>697</v>
      </c>
      <c r="D74" s="1303">
        <v>7046025.4401760818</v>
      </c>
      <c r="E74" s="442"/>
      <c r="F74" s="324"/>
    </row>
    <row r="75" spans="1:6">
      <c r="A75" s="1302" t="s">
        <v>64</v>
      </c>
      <c r="B75" s="1302" t="s">
        <v>694</v>
      </c>
      <c r="C75" s="1315" t="s">
        <v>698</v>
      </c>
      <c r="D75" s="1303">
        <v>10372715</v>
      </c>
      <c r="E75" s="442"/>
      <c r="F75" s="324"/>
    </row>
    <row r="76" spans="1:6">
      <c r="A76" s="1302" t="s">
        <v>64</v>
      </c>
      <c r="B76" s="1302" t="s">
        <v>695</v>
      </c>
      <c r="C76" s="1315" t="s">
        <v>699</v>
      </c>
      <c r="D76" s="1303">
        <v>899526.44017608184</v>
      </c>
      <c r="E76" s="442"/>
      <c r="F76" s="324"/>
    </row>
    <row r="77" spans="1:6">
      <c r="A77" s="1302" t="s">
        <v>65</v>
      </c>
      <c r="B77" s="1302" t="s">
        <v>694</v>
      </c>
      <c r="C77" s="1315" t="s">
        <v>700</v>
      </c>
      <c r="D77" s="1303">
        <v>20930779</v>
      </c>
      <c r="E77" s="442"/>
      <c r="F77" s="324"/>
    </row>
    <row r="78" spans="1:6">
      <c r="A78" s="1297" t="s">
        <v>65</v>
      </c>
      <c r="B78" s="1297" t="s">
        <v>695</v>
      </c>
      <c r="C78" s="1297" t="s">
        <v>701</v>
      </c>
      <c r="D78" s="1305">
        <v>2667507</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1458775.1196478363</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2413.1629374970044</v>
      </c>
      <c r="C91" s="324"/>
      <c r="D91" s="324"/>
      <c r="E91" s="324"/>
      <c r="F91" s="324"/>
    </row>
    <row r="92" spans="1:6">
      <c r="A92" s="1297" t="s">
        <v>68</v>
      </c>
      <c r="B92" s="1298">
        <v>392.68107276380437</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2145</v>
      </c>
      <c r="C97" s="324"/>
      <c r="D97" s="324"/>
      <c r="E97" s="324"/>
      <c r="F97" s="324"/>
    </row>
    <row r="98" spans="1:6">
      <c r="A98" s="1302" t="s">
        <v>71</v>
      </c>
      <c r="B98" s="1303">
        <v>2</v>
      </c>
      <c r="C98" s="324"/>
      <c r="D98" s="324"/>
      <c r="E98" s="324"/>
      <c r="F98" s="324"/>
    </row>
    <row r="99" spans="1:6">
      <c r="A99" s="1302" t="s">
        <v>72</v>
      </c>
      <c r="B99" s="1303">
        <v>23</v>
      </c>
      <c r="C99" s="324"/>
      <c r="D99" s="324"/>
      <c r="E99" s="324"/>
      <c r="F99" s="324"/>
    </row>
    <row r="100" spans="1:6">
      <c r="A100" s="1302" t="s">
        <v>73</v>
      </c>
      <c r="B100" s="1303">
        <v>286</v>
      </c>
      <c r="C100" s="324"/>
      <c r="D100" s="324"/>
      <c r="E100" s="324"/>
      <c r="F100" s="324"/>
    </row>
    <row r="101" spans="1:6">
      <c r="A101" s="1302" t="s">
        <v>74</v>
      </c>
      <c r="B101" s="1303">
        <v>40</v>
      </c>
      <c r="C101" s="324"/>
      <c r="D101" s="324"/>
      <c r="E101" s="324"/>
      <c r="F101" s="324"/>
    </row>
    <row r="102" spans="1:6">
      <c r="A102" s="1302" t="s">
        <v>75</v>
      </c>
      <c r="B102" s="1303">
        <v>36</v>
      </c>
      <c r="C102" s="324"/>
      <c r="D102" s="324"/>
      <c r="E102" s="324"/>
      <c r="F102" s="324"/>
    </row>
    <row r="103" spans="1:6">
      <c r="A103" s="1302" t="s">
        <v>76</v>
      </c>
      <c r="B103" s="1303">
        <v>58</v>
      </c>
      <c r="C103" s="324"/>
      <c r="D103" s="324"/>
      <c r="E103" s="324"/>
      <c r="F103" s="324"/>
    </row>
    <row r="104" spans="1:6">
      <c r="A104" s="1302" t="s">
        <v>77</v>
      </c>
      <c r="B104" s="1303">
        <v>1330</v>
      </c>
      <c r="C104" s="324"/>
      <c r="D104" s="324"/>
      <c r="E104" s="324"/>
      <c r="F104" s="324"/>
    </row>
    <row r="105" spans="1:6">
      <c r="A105" s="1297" t="s">
        <v>78</v>
      </c>
      <c r="B105" s="1305">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9</v>
      </c>
      <c r="C123" s="1303">
        <v>6</v>
      </c>
      <c r="D123" s="324"/>
      <c r="E123" s="324"/>
      <c r="F123" s="324"/>
    </row>
    <row r="124" spans="1:6">
      <c r="A124" s="1302" t="s">
        <v>88</v>
      </c>
      <c r="B124" s="1303">
        <v>0</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38</v>
      </c>
      <c r="C129" s="324"/>
      <c r="D129" s="324"/>
      <c r="E129" s="324"/>
      <c r="F129" s="324"/>
    </row>
    <row r="130" spans="1:6">
      <c r="A130" s="1302" t="s">
        <v>284</v>
      </c>
      <c r="B130" s="1303">
        <v>0</v>
      </c>
      <c r="C130" s="324"/>
      <c r="D130" s="324"/>
      <c r="E130" s="324"/>
      <c r="F130" s="324"/>
    </row>
    <row r="131" spans="1:6">
      <c r="A131" s="1302" t="s">
        <v>285</v>
      </c>
      <c r="B131" s="1303">
        <v>1</v>
      </c>
      <c r="C131" s="324"/>
      <c r="D131" s="324"/>
      <c r="E131" s="324"/>
      <c r="F131" s="324"/>
    </row>
    <row r="132" spans="1:6">
      <c r="A132" s="1297" t="s">
        <v>286</v>
      </c>
      <c r="B132" s="1298">
        <v>9</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47075.865652669847</v>
      </c>
      <c r="C3" s="43" t="s">
        <v>163</v>
      </c>
      <c r="D3" s="43"/>
      <c r="E3" s="154"/>
      <c r="F3" s="43"/>
      <c r="G3" s="43"/>
      <c r="H3" s="43"/>
      <c r="I3" s="43"/>
      <c r="J3" s="43"/>
      <c r="K3" s="96"/>
    </row>
    <row r="4" spans="1:11">
      <c r="A4" s="351" t="s">
        <v>164</v>
      </c>
      <c r="B4" s="49">
        <f>IF(ISERROR('SEAP template'!B78+'SEAP template'!C78),0,'SEAP template'!B78+'SEAP template'!C78)</f>
        <v>2805.8440102608088</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0.20782782530558797</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951.96400000000006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951.96400000000006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0.20782782530558797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197.84460788920876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18393.053</v>
      </c>
      <c r="C5" s="17">
        <f>IF(ISERROR('Eigen informatie GS &amp; warmtenet'!B57),0,'Eigen informatie GS &amp; warmtenet'!B57)</f>
        <v>0</v>
      </c>
      <c r="D5" s="30">
        <f>(SUM(HH_hh_gas_kWh,HH_rest_gas_kWh)/1000)*0.902</f>
        <v>54598.510999999999</v>
      </c>
      <c r="E5" s="17">
        <f>B32*B41</f>
        <v>696.02905481699418</v>
      </c>
      <c r="F5" s="17">
        <f>B36*B45</f>
        <v>21957.54520435214</v>
      </c>
      <c r="G5" s="18"/>
      <c r="H5" s="17"/>
      <c r="I5" s="17"/>
      <c r="J5" s="17">
        <f>B35*B44+C35*C44</f>
        <v>512.04912468820532</v>
      </c>
      <c r="K5" s="17"/>
      <c r="L5" s="17"/>
      <c r="M5" s="17"/>
      <c r="N5" s="17">
        <f>B34*B43+C34*C43</f>
        <v>5146.0908608664595</v>
      </c>
      <c r="O5" s="17">
        <f>B52*B53*B54</f>
        <v>68.786666666666676</v>
      </c>
      <c r="P5" s="17">
        <f>B60*B61*B62/1000-B60*B61*B62/1000/B63</f>
        <v>343.2</v>
      </c>
    </row>
    <row r="6" spans="1:16">
      <c r="A6" s="16" t="s">
        <v>618</v>
      </c>
      <c r="B6" s="755">
        <f>kWh_PV_kleiner_dan_10kW</f>
        <v>2413.1629374970044</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20806.215937497003</v>
      </c>
      <c r="C8" s="21">
        <f>C5</f>
        <v>0</v>
      </c>
      <c r="D8" s="21">
        <f>D5</f>
        <v>54598.510999999999</v>
      </c>
      <c r="E8" s="21">
        <f>E5</f>
        <v>696.02905481699418</v>
      </c>
      <c r="F8" s="21">
        <f>F5</f>
        <v>21957.54520435214</v>
      </c>
      <c r="G8" s="21"/>
      <c r="H8" s="21"/>
      <c r="I8" s="21"/>
      <c r="J8" s="21">
        <f>J5</f>
        <v>512.04912468820532</v>
      </c>
      <c r="K8" s="21"/>
      <c r="L8" s="21">
        <f>L5</f>
        <v>0</v>
      </c>
      <c r="M8" s="21">
        <f>M5</f>
        <v>0</v>
      </c>
      <c r="N8" s="21">
        <f>N5</f>
        <v>5146.0908608664595</v>
      </c>
      <c r="O8" s="21">
        <f>O5</f>
        <v>68.786666666666676</v>
      </c>
      <c r="P8" s="21">
        <f>P5</f>
        <v>343.2</v>
      </c>
    </row>
    <row r="9" spans="1:16">
      <c r="B9" s="19"/>
      <c r="C9" s="19"/>
      <c r="D9" s="254"/>
      <c r="E9" s="19"/>
      <c r="F9" s="19"/>
      <c r="G9" s="19"/>
      <c r="H9" s="19"/>
      <c r="I9" s="19"/>
      <c r="J9" s="19"/>
      <c r="K9" s="19"/>
      <c r="L9" s="19"/>
      <c r="M9" s="19"/>
      <c r="N9" s="19"/>
      <c r="O9" s="19"/>
      <c r="P9" s="19"/>
    </row>
    <row r="10" spans="1:16">
      <c r="A10" s="24" t="s">
        <v>207</v>
      </c>
      <c r="B10" s="25">
        <f ca="1">'EF ele_warmte'!B12</f>
        <v>0.20782782530558797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4324.1106111284671</v>
      </c>
      <c r="C12" s="23">
        <f ca="1">C10*C8</f>
        <v>0</v>
      </c>
      <c r="D12" s="23">
        <f>D8*D10</f>
        <v>11028.899222</v>
      </c>
      <c r="E12" s="23">
        <f>E10*E8</f>
        <v>157.99859544345767</v>
      </c>
      <c r="F12" s="23">
        <f>F10*F8</f>
        <v>5862.6645695620218</v>
      </c>
      <c r="G12" s="23"/>
      <c r="H12" s="23"/>
      <c r="I12" s="23"/>
      <c r="J12" s="23">
        <f>J10*J8</f>
        <v>181.26539013962469</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4609</v>
      </c>
      <c r="C26" s="36"/>
      <c r="D26" s="225"/>
    </row>
    <row r="27" spans="1:5" s="15" customFormat="1">
      <c r="A27" s="227" t="s">
        <v>721</v>
      </c>
      <c r="B27" s="37">
        <f>SUM(HH_hh_gas_aantal,HH_rest_gas_aantal)</f>
        <v>3377</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3208.15</v>
      </c>
      <c r="C31" s="34" t="s">
        <v>104</v>
      </c>
      <c r="D31" s="171"/>
    </row>
    <row r="32" spans="1:5">
      <c r="A32" s="168" t="s">
        <v>72</v>
      </c>
      <c r="B32" s="33">
        <f>IF((B21*($B$26-($B$27-0.05*$B$27)-$B$60))&lt;0,0,B21*($B$26-($B$27-0.05*$B$27)-$B$60))</f>
        <v>8.7191740987358628</v>
      </c>
      <c r="C32" s="34" t="s">
        <v>104</v>
      </c>
      <c r="D32" s="171"/>
    </row>
    <row r="33" spans="1:6">
      <c r="A33" s="168" t="s">
        <v>73</v>
      </c>
      <c r="B33" s="33">
        <f>IF((B22*($B$26-($B$27-0.05*$B$27)-$B$60))&lt;0,0,B22*($B$26-($B$27-0.05*$B$27)-$B$60))</f>
        <v>303.63331638816584</v>
      </c>
      <c r="C33" s="34" t="s">
        <v>104</v>
      </c>
      <c r="D33" s="171"/>
    </row>
    <row r="34" spans="1:6">
      <c r="A34" s="168" t="s">
        <v>74</v>
      </c>
      <c r="B34" s="33">
        <f>IF((B24*($B$26-($B$27-0.05*$B$27)-$B$60))&lt;0,0,B24*($B$26-($B$27-0.05*$B$27)-$B$60))</f>
        <v>60.269870051824597</v>
      </c>
      <c r="C34" s="33">
        <f>B26*C24</f>
        <v>942.99993629451569</v>
      </c>
      <c r="D34" s="230"/>
    </row>
    <row r="35" spans="1:6">
      <c r="A35" s="168" t="s">
        <v>76</v>
      </c>
      <c r="B35" s="33">
        <f>IF((B19*($B$26-($B$27-0.05*$B$27)-$B$60))&lt;0,0,B19*($B$26-($B$27-0.05*$B$27)-$B$60))</f>
        <v>29.44525904241933</v>
      </c>
      <c r="C35" s="33">
        <f>B35/2</f>
        <v>14.722629521209665</v>
      </c>
      <c r="D35" s="230"/>
    </row>
    <row r="36" spans="1:6">
      <c r="A36" s="168" t="s">
        <v>77</v>
      </c>
      <c r="B36" s="33">
        <f>IF((B18*($B$26-($B$27-0.05*$B$27)-$B$60))&lt;0,0,B18*($B$26-($B$27-0.05*$B$27)-$B$60))</f>
        <v>980.7823804188547</v>
      </c>
      <c r="C36" s="34" t="s">
        <v>104</v>
      </c>
      <c r="D36" s="171"/>
    </row>
    <row r="37" spans="1:6">
      <c r="A37" s="168" t="s">
        <v>78</v>
      </c>
      <c r="B37" s="33">
        <f>B60</f>
        <v>18</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44</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18</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23422.356999999996</v>
      </c>
      <c r="C5" s="17">
        <f>IF(ISERROR('Eigen informatie GS &amp; warmtenet'!B58),0,'Eigen informatie GS &amp; warmtenet'!B58)</f>
        <v>0</v>
      </c>
      <c r="D5" s="30">
        <f>SUM(D6:D12)</f>
        <v>26715.399017999996</v>
      </c>
      <c r="E5" s="17">
        <f>SUM(E6:E12)</f>
        <v>113.35415335450372</v>
      </c>
      <c r="F5" s="17">
        <f>SUM(F6:F12)</f>
        <v>2924.0179220268155</v>
      </c>
      <c r="G5" s="18"/>
      <c r="H5" s="17"/>
      <c r="I5" s="17"/>
      <c r="J5" s="17">
        <f>SUM(J6:J12)</f>
        <v>0</v>
      </c>
      <c r="K5" s="17"/>
      <c r="L5" s="17"/>
      <c r="M5" s="17"/>
      <c r="N5" s="17">
        <f>SUM(N6:N12)</f>
        <v>1166.4117082090129</v>
      </c>
      <c r="O5" s="17">
        <f>B38*B39*B40</f>
        <v>0</v>
      </c>
      <c r="P5" s="17">
        <f>B46*B47*B48/1000-B46*B47*B48/1000/B49</f>
        <v>19.066666666666666</v>
      </c>
      <c r="R5" s="32"/>
    </row>
    <row r="6" spans="1:18">
      <c r="A6" s="32" t="s">
        <v>53</v>
      </c>
      <c r="B6" s="37">
        <f>B26</f>
        <v>17056.687999999998</v>
      </c>
      <c r="C6" s="33"/>
      <c r="D6" s="37">
        <f>IF(ISERROR(TER_kantoor_gas_kWh/1000),0,TER_kantoor_gas_kWh/1000)*0.902</f>
        <v>18534.820963999999</v>
      </c>
      <c r="E6" s="33">
        <f>$C$26*'E Balans VL '!I12/100/3.6*1000000</f>
        <v>49.415727706975638</v>
      </c>
      <c r="F6" s="33">
        <f>$C$26*('E Balans VL '!L12+'E Balans VL '!N12)/100/3.6*1000000</f>
        <v>1930.4412936276372</v>
      </c>
      <c r="G6" s="34"/>
      <c r="H6" s="33"/>
      <c r="I6" s="33"/>
      <c r="J6" s="33">
        <f>$C$26*('E Balans VL '!D12+'E Balans VL '!E12)/100/3.6*1000000</f>
        <v>0</v>
      </c>
      <c r="K6" s="33"/>
      <c r="L6" s="33"/>
      <c r="M6" s="33"/>
      <c r="N6" s="33">
        <f>$C$26*'E Balans VL '!Y12/100/3.6*1000000</f>
        <v>170.72487895113906</v>
      </c>
      <c r="O6" s="33"/>
      <c r="P6" s="33"/>
      <c r="R6" s="32"/>
    </row>
    <row r="7" spans="1:18">
      <c r="A7" s="32" t="s">
        <v>52</v>
      </c>
      <c r="B7" s="37">
        <f t="shared" ref="B7:B12" si="0">B27</f>
        <v>612.49599999999998</v>
      </c>
      <c r="C7" s="33"/>
      <c r="D7" s="37">
        <f>IF(ISERROR(TER_horeca_gas_kWh/1000),0,TER_horeca_gas_kWh/1000)*0.902</f>
        <v>805.73314800000003</v>
      </c>
      <c r="E7" s="33">
        <f>$C$27*'E Balans VL '!I9/100/3.6*1000000</f>
        <v>25.710870799997455</v>
      </c>
      <c r="F7" s="33">
        <f>$C$27*('E Balans VL '!L9+'E Balans VL '!N9)/100/3.6*1000000</f>
        <v>131.60732601345677</v>
      </c>
      <c r="G7" s="34"/>
      <c r="H7" s="33"/>
      <c r="I7" s="33"/>
      <c r="J7" s="33">
        <f>$C$27*('E Balans VL '!D9+'E Balans VL '!E9)/100/3.6*1000000</f>
        <v>0</v>
      </c>
      <c r="K7" s="33"/>
      <c r="L7" s="33"/>
      <c r="M7" s="33"/>
      <c r="N7" s="33">
        <f>$C$27*'E Balans VL '!Y9/100/3.6*1000000</f>
        <v>0.15783486272816161</v>
      </c>
      <c r="O7" s="33"/>
      <c r="P7" s="33"/>
      <c r="R7" s="32"/>
    </row>
    <row r="8" spans="1:18">
      <c r="A8" s="6" t="s">
        <v>51</v>
      </c>
      <c r="B8" s="37">
        <f t="shared" si="0"/>
        <v>3022.9119999999998</v>
      </c>
      <c r="C8" s="33"/>
      <c r="D8" s="37">
        <f>IF(ISERROR(TER_handel_gas_kWh/1000),0,TER_handel_gas_kWh/1000)*0.902</f>
        <v>2508.3582700000002</v>
      </c>
      <c r="E8" s="33">
        <f>$C$28*'E Balans VL '!I13/100/3.6*1000000</f>
        <v>32.468590778139195</v>
      </c>
      <c r="F8" s="33">
        <f>$C$28*('E Balans VL '!L13+'E Balans VL '!N13)/100/3.6*1000000</f>
        <v>391.34092109269523</v>
      </c>
      <c r="G8" s="34"/>
      <c r="H8" s="33"/>
      <c r="I8" s="33"/>
      <c r="J8" s="33">
        <f>$C$28*('E Balans VL '!D13+'E Balans VL '!E13)/100/3.6*1000000</f>
        <v>0</v>
      </c>
      <c r="K8" s="33"/>
      <c r="L8" s="33"/>
      <c r="M8" s="33"/>
      <c r="N8" s="33">
        <f>$C$28*'E Balans VL '!Y13/100/3.6*1000000</f>
        <v>24.522027202171852</v>
      </c>
      <c r="O8" s="33"/>
      <c r="P8" s="33"/>
      <c r="R8" s="32"/>
    </row>
    <row r="9" spans="1:18">
      <c r="A9" s="32" t="s">
        <v>50</v>
      </c>
      <c r="B9" s="37">
        <f t="shared" si="0"/>
        <v>1367.4649999999999</v>
      </c>
      <c r="C9" s="33"/>
      <c r="D9" s="37">
        <f>IF(ISERROR(TER_gezond_gas_kWh/1000),0,TER_gezond_gas_kWh/1000)*0.902</f>
        <v>1411.8049880000001</v>
      </c>
      <c r="E9" s="33">
        <f>$C$29*'E Balans VL '!I10/100/3.6*1000000</f>
        <v>1.0885905852666811</v>
      </c>
      <c r="F9" s="33">
        <f>$C$29*('E Balans VL '!L10+'E Balans VL '!N10)/100/3.6*1000000</f>
        <v>166.23513239918975</v>
      </c>
      <c r="G9" s="34"/>
      <c r="H9" s="33"/>
      <c r="I9" s="33"/>
      <c r="J9" s="33">
        <f>$C$29*('E Balans VL '!D10+'E Balans VL '!E10)/100/3.6*1000000</f>
        <v>0</v>
      </c>
      <c r="K9" s="33"/>
      <c r="L9" s="33"/>
      <c r="M9" s="33"/>
      <c r="N9" s="33">
        <f>$C$29*'E Balans VL '!Y10/100/3.6*1000000</f>
        <v>11.046019983951783</v>
      </c>
      <c r="O9" s="33"/>
      <c r="P9" s="33"/>
      <c r="R9" s="32"/>
    </row>
    <row r="10" spans="1:18">
      <c r="A10" s="32" t="s">
        <v>49</v>
      </c>
      <c r="B10" s="37">
        <f t="shared" si="0"/>
        <v>1362.796</v>
      </c>
      <c r="C10" s="33"/>
      <c r="D10" s="37">
        <f>IF(ISERROR(TER_ander_gas_kWh/1000),0,TER_ander_gas_kWh/1000)*0.902</f>
        <v>3284.873834</v>
      </c>
      <c r="E10" s="33">
        <f>$C$30*'E Balans VL '!I14/100/3.6*1000000</f>
        <v>4.6703734841247346</v>
      </c>
      <c r="F10" s="33">
        <f>$C$30*('E Balans VL '!L14+'E Balans VL '!N14)/100/3.6*1000000</f>
        <v>304.39324889383647</v>
      </c>
      <c r="G10" s="34"/>
      <c r="H10" s="33"/>
      <c r="I10" s="33"/>
      <c r="J10" s="33">
        <f>$C$30*('E Balans VL '!D14+'E Balans VL '!E14)/100/3.6*1000000</f>
        <v>0</v>
      </c>
      <c r="K10" s="33"/>
      <c r="L10" s="33"/>
      <c r="M10" s="33"/>
      <c r="N10" s="33">
        <f>$C$30*'E Balans VL '!Y14/100/3.6*1000000</f>
        <v>959.96094720902215</v>
      </c>
      <c r="O10" s="33"/>
      <c r="P10" s="33"/>
      <c r="R10" s="32"/>
    </row>
    <row r="11" spans="1:18">
      <c r="A11" s="32" t="s">
        <v>54</v>
      </c>
      <c r="B11" s="37">
        <f t="shared" si="0"/>
        <v>0</v>
      </c>
      <c r="C11" s="33"/>
      <c r="D11" s="37">
        <f>IF(ISERROR(TER_onderwijs_gas_kWh/1000),0,TER_onderwijs_gas_kWh/1000)*0.902</f>
        <v>169.80781400000001</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23422.356999999996</v>
      </c>
      <c r="C16" s="21">
        <f t="shared" ca="1" si="1"/>
        <v>0</v>
      </c>
      <c r="D16" s="21">
        <f t="shared" ca="1" si="1"/>
        <v>26715.399017999996</v>
      </c>
      <c r="E16" s="21">
        <f t="shared" si="1"/>
        <v>113.35415335450372</v>
      </c>
      <c r="F16" s="21">
        <f t="shared" ca="1" si="1"/>
        <v>2924.0179220268155</v>
      </c>
      <c r="G16" s="21">
        <f t="shared" si="1"/>
        <v>0</v>
      </c>
      <c r="H16" s="21">
        <f t="shared" si="1"/>
        <v>0</v>
      </c>
      <c r="I16" s="21">
        <f t="shared" si="1"/>
        <v>0</v>
      </c>
      <c r="J16" s="21">
        <f t="shared" si="1"/>
        <v>0</v>
      </c>
      <c r="K16" s="21">
        <f t="shared" si="1"/>
        <v>0</v>
      </c>
      <c r="L16" s="21">
        <f t="shared" ca="1" si="1"/>
        <v>0</v>
      </c>
      <c r="M16" s="21">
        <f t="shared" si="1"/>
        <v>0</v>
      </c>
      <c r="N16" s="21">
        <f t="shared" ca="1" si="1"/>
        <v>1166.4117082090129</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0.20782782530558797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4867.8175188411151</v>
      </c>
      <c r="C20" s="23">
        <f t="shared" ref="C20:P20" ca="1" si="2">C16*C18</f>
        <v>0</v>
      </c>
      <c r="D20" s="23">
        <f t="shared" ca="1" si="2"/>
        <v>5396.5106016359996</v>
      </c>
      <c r="E20" s="23">
        <f t="shared" si="2"/>
        <v>25.731392811472347</v>
      </c>
      <c r="F20" s="23">
        <f t="shared" ca="1" si="2"/>
        <v>780.7127851811598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17056.687999999998</v>
      </c>
      <c r="C26" s="39">
        <f>IF(ISERROR(B26*3.6/1000000/'E Balans VL '!Z12*100),0,B26*3.6/1000000/'E Balans VL '!Z12*100)</f>
        <v>0.37466987142598496</v>
      </c>
      <c r="D26" s="233" t="s">
        <v>676</v>
      </c>
      <c r="F26" s="6"/>
    </row>
    <row r="27" spans="1:18">
      <c r="A27" s="228" t="s">
        <v>52</v>
      </c>
      <c r="B27" s="33">
        <f>IF(ISERROR(TER_horeca_ele_kWh/1000),0,TER_horeca_ele_kWh/1000)</f>
        <v>612.49599999999998</v>
      </c>
      <c r="C27" s="39">
        <f>IF(ISERROR(B27*3.6/1000000/'E Balans VL '!Z9*100),0,B27*3.6/1000000/'E Balans VL '!Z9*100)</f>
        <v>4.9220159032239745E-2</v>
      </c>
      <c r="D27" s="233" t="s">
        <v>676</v>
      </c>
      <c r="F27" s="6"/>
    </row>
    <row r="28" spans="1:18">
      <c r="A28" s="168" t="s">
        <v>51</v>
      </c>
      <c r="B28" s="33">
        <f>IF(ISERROR(TER_handel_ele_kWh/1000),0,TER_handel_ele_kWh/1000)</f>
        <v>3022.9119999999998</v>
      </c>
      <c r="C28" s="39">
        <f>IF(ISERROR(B28*3.6/1000000/'E Balans VL '!Z13*100),0,B28*3.6/1000000/'E Balans VL '!Z13*100)</f>
        <v>8.9385395989335162E-2</v>
      </c>
      <c r="D28" s="233" t="s">
        <v>676</v>
      </c>
      <c r="F28" s="6"/>
    </row>
    <row r="29" spans="1:18">
      <c r="A29" s="228" t="s">
        <v>50</v>
      </c>
      <c r="B29" s="33">
        <f>IF(ISERROR(TER_gezond_ele_kWh/1000),0,TER_gezond_ele_kWh/1000)</f>
        <v>1367.4649999999999</v>
      </c>
      <c r="C29" s="39">
        <f>IF(ISERROR(B29*3.6/1000000/'E Balans VL '!Z10*100),0,B29*3.6/1000000/'E Balans VL '!Z10*100)</f>
        <v>0.154078000665829</v>
      </c>
      <c r="D29" s="233" t="s">
        <v>676</v>
      </c>
      <c r="F29" s="6"/>
    </row>
    <row r="30" spans="1:18">
      <c r="A30" s="228" t="s">
        <v>49</v>
      </c>
      <c r="B30" s="33">
        <f>IF(ISERROR(TER_ander_ele_kWh/1000),0,TER_ander_ele_kWh/1000)</f>
        <v>1362.796</v>
      </c>
      <c r="C30" s="39">
        <f>IF(ISERROR(B30*3.6/1000000/'E Balans VL '!Z14*100),0,B30*3.6/1000000/'E Balans VL '!Z14*100)</f>
        <v>0.10306593188546592</v>
      </c>
      <c r="D30" s="233" t="s">
        <v>676</v>
      </c>
      <c r="F30" s="6"/>
    </row>
    <row r="31" spans="1:18">
      <c r="A31" s="228" t="s">
        <v>54</v>
      </c>
      <c r="B31" s="33">
        <f>IF(ISERROR(TER_onderwijs_ele_kWh/1000),0,TER_onderwijs_ele_kWh/1000)</f>
        <v>0</v>
      </c>
      <c r="C31" s="39">
        <f>IF(ISERROR(B31*3.6/1000000/'E Balans VL '!Z11*100),0,B31*3.6/1000000/'E Balans VL '!Z11*100)</f>
        <v>0</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0</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915.69900000000007</v>
      </c>
      <c r="C5" s="17">
        <f>IF(ISERROR('Eigen informatie GS &amp; warmtenet'!B59),0,'Eigen informatie GS &amp; warmtenet'!B59)</f>
        <v>0</v>
      </c>
      <c r="D5" s="30">
        <f>SUM(D6:D15)</f>
        <v>1172.5413699999999</v>
      </c>
      <c r="E5" s="17">
        <f>SUM(E6:E15)</f>
        <v>90.811592796933368</v>
      </c>
      <c r="F5" s="17">
        <f>SUM(F6:F15)</f>
        <v>936.14855751551238</v>
      </c>
      <c r="G5" s="18"/>
      <c r="H5" s="17"/>
      <c r="I5" s="17"/>
      <c r="J5" s="17">
        <f>SUM(J6:J15)</f>
        <v>7.8680682733305645</v>
      </c>
      <c r="K5" s="17"/>
      <c r="L5" s="17"/>
      <c r="M5" s="17"/>
      <c r="N5" s="17">
        <f>SUM(N6:N15)</f>
        <v>203.07544577981707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283.73700000000002</v>
      </c>
      <c r="C8" s="33"/>
      <c r="D8" s="37">
        <f>IF( ISERROR(IND_metaal_Gas_kWH/1000),0,IND_metaal_Gas_kWH/1000)*0.902</f>
        <v>0</v>
      </c>
      <c r="E8" s="33">
        <f>C30*'E Balans VL '!I18/100/3.6*1000000</f>
        <v>7.100944051774885</v>
      </c>
      <c r="F8" s="33">
        <f>C30*'E Balans VL '!L18/100/3.6*1000000+C30*'E Balans VL '!N18/100/3.6*1000000</f>
        <v>88.924587180422421</v>
      </c>
      <c r="G8" s="34"/>
      <c r="H8" s="33"/>
      <c r="I8" s="33"/>
      <c r="J8" s="40">
        <f>C30*'E Balans VL '!D18/100/3.6*1000000+C30*'E Balans VL '!E18/100/3.6*1000000</f>
        <v>0</v>
      </c>
      <c r="K8" s="33"/>
      <c r="L8" s="33"/>
      <c r="M8" s="33"/>
      <c r="N8" s="33">
        <f>C30*'E Balans VL '!Y18/100/3.6*1000000</f>
        <v>7.1282098017262374</v>
      </c>
      <c r="O8" s="33"/>
      <c r="P8" s="33"/>
      <c r="R8" s="32"/>
    </row>
    <row r="9" spans="1:18">
      <c r="A9" s="6" t="s">
        <v>32</v>
      </c>
      <c r="B9" s="37">
        <f t="shared" si="0"/>
        <v>289.233</v>
      </c>
      <c r="C9" s="33"/>
      <c r="D9" s="37">
        <f>IF( ISERROR(IND_andere_gas_kWh/1000),0,IND_andere_gas_kWh/1000)*0.902</f>
        <v>524.36868000000004</v>
      </c>
      <c r="E9" s="33">
        <f>C31*'E Balans VL '!I19/100/3.6*1000000</f>
        <v>79.52721209242533</v>
      </c>
      <c r="F9" s="33">
        <f>C31*'E Balans VL '!L19/100/3.6*1000000+C31*'E Balans VL '!N19/100/3.6*1000000</f>
        <v>227.9659341556025</v>
      </c>
      <c r="G9" s="34"/>
      <c r="H9" s="33"/>
      <c r="I9" s="33"/>
      <c r="J9" s="40">
        <f>C31*'E Balans VL '!D19/100/3.6*1000000+C31*'E Balans VL '!E19/100/3.6*1000000</f>
        <v>0</v>
      </c>
      <c r="K9" s="33"/>
      <c r="L9" s="33"/>
      <c r="M9" s="33"/>
      <c r="N9" s="33">
        <f>C31*'E Balans VL '!Y19/100/3.6*1000000</f>
        <v>23.300792741757952</v>
      </c>
      <c r="O9" s="33"/>
      <c r="P9" s="33"/>
      <c r="R9" s="32"/>
    </row>
    <row r="10" spans="1:18">
      <c r="A10" s="6" t="s">
        <v>40</v>
      </c>
      <c r="B10" s="37">
        <f t="shared" si="0"/>
        <v>325.779</v>
      </c>
      <c r="C10" s="33"/>
      <c r="D10" s="37">
        <f>IF( ISERROR(IND_voed_gas_kWh/1000),0,IND_voed_gas_kWh/1000)*0.902</f>
        <v>340.48335200000002</v>
      </c>
      <c r="E10" s="33">
        <f>C32*'E Balans VL '!I20/100/3.6*1000000</f>
        <v>3.3211374323248251</v>
      </c>
      <c r="F10" s="33">
        <f>C32*'E Balans VL '!L20/100/3.6*1000000+C32*'E Balans VL '!N20/100/3.6*1000000</f>
        <v>615.39449344904176</v>
      </c>
      <c r="G10" s="34"/>
      <c r="H10" s="33"/>
      <c r="I10" s="33"/>
      <c r="J10" s="40">
        <f>C32*'E Balans VL '!D20/100/3.6*1000000+C32*'E Balans VL '!E20/100/3.6*1000000</f>
        <v>7.7969574237139971</v>
      </c>
      <c r="K10" s="33"/>
      <c r="L10" s="33"/>
      <c r="M10" s="33"/>
      <c r="N10" s="33">
        <f>C32*'E Balans VL '!Y20/100/3.6*1000000</f>
        <v>171.72305813933363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16.95</v>
      </c>
      <c r="C15" s="33"/>
      <c r="D15" s="37">
        <f>IF( ISERROR(IND_rest_gas_kWh/1000),0,IND_rest_gas_kWh/1000)*0.902</f>
        <v>307.68933800000002</v>
      </c>
      <c r="E15" s="33">
        <f>C37*'E Balans VL '!I15/100/3.6*1000000</f>
        <v>0.86229922040833784</v>
      </c>
      <c r="F15" s="33">
        <f>C37*'E Balans VL '!L15/100/3.6*1000000+C37*'E Balans VL '!N15/100/3.6*1000000</f>
        <v>3.8635427304456651</v>
      </c>
      <c r="G15" s="34"/>
      <c r="H15" s="33"/>
      <c r="I15" s="33"/>
      <c r="J15" s="40">
        <f>C37*'E Balans VL '!D15/100/3.6*1000000+C37*'E Balans VL '!E15/100/3.6*1000000</f>
        <v>7.111084961656737E-2</v>
      </c>
      <c r="K15" s="33"/>
      <c r="L15" s="33"/>
      <c r="M15" s="33"/>
      <c r="N15" s="33">
        <f>C37*'E Balans VL '!Y15/100/3.6*1000000</f>
        <v>0.92338509699925975</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915.69900000000007</v>
      </c>
      <c r="C18" s="21">
        <f>C5+C16</f>
        <v>0</v>
      </c>
      <c r="D18" s="21">
        <f>MAX((D5+D16),0)</f>
        <v>1172.5413699999999</v>
      </c>
      <c r="E18" s="21">
        <f>MAX((E5+E16),0)</f>
        <v>90.811592796933368</v>
      </c>
      <c r="F18" s="21">
        <f>MAX((F5+F16),0)</f>
        <v>936.14855751551238</v>
      </c>
      <c r="G18" s="21"/>
      <c r="H18" s="21"/>
      <c r="I18" s="21"/>
      <c r="J18" s="21">
        <f>MAX((J5+J16),0)</f>
        <v>7.8680682733305645</v>
      </c>
      <c r="K18" s="21"/>
      <c r="L18" s="21">
        <f>MAX((L5+L16),0)</f>
        <v>0</v>
      </c>
      <c r="M18" s="21"/>
      <c r="N18" s="21">
        <f>MAX((N5+N16),0)</f>
        <v>203.07544577981707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0.20782782530558797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190.3077318045016</v>
      </c>
      <c r="C22" s="23">
        <f ca="1">C18*C20</f>
        <v>0</v>
      </c>
      <c r="D22" s="23">
        <f>D18*D20</f>
        <v>236.85335674000001</v>
      </c>
      <c r="E22" s="23">
        <f>E18*E20</f>
        <v>20.614231564903875</v>
      </c>
      <c r="F22" s="23">
        <f>F18*F20</f>
        <v>249.95166485664183</v>
      </c>
      <c r="G22" s="23"/>
      <c r="H22" s="23"/>
      <c r="I22" s="23"/>
      <c r="J22" s="23">
        <f>J18*J20</f>
        <v>2.7852961687590199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283.73700000000002</v>
      </c>
      <c r="C30" s="39">
        <f>IF(ISERROR(B30*3.6/1000000/'E Balans VL '!Z18*100),0,B30*3.6/1000000/'E Balans VL '!Z18*100)</f>
        <v>3.9713724360015662E-2</v>
      </c>
      <c r="D30" s="233" t="s">
        <v>676</v>
      </c>
    </row>
    <row r="31" spans="1:18">
      <c r="A31" s="6" t="s">
        <v>32</v>
      </c>
      <c r="B31" s="37">
        <f>IF( ISERROR(IND_ander_ele_kWh/1000),0,IND_ander_ele_kWh/1000)</f>
        <v>289.233</v>
      </c>
      <c r="C31" s="39">
        <f>IF(ISERROR(B31*3.6/1000000/'E Balans VL '!Z19*100),0,B31*3.6/1000000/'E Balans VL '!Z19*100)</f>
        <v>1.2659681489741236E-2</v>
      </c>
      <c r="D31" s="233" t="s">
        <v>676</v>
      </c>
    </row>
    <row r="32" spans="1:18">
      <c r="A32" s="168" t="s">
        <v>40</v>
      </c>
      <c r="B32" s="37">
        <f>IF( ISERROR(IND_voed_ele_kWh/1000),0,IND_voed_ele_kWh/1000)</f>
        <v>325.779</v>
      </c>
      <c r="C32" s="39">
        <f>IF(ISERROR(B32*3.6/1000000/'E Balans VL '!Z20*100),0,B32*3.6/1000000/'E Balans VL '!Z20*100)</f>
        <v>8.0652061813042006E-2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16.95</v>
      </c>
      <c r="C37" s="39">
        <f>IF(ISERROR(B37*3.6/1000000/'E Balans VL '!Z15*100),0,B37*3.6/1000000/'E Balans VL '!Z15*100)</f>
        <v>1.2568134803719926E-4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369.84699999999998</v>
      </c>
      <c r="C5" s="17">
        <f>'Eigen informatie GS &amp; warmtenet'!B60</f>
        <v>0</v>
      </c>
      <c r="D5" s="30">
        <f>IF(ISERROR(SUM(LB_lb_gas_kWh,LB_rest_gas_kWh)/1000),0,SUM(LB_lb_gas_kWh,LB_rest_gas_kWh)/1000)*0.902</f>
        <v>231.37292200000002</v>
      </c>
      <c r="E5" s="17">
        <f>B17*'E Balans VL '!I25/3.6*1000000/100</f>
        <v>3.4256778201628726</v>
      </c>
      <c r="F5" s="17">
        <f>B17*('E Balans VL '!L25/3.6*1000000+'E Balans VL '!N25/3.6*1000000)/100</f>
        <v>938.37229478119696</v>
      </c>
      <c r="G5" s="18"/>
      <c r="H5" s="17"/>
      <c r="I5" s="17"/>
      <c r="J5" s="17">
        <f>('E Balans VL '!D25+'E Balans VL '!E25)/3.6*1000000*landbouw!B17/100</f>
        <v>56.701672604566518</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369.84699999999998</v>
      </c>
      <c r="C8" s="21">
        <f>C5+C6</f>
        <v>0</v>
      </c>
      <c r="D8" s="21">
        <f>MAX((D5+D6),0)</f>
        <v>231.37292200000002</v>
      </c>
      <c r="E8" s="21">
        <f>MAX((E5+E6),0)</f>
        <v>3.4256778201628726</v>
      </c>
      <c r="F8" s="21">
        <f>MAX((F5+F6),0)</f>
        <v>938.37229478119696</v>
      </c>
      <c r="G8" s="21"/>
      <c r="H8" s="21"/>
      <c r="I8" s="21"/>
      <c r="J8" s="21">
        <f>MAX((J5+J6),0)</f>
        <v>56.701672604566518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0.20782782530558797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76.864497705795785</v>
      </c>
      <c r="C12" s="23">
        <f ca="1">C8*C10</f>
        <v>0</v>
      </c>
      <c r="D12" s="23">
        <f>D8*D10</f>
        <v>46.737330244000006</v>
      </c>
      <c r="E12" s="23">
        <f>E8*E10</f>
        <v>0.77762886517697205</v>
      </c>
      <c r="F12" s="23">
        <f>F8*F10</f>
        <v>250.54540270657961</v>
      </c>
      <c r="G12" s="23"/>
      <c r="H12" s="23"/>
      <c r="I12" s="23"/>
      <c r="J12" s="23">
        <f>J8*J10</f>
        <v>20.072392102016547</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5.2584401288098256E-2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4.3487459068482348</v>
      </c>
      <c r="C26" s="243">
        <f>B26*'GWP N2O_CH4'!B5</f>
        <v>91.323664043812926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0.25077871265165985</v>
      </c>
      <c r="C27" s="243">
        <f>B27*'GWP N2O_CH4'!B5</f>
        <v>5.2663529656848569</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6.327034800824953E-2</v>
      </c>
      <c r="C28" s="243">
        <f>B28*'GWP N2O_CH4'!B4</f>
        <v>19.613807882557353</v>
      </c>
      <c r="D28" s="50"/>
    </row>
    <row r="29" spans="1:4">
      <c r="A29" s="41" t="s">
        <v>266</v>
      </c>
      <c r="B29" s="243">
        <f>B34*'ha_N2O bodem landbouw'!B4</f>
        <v>4.5676531318366713</v>
      </c>
      <c r="C29" s="243">
        <f>B29*'GWP N2O_CH4'!B4</f>
        <v>1415.9724708693682</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1.0244441277080958E-3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4.9960679260561179E-5</v>
      </c>
      <c r="C5" s="430" t="s">
        <v>204</v>
      </c>
      <c r="D5" s="415">
        <f>SUM(D6:D11)</f>
        <v>7.4365591447632322E-5</v>
      </c>
      <c r="E5" s="415">
        <f>SUM(E6:E11)</f>
        <v>7.59361892450091E-4</v>
      </c>
      <c r="F5" s="428" t="s">
        <v>204</v>
      </c>
      <c r="G5" s="415">
        <f>SUM(G6:G11)</f>
        <v>0.26896924760580115</v>
      </c>
      <c r="H5" s="415">
        <f>SUM(H6:H11)</f>
        <v>4.3397767238987382E-2</v>
      </c>
      <c r="I5" s="430" t="s">
        <v>204</v>
      </c>
      <c r="J5" s="430" t="s">
        <v>204</v>
      </c>
      <c r="K5" s="430" t="s">
        <v>204</v>
      </c>
      <c r="L5" s="430" t="s">
        <v>204</v>
      </c>
      <c r="M5" s="415">
        <f>SUM(M6:M11)</f>
        <v>1.6917826914537967E-2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3.0946398971192921E-5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4.6739524791719027E-5</v>
      </c>
      <c r="E6" s="858">
        <f>vkm_GW_PW*SUMIFS(TableVerdeelsleutelVkm[LPG],TableVerdeelsleutelVkm[Voertuigtype],"Lichte voertuigen")*SUMIFS(TableECFTransport[EnergieConsumptieFactor (PJ per km)],TableECFTransport[Index],CONCATENATE($A6,"_LPG_LPG"))</f>
        <v>4.6036139560018738E-4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0.10532101648802955</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2.7179431192740154E-2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6.9352632032965286E-3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1.7175561212316888E-6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6.5920519411159256E-2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1.2464534334145934E-6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3.8219217103664994E-3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5.5428999790288965E-6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1.2628518527489074E-5</v>
      </c>
      <c r="E8" s="418">
        <f>vkm_NGW_PW*SUMIFS(TableVerdeelsleutelVkm[LPG],TableVerdeelsleutelVkm[Voertuigtype],"Lichte voertuigen")*SUMIFS(TableECFTransport[EnergieConsumptieFactor (PJ per km)],TableECFTransport[Index],CONCATENATE($A8,"_LPG_LPG"))</f>
        <v>1.1862767514512907E-4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2.5188845061716172E-2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7.0940000090388908E-3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1.6767648597351985E-3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2.1927073023675744E-7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1.0812613868004197E-2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1.9207119164748133E-7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6.2689036990480206E-4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1.0884315531804347E-5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1.4997548128424215E-5</v>
      </c>
      <c r="E10" s="418">
        <f>vkm_SW_PW*SUMIFS(TableVerdeelsleutelVkm[LPG],TableVerdeelsleutelVkm[Voertuigtype],"Lichte voertuigen")*SUMIFS(TableECFTransport[EnergieConsumptieFactor (PJ per km)],TableECFTransport[Index],CONCATENATE($A10,"_LPG_LPG"))</f>
        <v>1.803728217047746E-4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3.7937179620062107E-2</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9.1224118128573201E-3</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2.4777493480842398E-3</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6.5023792706656512E-7</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2.3789073156829859E-2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4.8569972596099427E-7</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1.3792374231506972E-3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13.877966461266993</v>
      </c>
      <c r="C14" s="21"/>
      <c r="D14" s="21">
        <f t="shared" ref="D14:M14" si="0">((D5)*10^9/3600)+D12</f>
        <v>20.657108735453424</v>
      </c>
      <c r="E14" s="21">
        <f t="shared" si="0"/>
        <v>210.93385901391414</v>
      </c>
      <c r="F14" s="21"/>
      <c r="G14" s="21">
        <f t="shared" si="0"/>
        <v>74713.679890500323</v>
      </c>
      <c r="H14" s="21">
        <f t="shared" si="0"/>
        <v>12054.935344163161</v>
      </c>
      <c r="I14" s="21"/>
      <c r="J14" s="21"/>
      <c r="K14" s="21"/>
      <c r="L14" s="21"/>
      <c r="M14" s="21">
        <f t="shared" si="0"/>
        <v>4699.396365149435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0.20782782530558797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2.8842275893090057</v>
      </c>
      <c r="C18" s="23"/>
      <c r="D18" s="23">
        <f t="shared" ref="D18:M18" si="1">D14*D16</f>
        <v>4.1727359645615918</v>
      </c>
      <c r="E18" s="23">
        <f t="shared" si="1"/>
        <v>47.881985996158512</v>
      </c>
      <c r="F18" s="23"/>
      <c r="G18" s="23">
        <f t="shared" si="1"/>
        <v>19948.552530763587</v>
      </c>
      <c r="H18" s="23">
        <f t="shared" si="1"/>
        <v>3001.6789006966269</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9.7087495361670466E-5</v>
      </c>
      <c r="C50" s="313">
        <f t="shared" ref="C50:P50" si="2">SUM(C51:C52)</f>
        <v>0</v>
      </c>
      <c r="D50" s="313">
        <f t="shared" si="2"/>
        <v>0</v>
      </c>
      <c r="E50" s="313">
        <f t="shared" si="2"/>
        <v>0</v>
      </c>
      <c r="F50" s="313">
        <f t="shared" si="2"/>
        <v>0</v>
      </c>
      <c r="G50" s="313">
        <f t="shared" si="2"/>
        <v>1.8396799306530046E-2</v>
      </c>
      <c r="H50" s="313">
        <f t="shared" si="2"/>
        <v>0</v>
      </c>
      <c r="I50" s="313">
        <f t="shared" si="2"/>
        <v>0</v>
      </c>
      <c r="J50" s="313">
        <f t="shared" si="2"/>
        <v>0</v>
      </c>
      <c r="K50" s="313">
        <f t="shared" si="2"/>
        <v>0</v>
      </c>
      <c r="L50" s="313">
        <f t="shared" si="2"/>
        <v>0</v>
      </c>
      <c r="M50" s="313">
        <f t="shared" si="2"/>
        <v>1.0590676051075887E-3</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9.7087495361670466E-5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1.8396799306530046E-2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1.0590676051075887E-3</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26.968748711575127</v>
      </c>
      <c r="C54" s="21">
        <f t="shared" ref="C54:P54" si="3">(C50)*10^9/3600</f>
        <v>0</v>
      </c>
      <c r="D54" s="21">
        <f t="shared" si="3"/>
        <v>0</v>
      </c>
      <c r="E54" s="21">
        <f t="shared" si="3"/>
        <v>0</v>
      </c>
      <c r="F54" s="21">
        <f t="shared" si="3"/>
        <v>0</v>
      </c>
      <c r="G54" s="21">
        <f t="shared" si="3"/>
        <v>5110.2220295916795</v>
      </c>
      <c r="H54" s="21">
        <f t="shared" si="3"/>
        <v>0</v>
      </c>
      <c r="I54" s="21">
        <f t="shared" si="3"/>
        <v>0</v>
      </c>
      <c r="J54" s="21">
        <f t="shared" si="3"/>
        <v>0</v>
      </c>
      <c r="K54" s="21">
        <f t="shared" si="3"/>
        <v>0</v>
      </c>
      <c r="L54" s="21">
        <f t="shared" si="3"/>
        <v>0</v>
      </c>
      <c r="M54" s="21">
        <f t="shared" si="3"/>
        <v>294.18544586321906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0.20782782530558797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5.6048563959395361</v>
      </c>
      <c r="C58" s="23">
        <f t="shared" ref="C58:P58" ca="1" si="4">C54*C56</f>
        <v>0</v>
      </c>
      <c r="D58" s="23">
        <f t="shared" si="4"/>
        <v>0</v>
      </c>
      <c r="E58" s="23">
        <f t="shared" si="4"/>
        <v>0</v>
      </c>
      <c r="F58" s="23">
        <f t="shared" si="4"/>
        <v>0</v>
      </c>
      <c r="G58" s="23">
        <f t="shared" si="4"/>
        <v>1364.4292819009786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2805.8440102608088</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2805.8440102608088</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2021-11-11T13:09:38Z</dcterms:modified>
</cp:coreProperties>
</file>