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2181E89-D9D1-4F69-98FB-9A8F92C063E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<sst xmlns="http://schemas.openxmlformats.org/spreadsheetml/2006/main" count="2511" uniqueCount="925">
  <si>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</si>
  <si>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</si>
  <si>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</si>
  <si>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</si>
  <si>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</si>
  <si>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</si>
  <si>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</si>
  <si>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</si>
  <si>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</si>
  <si>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</si>
  <si>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</si>
  <si>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</si>
  <si>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</si>
  <si>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</si>
  <si>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</si>
  <si>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</si>
  <si>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</si>
  <si>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</si>
  <si>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</si>
  <si>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</si>
  <si>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</si>
  <si>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</si>
  <si>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</si>
  <si>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</si>
  <si>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</si>
  <si>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</si>
  <si>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</si>
  <si>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</si>
  <si>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</si>
  <si>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</si>
  <si>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</si>
  <si>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</si>
  <si>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</si>
  <si>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</si>
  <si>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</si>
  <si>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</si>
  <si>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</si>
  <si>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</si>
  <si>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</si>
  <si>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</si>
  <si>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</si>
  <si>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</si>
  <si>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</si>
  <si>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</si>
  <si>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</si>
  <si>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</si>
  <si>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</si>
  <si>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</si>
  <si>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</si>
  <si>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</si>
  <si>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</si>
  <si>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</si>
  <si>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</si>
  <si>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</si>
  <si>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</si>
  <si>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</si>
  <si>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</si>
  <si>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</si>
  <si>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</si>
  <si>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</si>
  <si>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</si>
  <si>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</si>
  <si>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</si>
  <si>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</si>
  <si>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</si>
  <si>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</si>
  <si>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</si>
  <si>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</si>
  <si>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</si>
  <si>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</si>
  <si>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</si>
  <si>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</si>
  <si>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</si>
  <si>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</si>
  <si>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</si>
  <si>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</si>
  <si>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</si>
  <si>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</si>
  <si>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</si>
  <si>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</si>
  <si>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</si>
  <si>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</si>
  <si>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</si>
  <si>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</si>
  <si>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</si>
  <si>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</si>
  <si>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</si>
  <si>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</si>
  <si>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</si>
  <si>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</si>
  <si>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</si>
  <si>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</si>
  <si>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</si>
  <si>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</si>
  <si>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</si>
  <si>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</si>
  <si>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</si>
  <si>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</si>
  <si>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</si>
  <si>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</si>
  <si>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</si>
  <si>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</si>
  <si>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</si>
  <si>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</si>
  <si>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</si>
  <si>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</si>
  <si>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</si>
  <si>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</si>
  <si>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</si>
  <si>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</si>
  <si>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</si>
  <si>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</si>
  <si>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</si>
  <si>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</si>
  <si>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</si>
  <si>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</si>
  <si>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</si>
  <si>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</si>
  <si>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</si>
  <si>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</si>
  <si>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</si>
  <si>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</si>
  <si>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</si>
  <si>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</si>
  <si>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</si>
  <si>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</si>
  <si>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</si>
  <si>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</si>
  <si>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</si>
  <si>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</si>
  <si>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</si>
  <si>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</si>
  <si>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</si>
  <si>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</si>
  <si>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</si>
  <si>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</si>
  <si>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</si>
  <si>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</si>
  <si>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</si>
  <si>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</si>
  <si>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</si>
  <si>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</si>
  <si>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</si>
  <si>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</si>
  <si>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</si>
  <si>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</si>
  <si>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</si>
  <si>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</si>
  <si>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</si>
  <si>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</si>
  <si>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</si>
  <si>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</si>
  <si>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</si>
  <si>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</si>
  <si>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</si>
  <si>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</si>
  <si>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</si>
  <si>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</si>
  <si>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</si>
  <si>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</si>
  <si>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</si>
  <si>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</si>
  <si>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</si>
  <si>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</si>
  <si>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</si>
  <si>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</si>
  <si>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</si>
  <si>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</si>
  <si>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</si>
  <si>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</si>
  <si>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</si>
  <si>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</si>
  <si>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</si>
  <si>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</si>
  <si>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</si>
  <si>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</si>
  <si>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</si>
  <si>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</si>
  <si>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</si>
  <si>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</si>
  <si>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</si>
  <si>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</si>
  <si>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</si>
  <si>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</si>
  <si>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</si>
  <si>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</si>
  <si>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</si>
  <si>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</si>
  <si>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</si>
  <si>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</si>
  <si>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</si>
  <si>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</si>
  <si>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</si>
  <si>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</si>
  <si>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</si>
  <si>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</si>
  <si>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</si>
  <si>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</si>
  <si>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</si>
  <si>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</si>
  <si>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</si>
  <si>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</si>
  <si>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</si>
  <si>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</si>
  <si>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</si>
  <si>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</si>
  <si>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</si>
  <si>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</si>
  <si>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</si>
  <si>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</si>
  <si>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</si>
  <si>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</si>
  <si>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</si>
  <si>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</si>
  <si>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</si>
  <si>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</si>
  <si>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</si>
  <si>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</si>
  <si>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</si>
  <si>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</si>
  <si>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</si>
  <si>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</si>
  <si>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</si>
  <si>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</si>
  <si>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</si>
  <si>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</si>
  <si>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</si>
  <si>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</si>
  <si>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</si>
  <si>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</si>
  <si>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</si>
  <si>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</si>
  <si>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</si>
  <si>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</si>
  <si>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</si>
  <si>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</si>
  <si>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</si>
  <si>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</si>
  <si>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</si>
  <si>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</si>
  <si>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</si>
  <si>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</si>
  <si>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</si>
  <si>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</si>
  <si>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</si>
  <si>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</si>
  <si>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</si>
  <si>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</si>
  <si>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</si>
  <si>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</si>
  <si>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</si>
  <si>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</si>
  <si>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</si>
  <si>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</si>
  <si>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</si>
  <si>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</si>
  <si>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</si>
  <si>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</si>
  <si>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</si>
  <si>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</si>
  <si>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</si>
  <si>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</si>
  <si>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</si>
  <si>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</si>
  <si>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</si>
  <si>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</si>
  <si>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</si>
  <si>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</si>
  <si>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</si>
  <si>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</si>
  <si>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</si>
  <si>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</si>
  <si>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</si>
  <si>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</si>
  <si>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</si>
  <si>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</si>
  <si>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</si>
  <si>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</si>
  <si>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</si>
  <si>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</si>
  <si>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</si>
  <si>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</si>
  <si>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</si>
  <si>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</si>
  <si>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</si>
  <si>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</si>
  <si>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</si>
  <si>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</si>
  <si>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</si>
  <si>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</si>
  <si>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</si>
  <si>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</si>
  <si>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</si>
  <si>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</si>
  <si>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</si>
  <si>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</si>
  <si>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</si>
  <si>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</si>
  <si>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</si>
  <si>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</si>
  <si>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</si>
  <si>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</si>
  <si>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</si>
  <si>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</si>
  <si>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</si>
  <si>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</si>
  <si>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</si>
  <si>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</si>
  <si>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</si>
  <si>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</si>
  <si>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</si>
  <si>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</si>
  <si>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</si>
  <si>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</si>
  <si>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</si>
  <si>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</si>
  <si>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</si>
  <si>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</si>
  <si>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</si>
  <si>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</si>
  <si>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</si>
  <si>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</si>
  <si>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</si>
  <si>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</si>
  <si>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</si>
  <si>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</si>
  <si>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</si>
  <si>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</si>
  <si>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</si>
  <si>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</si>
  <si>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</si>
  <si>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</si>
  <si>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</si>
  <si>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</si>
  <si>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</si>
  <si>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</si>
  <si>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</si>
  <si>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</si>
  <si>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</si>
  <si>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</si>
  <si>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</si>
  <si>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</si>
  <si>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</si>
  <si>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</si>
  <si>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</si>
  <si>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</si>
  <si>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</si>
  <si>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</si>
  <si>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</si>
  <si>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</si>
  <si>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</si>
  <si>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</si>
  <si>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</si>
  <si>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</si>
  <si>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</si>
  <si>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</si>
  <si>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</si>
  <si>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</si>
  <si>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</si>
  <si>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</si>
  <si>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</si>
  <si>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</si>
  <si>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</si>
  <si>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</si>
  <si>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</si>
  <si>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</si>
  <si>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</si>
  <si>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</si>
  <si>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</si>
  <si>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</si>
  <si>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</si>
  <si>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</si>
  <si>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</si>
  <si>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</si>
  <si>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</si>
  <si>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</si>
  <si>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</si>
  <si>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</si>
  <si>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</si>
  <si>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</si>
  <si>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</si>
  <si>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</si>
  <si>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</si>
  <si>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</si>
  <si>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</si>
  <si>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</si>
  <si>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</si>
  <si>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</si>
  <si>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</si>
  <si>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</si>
  <si>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</si>
  <si>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</si>
  <si>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</si>
  <si>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</si>
  <si>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</si>
  <si>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</si>
  <si>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</si>
  <si>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</si>
  <si>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</si>
  <si>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</si>
  <si>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</si>
  <si>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</si>
  <si>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</si>
  <si>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</si>
  <si>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</si>
  <si>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</si>
  <si>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</si>
  <si>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</si>
  <si>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</si>
  <si>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</si>
  <si>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</si>
  <si>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</si>
  <si>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</si>
  <si>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</si>
  <si>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</si>
  <si>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</si>
  <si>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</si>
  <si>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</si>
  <si>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</si>
  <si>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</si>
  <si>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</si>
  <si>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</si>
  <si>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</si>
  <si>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</si>
  <si>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</si>
  <si>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</si>
  <si>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</si>
  <si>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</si>
  <si>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</si>
  <si>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</si>
  <si>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</si>
  <si>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</si>
  <si>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</si>
  <si>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</si>
  <si>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</si>
  <si>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</si>
  <si>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</si>
  <si>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</si>
  <si>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</si>
  <si>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</si>
  <si>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</si>
  <si>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</si>
  <si>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</si>
  <si>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</si>
  <si>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</si>
  <si>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</si>
  <si>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</si>
  <si>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</si>
  <si>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</si>
  <si>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</si>
  <si>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</si>
  <si>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</si>
  <si>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</si>
  <si>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</si>
  <si>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</si>
  <si>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</si>
  <si>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</si>
  <si>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</si>
  <si>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</si>
  <si>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</si>
  <si>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</si>
  <si>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</si>
  <si>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</si>
  <si>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</si>
  <si>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</si>
  <si>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</si>
  <si>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</si>
  <si>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</si>
  <si>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</si>
  <si>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</si>
  <si>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</si>
  <si>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</si>
  <si>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</si>
  <si>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</si>
  <si>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</si>
  <si>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</si>
  <si>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</si>
  <si>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</si>
  <si>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</si>
  <si>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</si>
  <si>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</si>
  <si>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</si>
  <si>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</si>
  <si>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</si>
  <si>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</si>
  <si>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</si>
  <si>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</si>
  <si>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</si>
  <si>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</si>
  <si>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</si>
  <si>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</si>
  <si>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</si>
  <si>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</si>
  <si>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</si>
  <si>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</si>
  <si>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</si>
  <si>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</si>
  <si>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</si>
  <si>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</si>
  <si>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</si>
  <si>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</si>
  <si>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</si>
  <si>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</si>
  <si>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</si>
  <si>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</si>
  <si>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</si>
  <si>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</si>
  <si>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</si>
  <si>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</si>
  <si>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</si>
  <si>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</si>
  <si>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</si>
  <si>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</si>
  <si>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</si>
  <si>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</si>
  <si>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</si>
  <si>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</si>
  <si>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</si>
  <si>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</si>
  <si>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</si>
  <si>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</si>
  <si>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</si>
  <si>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</si>
  <si>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</si>
  <si>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</si>
  <si>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</si>
  <si>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</si>
  <si>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</si>
  <si>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</si>
  <si>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</si>
  <si>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</si>
  <si>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</si>
  <si>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</si>
  <si>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</si>
  <si>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</si>
  <si>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</si>
  <si>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</si>
  <si>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</si>
  <si>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</si>
  <si>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</si>
  <si>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</si>
  <si>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</si>
  <si>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</si>
  <si>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</si>
  <si>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</si>
  <si>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</si>
  <si>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</si>
  <si>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</si>
  <si>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</si>
  <si>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</si>
  <si>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</si>
  <si>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</si>
  <si>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</si>
  <si>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</si>
  <si>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</si>
  <si>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</si>
  <si>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</si>
  <si>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</si>
  <si>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</si>
  <si>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</si>
  <si>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</si>
  <si>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</si>
  <si>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</si>
  <si>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</si>
  <si>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</si>
  <si>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</si>
  <si>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</si>
  <si>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</si>
  <si>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</si>
  <si>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</si>
  <si>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</si>
  <si>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</si>
  <si>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</si>
  <si>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</si>
  <si>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</si>
  <si>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</si>
  <si>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</si>
  <si>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</si>
  <si>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</si>
  <si>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</si>
  <si>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</si>
  <si>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</si>
  <si>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</si>
  <si>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</si>
  <si>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</si>
  <si>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</si>
  <si>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</si>
  <si>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</si>
  <si>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</si>
  <si>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</si>
  <si>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</si>
  <si>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</si>
  <si>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</si>
  <si>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</si>
  <si>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</si>
  <si>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</si>
  <si>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</si>
  <si>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</si>
  <si>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</si>
  <si>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</si>
  <si>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</si>
  <si>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</si>
  <si>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</si>
  <si>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</si>
  <si>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</si>
  <si>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</si>
  <si>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</si>
  <si>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</si>
  <si>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</si>
  <si>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</si>
  <si>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</si>
  <si>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</si>
  <si>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</si>
  <si>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</si>
  <si>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</si>
  <si>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</si>
  <si>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</si>
  <si>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</si>
  <si>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</si>
  <si>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</si>
  <si>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</si>
  <si>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</si>
  <si>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</si>
  <si>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</si>
  <si>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</si>
  <si>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</si>
  <si>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</si>
  <si>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</si>
  <si>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</si>
  <si>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</si>
  <si>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</si>
  <si>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</si>
  <si>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</si>
  <si>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</si>
  <si>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</si>
  <si>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</si>
  <si>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</si>
  <si>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</si>
  <si>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</si>
  <si>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</si>
  <si>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</si>
  <si>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</si>
  <si>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</si>
  <si>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</si>
  <si>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</si>
  <si>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</si>
  <si>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</si>
  <si>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</si>
  <si>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</si>
  <si>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</si>
  <si>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</si>
  <si>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</si>
  <si>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</si>
  <si>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</si>
  <si>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</si>
  <si>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</si>
  <si>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</si>
  <si>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</si>
  <si>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</si>
  <si>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</si>
  <si>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</si>
  <si>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</si>
  <si>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</si>
  <si>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</si>
  <si>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</si>
  <si>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</si>
  <si>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</si>
  <si>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</si>
  <si>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</si>
  <si>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</si>
  <si>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</si>
  <si>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</si>
  <si>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</si>
  <si>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</si>
  <si>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</si>
  <si>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</si>
  <si>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</si>
  <si>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</si>
  <si>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</si>
  <si>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</si>
  <si>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</si>
  <si>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</si>
  <si>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</si>
  <si>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</si>
  <si>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</si>
  <si>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</si>
  <si>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</si>
  <si>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</si>
  <si>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</si>
  <si>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</si>
  <si>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</si>
  <si>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</si>
  <si>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</si>
  <si>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</si>
  <si>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</si>
  <si>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</si>
  <si>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</si>
  <si>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</si>
  <si>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</si>
  <si>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</si>
  <si>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</si>
  <si>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</si>
  <si>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</si>
  <si>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</si>
  <si>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</si>
  <si>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</si>
  <si>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</si>
  <si>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</si>
  <si>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</si>
  <si>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</si>
  <si>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</si>
  <si>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</si>
  <si>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</si>
  <si>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</si>
  <si>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</si>
  <si>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</si>
  <si>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</si>
  <si>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</si>
  <si>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</si>
  <si>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</si>
  <si>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</si>
  <si>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</si>
  <si>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</si>
  <si>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</si>
  <si>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</si>
  <si>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</si>
  <si>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</si>
  <si>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</si>
  <si>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</si>
  <si>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</si>
  <si>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</si>
  <si>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</si>
  <si>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</si>
  <si>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</si>
  <si>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</si>
  <si>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</si>
  <si>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</si>
  <si>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</si>
  <si>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</si>
  <si>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</si>
  <si>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</si>
  <si>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</si>
  <si>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</si>
  <si>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</si>
  <si>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</si>
  <si>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</si>
  <si>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</si>
  <si>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</si>
  <si>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</si>
  <si>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</si>
  <si>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</si>
  <si>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</si>
  <si>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</si>
  <si>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</si>
  <si>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</si>
  <si>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</si>
  <si>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</si>
  <si>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</si>
  <si>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</si>
  <si>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</si>
  <si>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</si>
  <si>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</si>
  <si>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</si>
  <si>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</si>
  <si>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</si>
  <si>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</si>
  <si>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</si>
  <si>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</si>
  <si>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</si>
  <si>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</si>
  <si>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</si>
  <si>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</si>
  <si>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</si>
  <si>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</si>
  <si>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</si>
  <si>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</si>
  <si>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</si>
  <si>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</si>
  <si>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</si>
  <si>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</si>
  <si>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</si>
  <si>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</si>
  <si>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</si>
  <si>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</si>
  <si>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</si>
  <si>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</si>
  <si>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</si>
  <si>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</si>
  <si>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</si>
  <si>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</si>
  <si>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</si>
  <si>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</si>
  <si>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</si>
  <si>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</si>
  <si>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</si>
  <si>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</si>
  <si>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</si>
  <si>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</si>
  <si>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</si>
  <si>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</si>
  <si>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</si>
  <si>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</si>
  <si>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</si>
  <si>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</si>
  <si>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</si>
  <si>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</si>
  <si>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</si>
  <si>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</si>
  <si>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</si>
  <si>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</si>
  <si>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</si>
  <si>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</si>
  <si>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</si>
  <si>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</si>
  <si>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</si>
  <si>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</si>
  <si>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</si>
  <si>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</si>
  <si>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</si>
  <si>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</si>
  <si>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</si>
  <si>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</si>
  <si>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</si>
  <si>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</si>
  <si>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</si>
  <si>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</si>
  <si>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</si>
  <si>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</si>
  <si>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</si>
  <si>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</si>
  <si>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</si>
  <si>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</si>
  <si>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</si>
  <si>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</si>
  <si>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</si>
  <si>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</si>
  <si>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</si>
  <si>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</si>
  <si>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</si>
  <si>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</si>
  <si>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</si>
  <si>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</si>
  <si>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</si>
  <si>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</si>
  <si>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</si>
  <si>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</si>
  <si>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</si>
  <si>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</si>
  <si>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</si>
  <si>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</si>
  <si>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</si>
  <si>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</si>
  <si>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</si>
  <si>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</si>
  <si>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</si>
  <si>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</si>
  <si>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</si>
  <si>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</si>
  <si>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</si>
  <si>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</si>
  <si>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</si>
  <si>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</si>
  <si>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</si>
  <si>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</si>
  <si>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</si>
  <si>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</si>
  <si>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</si>
  <si>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</si>
  <si>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</si>
  <si>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</si>
  <si>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</si>
  <si>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</si>
  <si>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</si>
  <si>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</si>
  <si>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</si>
  <si>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</si>
  <si>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</si>
  <si>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</si>
  <si>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</si>
  <si>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</si>
  <si>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</si>
  <si>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</si>
  <si>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</si>
  <si>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</si>
  <si>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</si>
  <si>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</si>
  <si>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</si>
  <si>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</si>
  <si>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</si>
  <si>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</si>
  <si>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</si>
  <si>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</si>
  <si>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</si>
  <si>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</si>
  <si>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</si>
  <si>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</si>
  <si>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</si>
  <si>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</si>
  <si>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</si>
  <si>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</si>
  <si>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</si>
  <si>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</si>
  <si>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</si>
  <si>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</si>
  <si>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</si>
  <si>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</si>
  <si>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</si>
  <si>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</si>
  <si>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</si>
  <si>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</si>
  <si>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</si>
  <si>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</si>
  <si>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</si>
  <si>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</si>
  <si>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</si>
  <si>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</si>
  <si>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23060</t>
  </si>
  <si>
    <t>OPWIJK</t>
  </si>
  <si>
    <t>Paarden&amp;pony's 200 - 600 kg</t>
  </si>
  <si>
    <t>Paarden&amp;pony's &lt; 200 kg</t>
  </si>
  <si>
    <t>Fluvius</t>
  </si>
  <si>
    <t>referentietaak LNE (2017); Jaarverslag De Lijn</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</si>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</sst>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9C701818-3363-40CC-81BE-2DB0202268F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120262.12004040919</c:v>
                </c:pt>
                <c:pt idx="1">
                  <c:v>18975.664991638885</c:v>
                </c:pt>
                <c:pt idx="2">
                  <c:v>975.47299999999996</c:v>
                </c:pt>
                <c:pt idx="3">
                  <c:v>7204.1838846756364</c:v>
                </c:pt>
                <c:pt idx="4">
                  <c:v>15119.574266454931</c:v>
                </c:pt>
                <c:pt idx="5">
                  <c:v>60772.838257936586</c:v>
                </c:pt>
                <c:pt idx="6">
                  <c:v>638.64599597255233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120262.12004040919</c:v>
                </c:pt>
                <c:pt idx="1">
                  <c:v>18975.664991638885</c:v>
                </c:pt>
                <c:pt idx="2">
                  <c:v>975.47299999999996</c:v>
                </c:pt>
                <c:pt idx="3">
                  <c:v>7204.1838846756364</c:v>
                </c:pt>
                <c:pt idx="4">
                  <c:v>15119.574266454931</c:v>
                </c:pt>
                <c:pt idx="5">
                  <c:v>60772.838257936586</c:v>
                </c:pt>
                <c:pt idx="6">
                  <c:v>638.64599597255233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25303.084700758445</c:v>
                </c:pt>
                <c:pt idx="2">
                  <c:v>3676.0206726962451</c:v>
                </c:pt>
                <c:pt idx="3">
                  <c:v>183.14529479859073</c:v>
                </c:pt>
                <c:pt idx="4">
                  <c:v>741.0666731159339</c:v>
                </c:pt>
                <c:pt idx="5">
                  <c:v>3049.6539064440954</c:v>
                </c:pt>
                <c:pt idx="6">
                  <c:v>15235.712788217343</c:v>
                </c:pt>
                <c:pt idx="7">
                  <c:v>161.03119629381789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25303.084700758445</c:v>
                </c:pt>
                <c:pt idx="2">
                  <c:v>3676.0206726962451</c:v>
                </c:pt>
                <c:pt idx="3">
                  <c:v>183.14529479859073</c:v>
                </c:pt>
                <c:pt idx="4">
                  <c:v>741.0666731159339</c:v>
                </c:pt>
                <c:pt idx="5">
                  <c:v>3049.6539064440954</c:v>
                </c:pt>
                <c:pt idx="6">
                  <c:v>15235.712788217343</c:v>
                </c:pt>
                <c:pt idx="7">
                  <c:v>161.03119629381789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23060</v>
      </c>
      <c r="B6" s="383"/>
      <c r="C6" s="384"/>
    </row>
    <row r="7" spans="1:7" s="381" customFormat="1" ht="15.75" customHeight="1">
      <c r="A7" s="385" t="str">
        <f>txtMunicipality</f>
        <v>OPWIJK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9289.6528699999999</v>
      </c>
      <c r="D10" s="983">
        <f ca="1">tertiair!C16</f>
        <v>0</v>
      </c>
      <c r="E10" s="983">
        <f ca="1">tertiair!D16</f>
        <v>8749.4997169850449</v>
      </c>
      <c r="F10" s="983">
        <f>tertiair!E16</f>
        <v>87.24776160812651</v>
      </c>
      <c r="G10" s="983">
        <f ca="1">tertiair!F16</f>
        <v>1227.8171532652195</v>
      </c>
      <c r="H10" s="983">
        <f>tertiair!G16</f>
        <v>0</v>
      </c>
      <c r="I10" s="983">
        <f>tertiair!H16</f>
        <v>0</v>
      </c>
      <c r="J10" s="983">
        <f>tertiair!I16</f>
        <v>0</v>
      </c>
      <c r="K10" s="983">
        <f>tertiair!J16</f>
        <v>0</v>
      </c>
      <c r="L10" s="983">
        <f>tertiair!K16</f>
        <v>0</v>
      </c>
      <c r="M10" s="983">
        <f ca="1">tertiair!L16</f>
        <v>0</v>
      </c>
      <c r="N10" s="983">
        <f>tertiair!M16</f>
        <v>0</v>
      </c>
      <c r="O10" s="983">
        <f ca="1">tertiair!N16</f>
        <v>576.29048978049514</v>
      </c>
      <c r="P10" s="983">
        <f>tertiair!O16</f>
        <v>1.5633333333333335</v>
      </c>
      <c r="Q10" s="984">
        <f>tertiair!P16</f>
        <v>19.066666666666666</v>
      </c>
      <c r="R10" s="667">
        <f ca="1">SUM(C10:Q10)</f>
        <v>19951.137991638883</v>
      </c>
      <c r="S10" s="67"/>
    </row>
    <row r="11" spans="1:19" s="440" customFormat="1">
      <c r="A11" s="776" t="s">
        <v>214</v>
      </c>
      <c r="B11" s="781"/>
      <c r="C11" s="983">
        <f>huishoudens!B8</f>
        <v>28092.385734760275</v>
      </c>
      <c r="D11" s="983">
        <f>huishoudens!C8</f>
        <v>0</v>
      </c>
      <c r="E11" s="983">
        <f>huishoudens!D8</f>
        <v>39301.076754565845</v>
      </c>
      <c r="F11" s="983">
        <f>huishoudens!E8</f>
        <v>1356.8250519363423</v>
      </c>
      <c r="G11" s="983">
        <f>huishoudens!F8</f>
        <v>42803.597358623185</v>
      </c>
      <c r="H11" s="983">
        <f>huishoudens!G8</f>
        <v>0</v>
      </c>
      <c r="I11" s="983">
        <f>huishoudens!H8</f>
        <v>0</v>
      </c>
      <c r="J11" s="983">
        <f>huishoudens!I8</f>
        <v>0</v>
      </c>
      <c r="K11" s="983">
        <f>huishoudens!J8</f>
        <v>998.17827343673935</v>
      </c>
      <c r="L11" s="983">
        <f>huishoudens!K8</f>
        <v>0</v>
      </c>
      <c r="M11" s="983">
        <f>huishoudens!L8</f>
        <v>0</v>
      </c>
      <c r="N11" s="983">
        <f>huishoudens!M8</f>
        <v>0</v>
      </c>
      <c r="O11" s="983">
        <f>huishoudens!N8</f>
        <v>6700.4135337534854</v>
      </c>
      <c r="P11" s="983">
        <f>huishoudens!O8</f>
        <v>151.64333333333335</v>
      </c>
      <c r="Q11" s="984">
        <f>huishoudens!P8</f>
        <v>858</v>
      </c>
      <c r="R11" s="667">
        <f>SUM(C11:Q11)</f>
        <v>120262.12004040919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6301.7762899999998</v>
      </c>
      <c r="D13" s="983">
        <f>industrie!C18</f>
        <v>0</v>
      </c>
      <c r="E13" s="983">
        <f>industrie!D18</f>
        <v>5103.0923424702805</v>
      </c>
      <c r="F13" s="983">
        <f>industrie!E18</f>
        <v>584.78768909695452</v>
      </c>
      <c r="G13" s="983">
        <f>industrie!F18</f>
        <v>2597.4956342140149</v>
      </c>
      <c r="H13" s="983">
        <f>industrie!G18</f>
        <v>0</v>
      </c>
      <c r="I13" s="983">
        <f>industrie!H18</f>
        <v>0</v>
      </c>
      <c r="J13" s="983">
        <f>industrie!I18</f>
        <v>0</v>
      </c>
      <c r="K13" s="983">
        <f>industrie!J18</f>
        <v>26.528448444818331</v>
      </c>
      <c r="L13" s="983">
        <f>industrie!K18</f>
        <v>0</v>
      </c>
      <c r="M13" s="983">
        <f>industrie!L18</f>
        <v>0</v>
      </c>
      <c r="N13" s="983">
        <f>industrie!M18</f>
        <v>0</v>
      </c>
      <c r="O13" s="983">
        <f>industrie!N18</f>
        <v>505.89386222886247</v>
      </c>
      <c r="P13" s="983">
        <f>industrie!O18</f>
        <v>0</v>
      </c>
      <c r="Q13" s="984">
        <f>industrie!P18</f>
        <v>0</v>
      </c>
      <c r="R13" s="667">
        <f>SUM(C13:Q13)</f>
        <v>15119.574266454931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43683.814894760275</v>
      </c>
      <c r="D16" s="699">
        <f t="shared" ref="D16:R16" ca="1" si="0">SUM(D9:D15)</f>
        <v>0</v>
      </c>
      <c r="E16" s="699">
        <f t="shared" ca="1" si="0"/>
        <v>53153.66881402117</v>
      </c>
      <c r="F16" s="699">
        <f t="shared" si="0"/>
        <v>2028.8605026414234</v>
      </c>
      <c r="G16" s="699">
        <f t="shared" ca="1" si="0"/>
        <v>46628.910146102418</v>
      </c>
      <c r="H16" s="699">
        <f t="shared" si="0"/>
        <v>0</v>
      </c>
      <c r="I16" s="699">
        <f t="shared" si="0"/>
        <v>0</v>
      </c>
      <c r="J16" s="699">
        <f t="shared" si="0"/>
        <v>0</v>
      </c>
      <c r="K16" s="699">
        <f t="shared" si="0"/>
        <v>1024.7067218815578</v>
      </c>
      <c r="L16" s="699">
        <f t="shared" si="0"/>
        <v>0</v>
      </c>
      <c r="M16" s="699">
        <f t="shared" ca="1" si="0"/>
        <v>0</v>
      </c>
      <c r="N16" s="699">
        <f t="shared" si="0"/>
        <v>0</v>
      </c>
      <c r="O16" s="699">
        <f t="shared" ca="1" si="0"/>
        <v>7782.5978857628434</v>
      </c>
      <c r="P16" s="699">
        <f t="shared" si="0"/>
        <v>153.20666666666668</v>
      </c>
      <c r="Q16" s="699">
        <f t="shared" si="0"/>
        <v>877.06666666666672</v>
      </c>
      <c r="R16" s="699">
        <f t="shared" ca="1" si="0"/>
        <v>155332.832298503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3.1711085128669372</v>
      </c>
      <c r="D19" s="983">
        <f>transport!C54</f>
        <v>0</v>
      </c>
      <c r="E19" s="983">
        <f>transport!D54</f>
        <v>0</v>
      </c>
      <c r="F19" s="983">
        <f>transport!E54</f>
        <v>0</v>
      </c>
      <c r="G19" s="983">
        <f>transport!F54</f>
        <v>0</v>
      </c>
      <c r="H19" s="983">
        <f>transport!G54</f>
        <v>600.88322057459902</v>
      </c>
      <c r="I19" s="983">
        <f>transport!H54</f>
        <v>0</v>
      </c>
      <c r="J19" s="983">
        <f>transport!I54</f>
        <v>0</v>
      </c>
      <c r="K19" s="983">
        <f>transport!J54</f>
        <v>0</v>
      </c>
      <c r="L19" s="983">
        <f>transport!K54</f>
        <v>0</v>
      </c>
      <c r="M19" s="983">
        <f>transport!L54</f>
        <v>0</v>
      </c>
      <c r="N19" s="983">
        <f>transport!M54</f>
        <v>34.59166688508639</v>
      </c>
      <c r="O19" s="983">
        <f>transport!N54</f>
        <v>0</v>
      </c>
      <c r="P19" s="983">
        <f>transport!O54</f>
        <v>0</v>
      </c>
      <c r="Q19" s="984">
        <f>transport!P54</f>
        <v>0</v>
      </c>
      <c r="R19" s="667">
        <f>SUM(C19:Q19)</f>
        <v>638.64599597255233</v>
      </c>
      <c r="S19" s="67"/>
    </row>
    <row r="20" spans="1:19" s="440" customFormat="1">
      <c r="A20" s="776" t="s">
        <v>296</v>
      </c>
      <c r="B20" s="781"/>
      <c r="C20" s="983">
        <f>transport!B14</f>
        <v>8.885479679673578</v>
      </c>
      <c r="D20" s="983">
        <f>transport!C14</f>
        <v>0</v>
      </c>
      <c r="E20" s="983">
        <f>transport!D14</f>
        <v>15.216405444040259</v>
      </c>
      <c r="F20" s="983">
        <f>transport!E14</f>
        <v>146.63695332203514</v>
      </c>
      <c r="G20" s="983">
        <f>transport!F14</f>
        <v>0</v>
      </c>
      <c r="H20" s="983">
        <f>transport!G14</f>
        <v>48798.823151201977</v>
      </c>
      <c r="I20" s="983">
        <f>transport!H14</f>
        <v>8708.4275243184275</v>
      </c>
      <c r="J20" s="983">
        <f>transport!I14</f>
        <v>0</v>
      </c>
      <c r="K20" s="983">
        <f>transport!J14</f>
        <v>0</v>
      </c>
      <c r="L20" s="983">
        <f>transport!K14</f>
        <v>0</v>
      </c>
      <c r="M20" s="983">
        <f>transport!L14</f>
        <v>0</v>
      </c>
      <c r="N20" s="983">
        <f>transport!M14</f>
        <v>3094.8487439704304</v>
      </c>
      <c r="O20" s="983">
        <f>transport!N14</f>
        <v>0</v>
      </c>
      <c r="P20" s="983">
        <f>transport!O14</f>
        <v>0</v>
      </c>
      <c r="Q20" s="984">
        <f>transport!P14</f>
        <v>0</v>
      </c>
      <c r="R20" s="667">
        <f>SUM(C20:Q20)</f>
        <v>60772.838257936586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12.056588192540515</v>
      </c>
      <c r="D22" s="779">
        <f t="shared" ref="D22:R22" si="1">SUM(D18:D21)</f>
        <v>0</v>
      </c>
      <c r="E22" s="779">
        <f t="shared" si="1"/>
        <v>15.216405444040259</v>
      </c>
      <c r="F22" s="779">
        <f t="shared" si="1"/>
        <v>146.63695332203514</v>
      </c>
      <c r="G22" s="779">
        <f t="shared" si="1"/>
        <v>0</v>
      </c>
      <c r="H22" s="779">
        <f t="shared" si="1"/>
        <v>49399.706371776578</v>
      </c>
      <c r="I22" s="779">
        <f t="shared" si="1"/>
        <v>8708.4275243184275</v>
      </c>
      <c r="J22" s="779">
        <f t="shared" si="1"/>
        <v>0</v>
      </c>
      <c r="K22" s="779">
        <f t="shared" si="1"/>
        <v>0</v>
      </c>
      <c r="L22" s="779">
        <f t="shared" si="1"/>
        <v>0</v>
      </c>
      <c r="M22" s="779">
        <f t="shared" si="1"/>
        <v>0</v>
      </c>
      <c r="N22" s="779">
        <f t="shared" si="1"/>
        <v>3129.4404108555168</v>
      </c>
      <c r="O22" s="779">
        <f t="shared" si="1"/>
        <v>0</v>
      </c>
      <c r="P22" s="779">
        <f t="shared" si="1"/>
        <v>0</v>
      </c>
      <c r="Q22" s="779">
        <f t="shared" si="1"/>
        <v>0</v>
      </c>
      <c r="R22" s="779">
        <f t="shared" si="1"/>
        <v>61411.484253909141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1106.8793999999998</v>
      </c>
      <c r="D24" s="983">
        <f>+landbouw!C8</f>
        <v>5867.4375</v>
      </c>
      <c r="E24" s="983">
        <f>+landbouw!D8</f>
        <v>49.917639238972228</v>
      </c>
      <c r="F24" s="983">
        <f>+landbouw!E8</f>
        <v>10.252380606508064</v>
      </c>
      <c r="G24" s="983">
        <f>+landbouw!F8</f>
        <v>0</v>
      </c>
      <c r="H24" s="983">
        <f>+landbouw!G8</f>
        <v>0</v>
      </c>
      <c r="I24" s="983">
        <f>+landbouw!H8</f>
        <v>0</v>
      </c>
      <c r="J24" s="983">
        <f>+landbouw!I8</f>
        <v>0</v>
      </c>
      <c r="K24" s="983">
        <f>+landbouw!J8</f>
        <v>169.69696483015687</v>
      </c>
      <c r="L24" s="983">
        <f>+landbouw!K8</f>
        <v>0</v>
      </c>
      <c r="M24" s="983">
        <f>+landbouw!L8</f>
        <v>0</v>
      </c>
      <c r="N24" s="983">
        <f>+landbouw!M8</f>
        <v>0</v>
      </c>
      <c r="O24" s="983">
        <f>+landbouw!N8</f>
        <v>0</v>
      </c>
      <c r="P24" s="983">
        <f>+landbouw!O8</f>
        <v>0</v>
      </c>
      <c r="Q24" s="984">
        <f>+landbouw!P8</f>
        <v>0</v>
      </c>
      <c r="R24" s="667">
        <f>SUM(C24:Q24)</f>
        <v>7204.1838846756364</v>
      </c>
      <c r="S24" s="67"/>
    </row>
    <row r="25" spans="1:19" s="440" customFormat="1" ht="15" thickBot="1">
      <c r="A25" s="798" t="s">
        <v>829</v>
      </c>
      <c r="B25" s="986"/>
      <c r="C25" s="987">
        <f>IF(Onbekend_ele_kWh="---",0,Onbekend_ele_kWh)/1000+IF(REST_rest_ele_kWh="---",0,REST_rest_ele_kWh)/1000</f>
        <v>1429.8050000000001</v>
      </c>
      <c r="D25" s="987"/>
      <c r="E25" s="987">
        <f>IF(onbekend_gas_kWh="---",0,onbekend_gas_kWh)/1000+IF(REST_rest_gas_kWh="---",0,REST_rest_gas_kWh)/1000</f>
        <v>905.30584211297401</v>
      </c>
      <c r="F25" s="987"/>
      <c r="G25" s="987"/>
      <c r="H25" s="987"/>
      <c r="I25" s="987"/>
      <c r="J25" s="987"/>
      <c r="K25" s="987"/>
      <c r="L25" s="987"/>
      <c r="M25" s="987"/>
      <c r="N25" s="987"/>
      <c r="O25" s="987"/>
      <c r="P25" s="987"/>
      <c r="Q25" s="988"/>
      <c r="R25" s="667">
        <f>SUM(C25:Q25)</f>
        <v>2335.1108421129738</v>
      </c>
      <c r="S25" s="67"/>
    </row>
    <row r="26" spans="1:19" s="440" customFormat="1" ht="15.75" thickBot="1">
      <c r="A26" s="672" t="s">
        <v>830</v>
      </c>
      <c r="B26" s="784"/>
      <c r="C26" s="779">
        <f>SUM(C24:C25)</f>
        <v>2536.6844000000001</v>
      </c>
      <c r="D26" s="779">
        <f t="shared" ref="D26:R26" si="2">SUM(D24:D25)</f>
        <v>5867.4375</v>
      </c>
      <c r="E26" s="779">
        <f t="shared" si="2"/>
        <v>955.22348135194625</v>
      </c>
      <c r="F26" s="779">
        <f t="shared" si="2"/>
        <v>10.252380606508064</v>
      </c>
      <c r="G26" s="779">
        <f t="shared" si="2"/>
        <v>0</v>
      </c>
      <c r="H26" s="779">
        <f t="shared" si="2"/>
        <v>0</v>
      </c>
      <c r="I26" s="779">
        <f t="shared" si="2"/>
        <v>0</v>
      </c>
      <c r="J26" s="779">
        <f t="shared" si="2"/>
        <v>0</v>
      </c>
      <c r="K26" s="779">
        <f t="shared" si="2"/>
        <v>169.69696483015687</v>
      </c>
      <c r="L26" s="779">
        <f t="shared" si="2"/>
        <v>0</v>
      </c>
      <c r="M26" s="779">
        <f t="shared" si="2"/>
        <v>0</v>
      </c>
      <c r="N26" s="779">
        <f t="shared" si="2"/>
        <v>0</v>
      </c>
      <c r="O26" s="779">
        <f t="shared" si="2"/>
        <v>0</v>
      </c>
      <c r="P26" s="779">
        <f t="shared" si="2"/>
        <v>0</v>
      </c>
      <c r="Q26" s="779">
        <f t="shared" si="2"/>
        <v>0</v>
      </c>
      <c r="R26" s="779">
        <f t="shared" si="2"/>
        <v>9539.2947267886102</v>
      </c>
      <c r="S26" s="67"/>
    </row>
    <row r="27" spans="1:19" s="440" customFormat="1" ht="17.25" thickTop="1" thickBot="1">
      <c r="A27" s="673" t="s">
        <v>109</v>
      </c>
      <c r="B27" s="772"/>
      <c r="C27" s="674">
        <f ca="1">C22+C16+C26</f>
        <v>46232.555882952816</v>
      </c>
      <c r="D27" s="674">
        <f t="shared" ref="D27:R27" ca="1" si="3">D22+D16+D26</f>
        <v>5867.4375</v>
      </c>
      <c r="E27" s="674">
        <f t="shared" ca="1" si="3"/>
        <v>54124.10870081716</v>
      </c>
      <c r="F27" s="674">
        <f t="shared" si="3"/>
        <v>2185.7498365699666</v>
      </c>
      <c r="G27" s="674">
        <f t="shared" ca="1" si="3"/>
        <v>46628.910146102418</v>
      </c>
      <c r="H27" s="674">
        <f t="shared" si="3"/>
        <v>49399.706371776578</v>
      </c>
      <c r="I27" s="674">
        <f t="shared" si="3"/>
        <v>8708.4275243184275</v>
      </c>
      <c r="J27" s="674">
        <f t="shared" si="3"/>
        <v>0</v>
      </c>
      <c r="K27" s="674">
        <f t="shared" si="3"/>
        <v>1194.4036867117147</v>
      </c>
      <c r="L27" s="674">
        <f t="shared" si="3"/>
        <v>0</v>
      </c>
      <c r="M27" s="674">
        <f t="shared" ca="1" si="3"/>
        <v>0</v>
      </c>
      <c r="N27" s="674">
        <f t="shared" si="3"/>
        <v>3129.4404108555168</v>
      </c>
      <c r="O27" s="674">
        <f t="shared" ca="1" si="3"/>
        <v>7782.5978857628434</v>
      </c>
      <c r="P27" s="674">
        <f t="shared" si="3"/>
        <v>153.20666666666668</v>
      </c>
      <c r="Q27" s="674">
        <f t="shared" si="3"/>
        <v>877.06666666666672</v>
      </c>
      <c r="R27" s="674">
        <f t="shared" ca="1" si="3"/>
        <v>226283.61127920076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1744.1346028569978</v>
      </c>
      <c r="D40" s="983">
        <f ca="1">tertiair!C20</f>
        <v>0</v>
      </c>
      <c r="E40" s="983">
        <f ca="1">tertiair!D20</f>
        <v>1767.3989428309792</v>
      </c>
      <c r="F40" s="983">
        <f>tertiair!E20</f>
        <v>19.805241885044719</v>
      </c>
      <c r="G40" s="983">
        <f ca="1">tertiair!F20</f>
        <v>327.82717992181364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3859.1659674948355</v>
      </c>
    </row>
    <row r="41" spans="1:18">
      <c r="A41" s="789" t="s">
        <v>214</v>
      </c>
      <c r="B41" s="796"/>
      <c r="C41" s="983">
        <f ca="1">huishoudens!B12</f>
        <v>5274.3523059975987</v>
      </c>
      <c r="D41" s="983">
        <f ca="1">huishoudens!C12</f>
        <v>0</v>
      </c>
      <c r="E41" s="983">
        <f>huishoudens!D12</f>
        <v>7938.8175044223017</v>
      </c>
      <c r="F41" s="983">
        <f>huishoudens!E12</f>
        <v>307.99928678954973</v>
      </c>
      <c r="G41" s="983">
        <f>huishoudens!F12</f>
        <v>11428.560494752392</v>
      </c>
      <c r="H41" s="983">
        <f>huishoudens!G12</f>
        <v>0</v>
      </c>
      <c r="I41" s="983">
        <f>huishoudens!H12</f>
        <v>0</v>
      </c>
      <c r="J41" s="983">
        <f>huishoudens!I12</f>
        <v>0</v>
      </c>
      <c r="K41" s="983">
        <f>huishoudens!J12</f>
        <v>353.35510879660569</v>
      </c>
      <c r="L41" s="983">
        <f>huishoudens!K12</f>
        <v>0</v>
      </c>
      <c r="M41" s="983">
        <f>huishoudens!L12</f>
        <v>0</v>
      </c>
      <c r="N41" s="983">
        <f>huishoudens!M12</f>
        <v>0</v>
      </c>
      <c r="O41" s="983">
        <f>huishoudens!N12</f>
        <v>0</v>
      </c>
      <c r="P41" s="983">
        <f>huishoudens!O12</f>
        <v>0</v>
      </c>
      <c r="Q41" s="741">
        <f>huishoudens!P12</f>
        <v>0</v>
      </c>
      <c r="R41" s="817">
        <f t="shared" ca="1" si="4"/>
        <v>25303.084700758445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1183.1600427554831</v>
      </c>
      <c r="D43" s="983">
        <f ca="1">industrie!C22</f>
        <v>0</v>
      </c>
      <c r="E43" s="983">
        <f>industrie!D22</f>
        <v>1030.8246531789966</v>
      </c>
      <c r="F43" s="983">
        <f>industrie!E22</f>
        <v>132.74680542500869</v>
      </c>
      <c r="G43" s="983">
        <f>industrie!F22</f>
        <v>693.53133433514199</v>
      </c>
      <c r="H43" s="983">
        <f>industrie!G22</f>
        <v>0</v>
      </c>
      <c r="I43" s="983">
        <f>industrie!H22</f>
        <v>0</v>
      </c>
      <c r="J43" s="983">
        <f>industrie!I22</f>
        <v>0</v>
      </c>
      <c r="K43" s="983">
        <f>industrie!J22</f>
        <v>9.3910707494656886</v>
      </c>
      <c r="L43" s="983">
        <f>industrie!K22</f>
        <v>0</v>
      </c>
      <c r="M43" s="983">
        <f>industrie!L22</f>
        <v>0</v>
      </c>
      <c r="N43" s="983">
        <f>industrie!M22</f>
        <v>0</v>
      </c>
      <c r="O43" s="983">
        <f>industrie!N22</f>
        <v>0</v>
      </c>
      <c r="P43" s="983">
        <f>industrie!O22</f>
        <v>0</v>
      </c>
      <c r="Q43" s="741">
        <f>industrie!P22</f>
        <v>0</v>
      </c>
      <c r="R43" s="816">
        <f t="shared" ca="1" si="4"/>
        <v>3049.6539064440954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8201.6469516100806</v>
      </c>
      <c r="D46" s="699">
        <f t="shared" ref="D46:Q46" ca="1" si="5">SUM(D39:D45)</f>
        <v>0</v>
      </c>
      <c r="E46" s="699">
        <f t="shared" ca="1" si="5"/>
        <v>10737.041100432278</v>
      </c>
      <c r="F46" s="699">
        <f t="shared" si="5"/>
        <v>460.55133409960314</v>
      </c>
      <c r="G46" s="699">
        <f t="shared" ca="1" si="5"/>
        <v>12449.919009009347</v>
      </c>
      <c r="H46" s="699">
        <f t="shared" si="5"/>
        <v>0</v>
      </c>
      <c r="I46" s="699">
        <f t="shared" si="5"/>
        <v>0</v>
      </c>
      <c r="J46" s="699">
        <f t="shared" si="5"/>
        <v>0</v>
      </c>
      <c r="K46" s="699">
        <f t="shared" si="5"/>
        <v>362.7461795460714</v>
      </c>
      <c r="L46" s="699">
        <f t="shared" si="5"/>
        <v>0</v>
      </c>
      <c r="M46" s="699">
        <f t="shared" ca="1" si="5"/>
        <v>0</v>
      </c>
      <c r="N46" s="699">
        <f t="shared" si="5"/>
        <v>0</v>
      </c>
      <c r="O46" s="699">
        <f t="shared" ca="1" si="5"/>
        <v>0</v>
      </c>
      <c r="P46" s="699">
        <f t="shared" si="5"/>
        <v>0</v>
      </c>
      <c r="Q46" s="699">
        <f t="shared" si="5"/>
        <v>0</v>
      </c>
      <c r="R46" s="699">
        <f ca="1">SUM(R39:R45)</f>
        <v>32211.904574697375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0.59537640039994533</v>
      </c>
      <c r="D49" s="983">
        <f ca="1">transport!C58</f>
        <v>0</v>
      </c>
      <c r="E49" s="983">
        <f>transport!D58</f>
        <v>0</v>
      </c>
      <c r="F49" s="983">
        <f>transport!E58</f>
        <v>0</v>
      </c>
      <c r="G49" s="983">
        <f>transport!F58</f>
        <v>0</v>
      </c>
      <c r="H49" s="983">
        <f>transport!G58</f>
        <v>160.43581989341794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161.03119629381789</v>
      </c>
    </row>
    <row r="50" spans="1:18">
      <c r="A50" s="792" t="s">
        <v>296</v>
      </c>
      <c r="B50" s="802"/>
      <c r="C50" s="670">
        <f ca="1">transport!B18</f>
        <v>1.6682509873268712</v>
      </c>
      <c r="D50" s="670">
        <f>transport!C18</f>
        <v>0</v>
      </c>
      <c r="E50" s="670">
        <f>transport!D18</f>
        <v>3.0737138996961324</v>
      </c>
      <c r="F50" s="670">
        <f>transport!E18</f>
        <v>33.286588404101977</v>
      </c>
      <c r="G50" s="670">
        <f>transport!F18</f>
        <v>0</v>
      </c>
      <c r="H50" s="670">
        <f>transport!G18</f>
        <v>13029.285781370929</v>
      </c>
      <c r="I50" s="670">
        <f>transport!H18</f>
        <v>2168.3984535552886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15235.712788217343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2.2636273877268165</v>
      </c>
      <c r="D52" s="699">
        <f t="shared" ref="D52:Q52" ca="1" si="6">SUM(D48:D51)</f>
        <v>0</v>
      </c>
      <c r="E52" s="699">
        <f t="shared" si="6"/>
        <v>3.0737138996961324</v>
      </c>
      <c r="F52" s="699">
        <f t="shared" si="6"/>
        <v>33.286588404101977</v>
      </c>
      <c r="G52" s="699">
        <f t="shared" si="6"/>
        <v>0</v>
      </c>
      <c r="H52" s="699">
        <f t="shared" si="6"/>
        <v>13189.721601264348</v>
      </c>
      <c r="I52" s="699">
        <f t="shared" si="6"/>
        <v>2168.3984535552886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15396.74398451116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207.81687860093226</v>
      </c>
      <c r="D54" s="670">
        <f ca="1">+landbouw!C12</f>
        <v>460.76641544117649</v>
      </c>
      <c r="E54" s="670">
        <f>+landbouw!D12</f>
        <v>10.08336312627239</v>
      </c>
      <c r="F54" s="670">
        <f>+landbouw!E12</f>
        <v>2.3272903976773307</v>
      </c>
      <c r="G54" s="670">
        <f>+landbouw!F12</f>
        <v>0</v>
      </c>
      <c r="H54" s="670">
        <f>+landbouw!G12</f>
        <v>0</v>
      </c>
      <c r="I54" s="670">
        <f>+landbouw!H12</f>
        <v>0</v>
      </c>
      <c r="J54" s="670">
        <f>+landbouw!I12</f>
        <v>0</v>
      </c>
      <c r="K54" s="670">
        <f>+landbouw!J12</f>
        <v>60.072725549875528</v>
      </c>
      <c r="L54" s="670">
        <f>+landbouw!K12</f>
        <v>0</v>
      </c>
      <c r="M54" s="670">
        <f>+landbouw!L12</f>
        <v>0</v>
      </c>
      <c r="N54" s="670">
        <f>+landbouw!M12</f>
        <v>0</v>
      </c>
      <c r="O54" s="670">
        <f>+landbouw!N12</f>
        <v>0</v>
      </c>
      <c r="P54" s="670">
        <f>+landbouw!O12</f>
        <v>0</v>
      </c>
      <c r="Q54" s="671">
        <f>+landbouw!P12</f>
        <v>0</v>
      </c>
      <c r="R54" s="698">
        <f ca="1">SUM(C54:Q54)</f>
        <v>741.0666731159339</v>
      </c>
    </row>
    <row r="55" spans="1:18" ht="15" thickBot="1">
      <c r="A55" s="792" t="s">
        <v>829</v>
      </c>
      <c r="B55" s="802"/>
      <c r="C55" s="670">
        <f ca="1">C25*'EF ele_warmte'!B12</f>
        <v>268.44623913680749</v>
      </c>
      <c r="D55" s="670"/>
      <c r="E55" s="670">
        <f>E25*EF_CO2_aardgas</f>
        <v>182.87178010682075</v>
      </c>
      <c r="F55" s="670"/>
      <c r="G55" s="670"/>
      <c r="H55" s="670"/>
      <c r="I55" s="670"/>
      <c r="J55" s="670"/>
      <c r="K55" s="670"/>
      <c r="L55" s="670"/>
      <c r="M55" s="670"/>
      <c r="N55" s="670"/>
      <c r="O55" s="670"/>
      <c r="P55" s="670"/>
      <c r="Q55" s="671"/>
      <c r="R55" s="698">
        <f ca="1">SUM(C55:Q55)</f>
        <v>451.31801924362821</v>
      </c>
    </row>
    <row r="56" spans="1:18" ht="15.75" thickBot="1">
      <c r="A56" s="790" t="s">
        <v>830</v>
      </c>
      <c r="B56" s="803"/>
      <c r="C56" s="699">
        <f ca="1">SUM(C54:C55)</f>
        <v>476.26311773773978</v>
      </c>
      <c r="D56" s="699">
        <f t="shared" ref="D56:Q56" ca="1" si="7">SUM(D54:D55)</f>
        <v>460.76641544117649</v>
      </c>
      <c r="E56" s="699">
        <f t="shared" si="7"/>
        <v>192.95514323309314</v>
      </c>
      <c r="F56" s="699">
        <f t="shared" si="7"/>
        <v>2.3272903976773307</v>
      </c>
      <c r="G56" s="699">
        <f t="shared" si="7"/>
        <v>0</v>
      </c>
      <c r="H56" s="699">
        <f t="shared" si="7"/>
        <v>0</v>
      </c>
      <c r="I56" s="699">
        <f t="shared" si="7"/>
        <v>0</v>
      </c>
      <c r="J56" s="699">
        <f t="shared" si="7"/>
        <v>0</v>
      </c>
      <c r="K56" s="699">
        <f t="shared" si="7"/>
        <v>60.072725549875528</v>
      </c>
      <c r="L56" s="699">
        <f t="shared" si="7"/>
        <v>0</v>
      </c>
      <c r="M56" s="699">
        <f t="shared" si="7"/>
        <v>0</v>
      </c>
      <c r="N56" s="699">
        <f t="shared" si="7"/>
        <v>0</v>
      </c>
      <c r="O56" s="699">
        <f t="shared" si="7"/>
        <v>0</v>
      </c>
      <c r="P56" s="699">
        <f t="shared" si="7"/>
        <v>0</v>
      </c>
      <c r="Q56" s="700">
        <f t="shared" si="7"/>
        <v>0</v>
      </c>
      <c r="R56" s="701">
        <f ca="1">SUM(R54:R55)</f>
        <v>1192.384692359562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8680.1736967355464</v>
      </c>
      <c r="D61" s="707">
        <f t="shared" ref="D61:Q61" ca="1" si="8">D46+D52+D56</f>
        <v>460.76641544117649</v>
      </c>
      <c r="E61" s="707">
        <f t="shared" ca="1" si="8"/>
        <v>10933.069957565067</v>
      </c>
      <c r="F61" s="707">
        <f t="shared" si="8"/>
        <v>496.16521290138246</v>
      </c>
      <c r="G61" s="707">
        <f t="shared" ca="1" si="8"/>
        <v>12449.919009009347</v>
      </c>
      <c r="H61" s="707">
        <f t="shared" si="8"/>
        <v>13189.721601264348</v>
      </c>
      <c r="I61" s="707">
        <f t="shared" si="8"/>
        <v>2168.3984535552886</v>
      </c>
      <c r="J61" s="707">
        <f t="shared" si="8"/>
        <v>0</v>
      </c>
      <c r="K61" s="707">
        <f t="shared" si="8"/>
        <v>422.81890509594695</v>
      </c>
      <c r="L61" s="707">
        <f t="shared" si="8"/>
        <v>0</v>
      </c>
      <c r="M61" s="707">
        <f t="shared" ca="1" si="8"/>
        <v>0</v>
      </c>
      <c r="N61" s="707">
        <f t="shared" si="8"/>
        <v>0</v>
      </c>
      <c r="O61" s="707">
        <f t="shared" ca="1" si="8"/>
        <v>0</v>
      </c>
      <c r="P61" s="707">
        <f t="shared" si="8"/>
        <v>0</v>
      </c>
      <c r="Q61" s="707">
        <f t="shared" si="8"/>
        <v>0</v>
      </c>
      <c r="R61" s="707">
        <f ca="1">R46+R52+R56</f>
        <v>48801.0332515681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0.18775024505915666</v>
      </c>
      <c r="D63" s="748">
        <f t="shared" ca="1" si="9"/>
        <v>7.8529411764705889E-2</v>
      </c>
      <c r="E63" s="994">
        <f t="shared" ca="1" si="9"/>
        <v>0.20200000000000001</v>
      </c>
      <c r="F63" s="748">
        <f t="shared" si="9"/>
        <v>0.22700000000000001</v>
      </c>
      <c r="G63" s="748">
        <f t="shared" ca="1" si="9"/>
        <v>0.26700000000000002</v>
      </c>
      <c r="H63" s="748">
        <f t="shared" si="9"/>
        <v>0.26700000000000002</v>
      </c>
      <c r="I63" s="748">
        <f t="shared" si="9"/>
        <v>0.24900000000000003</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3593.5104093024815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3911.6249999999995</v>
      </c>
      <c r="C76" s="717">
        <f>'lokale energieproductie'!B8*IFERROR(SUM(D76:H76)/SUM(D76:O76),0)</f>
        <v>1303.875</v>
      </c>
      <c r="D76" s="1004">
        <f>'lokale energieproductie'!C8</f>
        <v>0</v>
      </c>
      <c r="E76" s="1005">
        <f>'lokale energieproductie'!D8</f>
        <v>0</v>
      </c>
      <c r="F76" s="1005">
        <f>'lokale energieproductie'!E8</f>
        <v>1533.9705882352941</v>
      </c>
      <c r="G76" s="1005">
        <f>'lokale energieproductie'!F8</f>
        <v>0</v>
      </c>
      <c r="H76" s="1005">
        <f>'lokale energieproductie'!G8</f>
        <v>0</v>
      </c>
      <c r="I76" s="1005">
        <f>'lokale energieproductie'!I8</f>
        <v>4601.911764705882</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409.57014705882358</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7505.1354093024811</v>
      </c>
      <c r="C78" s="722">
        <f>SUM(C72:C77)</f>
        <v>1303.875</v>
      </c>
      <c r="D78" s="723">
        <f t="shared" ref="D78:H78" si="10">SUM(D76:D77)</f>
        <v>0</v>
      </c>
      <c r="E78" s="723">
        <f t="shared" si="10"/>
        <v>0</v>
      </c>
      <c r="F78" s="723">
        <f t="shared" si="10"/>
        <v>1533.9705882352941</v>
      </c>
      <c r="G78" s="723">
        <f t="shared" si="10"/>
        <v>0</v>
      </c>
      <c r="H78" s="723">
        <f t="shared" si="10"/>
        <v>0</v>
      </c>
      <c r="I78" s="723">
        <f>SUM(I76:I77)</f>
        <v>4601.911764705882</v>
      </c>
      <c r="J78" s="723">
        <f>SUM(J76:J77)</f>
        <v>0</v>
      </c>
      <c r="K78" s="723">
        <f t="shared" ref="K78:L78" si="11">SUM(K76:K77)</f>
        <v>0</v>
      </c>
      <c r="L78" s="723">
        <f t="shared" si="11"/>
        <v>0</v>
      </c>
      <c r="M78" s="723">
        <f>SUM(M76:M77)</f>
        <v>0</v>
      </c>
      <c r="N78" s="723">
        <f>SUM(N76:N77)</f>
        <v>0</v>
      </c>
      <c r="O78" s="827">
        <f>SUM(O76:O77)</f>
        <v>0</v>
      </c>
      <c r="P78" s="724">
        <v>0</v>
      </c>
      <c r="Q78" s="724">
        <f>SUM(Q76:Q77)</f>
        <v>409.57014705882358</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4400.5781250000009</v>
      </c>
      <c r="C87" s="733">
        <f>'lokale energieproductie'!B17*IFERROR(SUM(D87:H87)/SUM(D87:O87),0)</f>
        <v>1466.859375</v>
      </c>
      <c r="D87" s="744">
        <f>'lokale energieproductie'!C17</f>
        <v>0</v>
      </c>
      <c r="E87" s="744">
        <f>'lokale energieproductie'!D17</f>
        <v>0</v>
      </c>
      <c r="F87" s="744">
        <f>'lokale energieproductie'!E17</f>
        <v>1725.7169117647059</v>
      </c>
      <c r="G87" s="744">
        <f>'lokale energieproductie'!F17</f>
        <v>0</v>
      </c>
      <c r="H87" s="744">
        <f>'lokale energieproductie'!G17</f>
        <v>0</v>
      </c>
      <c r="I87" s="744">
        <f>'lokale energieproductie'!I17</f>
        <v>5177.150735294118</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460.76641544117649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4400.5781250000009</v>
      </c>
      <c r="C90" s="722">
        <f>SUM(C87:C89)</f>
        <v>1466.859375</v>
      </c>
      <c r="D90" s="722">
        <f t="shared" ref="D90:H90" si="12">SUM(D87:D89)</f>
        <v>0</v>
      </c>
      <c r="E90" s="722">
        <f t="shared" si="12"/>
        <v>0</v>
      </c>
      <c r="F90" s="722">
        <f t="shared" si="12"/>
        <v>1725.7169117647059</v>
      </c>
      <c r="G90" s="722">
        <f t="shared" si="12"/>
        <v>0</v>
      </c>
      <c r="H90" s="722">
        <f t="shared" si="12"/>
        <v>0</v>
      </c>
      <c r="I90" s="722">
        <f>SUM(I87:I89)</f>
        <v>5177.150735294118</v>
      </c>
      <c r="J90" s="722">
        <f>SUM(J87:J89)</f>
        <v>0</v>
      </c>
      <c r="K90" s="722">
        <f t="shared" ref="K90:L90" si="13">SUM(K87:K89)</f>
        <v>0</v>
      </c>
      <c r="L90" s="722">
        <f t="shared" si="13"/>
        <v>0</v>
      </c>
      <c r="M90" s="722">
        <f>SUM(M87:M89)</f>
        <v>0</v>
      </c>
      <c r="N90" s="722">
        <f>SUM(N87:N89)</f>
        <v>0</v>
      </c>
      <c r="O90" s="722">
        <f>SUM(O87:O89)</f>
        <v>0</v>
      </c>
      <c r="P90" s="722">
        <v>0</v>
      </c>
      <c r="Q90" s="722">
        <f>SUM(Q87:Q89)</f>
        <v>460.76641544117649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28092.385734760275</v>
      </c>
      <c r="C4" s="444">
        <f>huishoudens!C8</f>
        <v>0</v>
      </c>
      <c r="D4" s="444">
        <f>huishoudens!D8</f>
        <v>39301.076754565845</v>
      </c>
      <c r="E4" s="444">
        <f>huishoudens!E8</f>
        <v>1356.8250519363423</v>
      </c>
      <c r="F4" s="444">
        <f>huishoudens!F8</f>
        <v>42803.597358623185</v>
      </c>
      <c r="G4" s="444">
        <f>huishoudens!G8</f>
        <v>0</v>
      </c>
      <c r="H4" s="444">
        <f>huishoudens!H8</f>
        <v>0</v>
      </c>
      <c r="I4" s="444">
        <f>huishoudens!I8</f>
        <v>0</v>
      </c>
      <c r="J4" s="444">
        <f>huishoudens!J8</f>
        <v>998.17827343673935</v>
      </c>
      <c r="K4" s="444">
        <f>huishoudens!K8</f>
        <v>0</v>
      </c>
      <c r="L4" s="444">
        <f>huishoudens!L8</f>
        <v>0</v>
      </c>
      <c r="M4" s="444">
        <f>huishoudens!M8</f>
        <v>0</v>
      </c>
      <c r="N4" s="444">
        <f>huishoudens!N8</f>
        <v>6700.4135337534854</v>
      </c>
      <c r="O4" s="444">
        <f>huishoudens!O8</f>
        <v>151.64333333333335</v>
      </c>
      <c r="P4" s="445">
        <f>huishoudens!P8</f>
        <v>858</v>
      </c>
      <c r="Q4" s="446">
        <f>SUM(B4:P4)</f>
        <v>120262.12004040919</v>
      </c>
    </row>
    <row r="5" spans="1:17">
      <c r="A5" s="443" t="s">
        <v>149</v>
      </c>
      <c r="B5" s="444">
        <f ca="1">tertiair!B16</f>
        <v>8314.1798699999999</v>
      </c>
      <c r="C5" s="444">
        <f ca="1">tertiair!C16</f>
        <v>0</v>
      </c>
      <c r="D5" s="444">
        <f ca="1">tertiair!D16</f>
        <v>8749.4997169850449</v>
      </c>
      <c r="E5" s="444">
        <f>tertiair!E16</f>
        <v>87.24776160812651</v>
      </c>
      <c r="F5" s="444">
        <f ca="1">tertiair!F16</f>
        <v>1227.8171532652195</v>
      </c>
      <c r="G5" s="444">
        <f>tertiair!G16</f>
        <v>0</v>
      </c>
      <c r="H5" s="444">
        <f>tertiair!H16</f>
        <v>0</v>
      </c>
      <c r="I5" s="444">
        <f>tertiair!I16</f>
        <v>0</v>
      </c>
      <c r="J5" s="444">
        <f>tertiair!J16</f>
        <v>0</v>
      </c>
      <c r="K5" s="444">
        <f>tertiair!K16</f>
        <v>0</v>
      </c>
      <c r="L5" s="444">
        <f ca="1">tertiair!L16</f>
        <v>0</v>
      </c>
      <c r="M5" s="444">
        <f>tertiair!M16</f>
        <v>0</v>
      </c>
      <c r="N5" s="444">
        <f ca="1">tertiair!N16</f>
        <v>576.29048978049514</v>
      </c>
      <c r="O5" s="444">
        <f>tertiair!O16</f>
        <v>1.5633333333333335</v>
      </c>
      <c r="P5" s="445">
        <f>tertiair!P16</f>
        <v>19.066666666666666</v>
      </c>
      <c r="Q5" s="443">
        <f t="shared" ref="Q5:Q14" ca="1" si="0">SUM(B5:P5)</f>
        <v>18975.664991638885</v>
      </c>
    </row>
    <row r="6" spans="1:17">
      <c r="A6" s="443" t="s">
        <v>187</v>
      </c>
      <c r="B6" s="444">
        <f>'openbare verlichting'!B8</f>
        <v>975.47299999999996</v>
      </c>
      <c r="C6" s="444"/>
      <c r="D6" s="444"/>
      <c r="E6" s="444"/>
      <c r="F6" s="444"/>
      <c r="G6" s="444"/>
      <c r="H6" s="444"/>
      <c r="I6" s="444"/>
      <c r="J6" s="444"/>
      <c r="K6" s="444"/>
      <c r="L6" s="444"/>
      <c r="M6" s="444"/>
      <c r="N6" s="444"/>
      <c r="O6" s="444"/>
      <c r="P6" s="445"/>
      <c r="Q6" s="443">
        <f t="shared" si="0"/>
        <v>975.47299999999996</v>
      </c>
    </row>
    <row r="7" spans="1:17">
      <c r="A7" s="443" t="s">
        <v>105</v>
      </c>
      <c r="B7" s="444">
        <f>landbouw!B8</f>
        <v>1106.8793999999998</v>
      </c>
      <c r="C7" s="444">
        <f>landbouw!C8</f>
        <v>5867.4375</v>
      </c>
      <c r="D7" s="444">
        <f>landbouw!D8</f>
        <v>49.917639238972228</v>
      </c>
      <c r="E7" s="444">
        <f>landbouw!E8</f>
        <v>10.252380606508064</v>
      </c>
      <c r="F7" s="444">
        <f>landbouw!F8</f>
        <v>0</v>
      </c>
      <c r="G7" s="444">
        <f>landbouw!G8</f>
        <v>0</v>
      </c>
      <c r="H7" s="444">
        <f>landbouw!H8</f>
        <v>0</v>
      </c>
      <c r="I7" s="444">
        <f>landbouw!I8</f>
        <v>0</v>
      </c>
      <c r="J7" s="444">
        <f>landbouw!J8</f>
        <v>169.69696483015687</v>
      </c>
      <c r="K7" s="444">
        <f>landbouw!K8</f>
        <v>0</v>
      </c>
      <c r="L7" s="444">
        <f>landbouw!L8</f>
        <v>0</v>
      </c>
      <c r="M7" s="444">
        <f>landbouw!M8</f>
        <v>0</v>
      </c>
      <c r="N7" s="444">
        <f>landbouw!N8</f>
        <v>0</v>
      </c>
      <c r="O7" s="444">
        <f>landbouw!O8</f>
        <v>0</v>
      </c>
      <c r="P7" s="445">
        <f>landbouw!P8</f>
        <v>0</v>
      </c>
      <c r="Q7" s="443">
        <f t="shared" si="0"/>
        <v>7204.1838846756364</v>
      </c>
    </row>
    <row r="8" spans="1:17">
      <c r="A8" s="443" t="s">
        <v>637</v>
      </c>
      <c r="B8" s="444">
        <f>industrie!B18</f>
        <v>6301.7762899999998</v>
      </c>
      <c r="C8" s="444">
        <f>industrie!C18</f>
        <v>0</v>
      </c>
      <c r="D8" s="444">
        <f>industrie!D18</f>
        <v>5103.0923424702805</v>
      </c>
      <c r="E8" s="444">
        <f>industrie!E18</f>
        <v>584.78768909695452</v>
      </c>
      <c r="F8" s="444">
        <f>industrie!F18</f>
        <v>2597.4956342140149</v>
      </c>
      <c r="G8" s="444">
        <f>industrie!G18</f>
        <v>0</v>
      </c>
      <c r="H8" s="444">
        <f>industrie!H18</f>
        <v>0</v>
      </c>
      <c r="I8" s="444">
        <f>industrie!I18</f>
        <v>0</v>
      </c>
      <c r="J8" s="444">
        <f>industrie!J18</f>
        <v>26.528448444818331</v>
      </c>
      <c r="K8" s="444">
        <f>industrie!K18</f>
        <v>0</v>
      </c>
      <c r="L8" s="444">
        <f>industrie!L18</f>
        <v>0</v>
      </c>
      <c r="M8" s="444">
        <f>industrie!M18</f>
        <v>0</v>
      </c>
      <c r="N8" s="444">
        <f>industrie!N18</f>
        <v>505.89386222886247</v>
      </c>
      <c r="O8" s="444">
        <f>industrie!O18</f>
        <v>0</v>
      </c>
      <c r="P8" s="445">
        <f>industrie!P18</f>
        <v>0</v>
      </c>
      <c r="Q8" s="443">
        <f t="shared" si="0"/>
        <v>15119.574266454931</v>
      </c>
    </row>
    <row r="9" spans="1:17" s="449" customFormat="1">
      <c r="A9" s="447" t="s">
        <v>558</v>
      </c>
      <c r="B9" s="448">
        <f>transport!B14</f>
        <v>8.885479679673578</v>
      </c>
      <c r="C9" s="448">
        <f>transport!C14</f>
        <v>0</v>
      </c>
      <c r="D9" s="448">
        <f>transport!D14</f>
        <v>15.216405444040259</v>
      </c>
      <c r="E9" s="448">
        <f>transport!E14</f>
        <v>146.63695332203514</v>
      </c>
      <c r="F9" s="448">
        <f>transport!F14</f>
        <v>0</v>
      </c>
      <c r="G9" s="448">
        <f>transport!G14</f>
        <v>48798.823151201977</v>
      </c>
      <c r="H9" s="448">
        <f>transport!H14</f>
        <v>8708.4275243184275</v>
      </c>
      <c r="I9" s="448">
        <f>transport!I14</f>
        <v>0</v>
      </c>
      <c r="J9" s="448">
        <f>transport!J14</f>
        <v>0</v>
      </c>
      <c r="K9" s="448">
        <f>transport!K14</f>
        <v>0</v>
      </c>
      <c r="L9" s="448">
        <f>transport!L14</f>
        <v>0</v>
      </c>
      <c r="M9" s="448">
        <f>transport!M14</f>
        <v>3094.8487439704304</v>
      </c>
      <c r="N9" s="448">
        <f>transport!N14</f>
        <v>0</v>
      </c>
      <c r="O9" s="448">
        <f>transport!O14</f>
        <v>0</v>
      </c>
      <c r="P9" s="448">
        <f>transport!P14</f>
        <v>0</v>
      </c>
      <c r="Q9" s="447">
        <f>SUM(B9:P9)</f>
        <v>60772.838257936586</v>
      </c>
    </row>
    <row r="10" spans="1:17">
      <c r="A10" s="443" t="s">
        <v>548</v>
      </c>
      <c r="B10" s="444">
        <f>transport!B54</f>
        <v>3.1711085128669372</v>
      </c>
      <c r="C10" s="444">
        <f>transport!C54</f>
        <v>0</v>
      </c>
      <c r="D10" s="444">
        <f>transport!D54</f>
        <v>0</v>
      </c>
      <c r="E10" s="444">
        <f>transport!E54</f>
        <v>0</v>
      </c>
      <c r="F10" s="444">
        <f>transport!F54</f>
        <v>0</v>
      </c>
      <c r="G10" s="444">
        <f>transport!G54</f>
        <v>600.88322057459902</v>
      </c>
      <c r="H10" s="444">
        <f>transport!H54</f>
        <v>0</v>
      </c>
      <c r="I10" s="444">
        <f>transport!I54</f>
        <v>0</v>
      </c>
      <c r="J10" s="444">
        <f>transport!J54</f>
        <v>0</v>
      </c>
      <c r="K10" s="444">
        <f>transport!K54</f>
        <v>0</v>
      </c>
      <c r="L10" s="444">
        <f>transport!L54</f>
        <v>0</v>
      </c>
      <c r="M10" s="444">
        <f>transport!M54</f>
        <v>34.59166688508639</v>
      </c>
      <c r="N10" s="444">
        <f>transport!N54</f>
        <v>0</v>
      </c>
      <c r="O10" s="444">
        <f>transport!O54</f>
        <v>0</v>
      </c>
      <c r="P10" s="445">
        <f>transport!P54</f>
        <v>0</v>
      </c>
      <c r="Q10" s="443">
        <f t="shared" si="0"/>
        <v>638.64599597255233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1429.8050000000001</v>
      </c>
      <c r="C14" s="451"/>
      <c r="D14" s="451">
        <f>'SEAP template'!E25</f>
        <v>905.30584211297401</v>
      </c>
      <c r="E14" s="451"/>
      <c r="F14" s="451"/>
      <c r="G14" s="451"/>
      <c r="H14" s="451"/>
      <c r="I14" s="451"/>
      <c r="J14" s="451"/>
      <c r="K14" s="451"/>
      <c r="L14" s="451"/>
      <c r="M14" s="451"/>
      <c r="N14" s="451"/>
      <c r="O14" s="451"/>
      <c r="P14" s="452"/>
      <c r="Q14" s="443">
        <f t="shared" si="0"/>
        <v>2335.1108421129738</v>
      </c>
    </row>
    <row r="15" spans="1:17" s="453" customFormat="1">
      <c r="A15" s="1009" t="s">
        <v>552</v>
      </c>
      <c r="B15" s="949">
        <f ca="1">SUM(B4:B14)</f>
        <v>46232.555882952816</v>
      </c>
      <c r="C15" s="949">
        <f t="shared" ref="C15:Q15" ca="1" si="1">SUM(C4:C14)</f>
        <v>5867.4375</v>
      </c>
      <c r="D15" s="949">
        <f t="shared" ca="1" si="1"/>
        <v>54124.10870081716</v>
      </c>
      <c r="E15" s="949">
        <f t="shared" si="1"/>
        <v>2185.7498365699662</v>
      </c>
      <c r="F15" s="949">
        <f t="shared" ca="1" si="1"/>
        <v>46628.910146102418</v>
      </c>
      <c r="G15" s="949">
        <f t="shared" si="1"/>
        <v>49399.706371776578</v>
      </c>
      <c r="H15" s="949">
        <f t="shared" si="1"/>
        <v>8708.4275243184275</v>
      </c>
      <c r="I15" s="949">
        <f t="shared" si="1"/>
        <v>0</v>
      </c>
      <c r="J15" s="949">
        <f t="shared" si="1"/>
        <v>1194.4036867117147</v>
      </c>
      <c r="K15" s="949">
        <f t="shared" si="1"/>
        <v>0</v>
      </c>
      <c r="L15" s="949">
        <f t="shared" ca="1" si="1"/>
        <v>0</v>
      </c>
      <c r="M15" s="949">
        <f t="shared" si="1"/>
        <v>3129.4404108555168</v>
      </c>
      <c r="N15" s="949">
        <f t="shared" ca="1" si="1"/>
        <v>7782.5978857628434</v>
      </c>
      <c r="O15" s="949">
        <f t="shared" si="1"/>
        <v>153.20666666666668</v>
      </c>
      <c r="P15" s="949">
        <f t="shared" si="1"/>
        <v>877.06666666666672</v>
      </c>
      <c r="Q15" s="949">
        <f t="shared" ca="1" si="1"/>
        <v>226283.61127920076</v>
      </c>
    </row>
    <row r="17" spans="1:17">
      <c r="A17" s="454" t="s">
        <v>553</v>
      </c>
      <c r="B17" s="753">
        <f ca="1">huishoudens!B10</f>
        <v>0.18775024505915666</v>
      </c>
      <c r="C17" s="753">
        <f ca="1">huishoudens!C10</f>
        <v>7.8529411764705889E-2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5274.3523059975987</v>
      </c>
      <c r="C22" s="444">
        <f t="shared" ref="C22:C32" ca="1" si="3">C4*$C$17</f>
        <v>0</v>
      </c>
      <c r="D22" s="444">
        <f t="shared" ref="D22:D32" si="4">D4*$D$17</f>
        <v>7938.8175044223017</v>
      </c>
      <c r="E22" s="444">
        <f t="shared" ref="E22:E32" si="5">E4*$E$17</f>
        <v>307.99928678954973</v>
      </c>
      <c r="F22" s="444">
        <f t="shared" ref="F22:F32" si="6">F4*$F$17</f>
        <v>11428.560494752392</v>
      </c>
      <c r="G22" s="444">
        <f t="shared" ref="G22:G32" si="7">G4*$G$17</f>
        <v>0</v>
      </c>
      <c r="H22" s="444">
        <f t="shared" ref="H22:H32" si="8">H4*$H$17</f>
        <v>0</v>
      </c>
      <c r="I22" s="444">
        <f t="shared" ref="I22:I32" si="9">I4*$I$17</f>
        <v>0</v>
      </c>
      <c r="J22" s="444">
        <f t="shared" ref="J22:J32" si="10">J4*$J$17</f>
        <v>353.35510879660569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25303.084700758445</v>
      </c>
    </row>
    <row r="23" spans="1:17">
      <c r="A23" s="443" t="s">
        <v>149</v>
      </c>
      <c r="B23" s="444">
        <f t="shared" ca="1" si="2"/>
        <v>1560.9893080584072</v>
      </c>
      <c r="C23" s="444">
        <f t="shared" ca="1" si="3"/>
        <v>0</v>
      </c>
      <c r="D23" s="444">
        <f t="shared" ca="1" si="4"/>
        <v>1767.3989428309792</v>
      </c>
      <c r="E23" s="444">
        <f t="shared" si="5"/>
        <v>19.805241885044719</v>
      </c>
      <c r="F23" s="444">
        <f t="shared" ca="1" si="6"/>
        <v>327.82717992181364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3676.0206726962451</v>
      </c>
    </row>
    <row r="24" spans="1:17">
      <c r="A24" s="443" t="s">
        <v>187</v>
      </c>
      <c r="B24" s="444">
        <f t="shared" ca="1" si="2"/>
        <v>183.14529479859073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183.14529479859073</v>
      </c>
    </row>
    <row r="25" spans="1:17">
      <c r="A25" s="443" t="s">
        <v>105</v>
      </c>
      <c r="B25" s="444">
        <f t="shared" ca="1" si="2"/>
        <v>207.81687860093226</v>
      </c>
      <c r="C25" s="444">
        <f t="shared" ca="1" si="3"/>
        <v>460.76641544117649</v>
      </c>
      <c r="D25" s="444">
        <f t="shared" si="4"/>
        <v>10.08336312627239</v>
      </c>
      <c r="E25" s="444">
        <f t="shared" si="5"/>
        <v>2.3272903976773307</v>
      </c>
      <c r="F25" s="444">
        <f t="shared" si="6"/>
        <v>0</v>
      </c>
      <c r="G25" s="444">
        <f t="shared" si="7"/>
        <v>0</v>
      </c>
      <c r="H25" s="444">
        <f t="shared" si="8"/>
        <v>0</v>
      </c>
      <c r="I25" s="444">
        <f t="shared" si="9"/>
        <v>0</v>
      </c>
      <c r="J25" s="444">
        <f t="shared" si="10"/>
        <v>60.072725549875528</v>
      </c>
      <c r="K25" s="444">
        <f t="shared" si="11"/>
        <v>0</v>
      </c>
      <c r="L25" s="444">
        <f t="shared" si="12"/>
        <v>0</v>
      </c>
      <c r="M25" s="444">
        <f t="shared" si="13"/>
        <v>0</v>
      </c>
      <c r="N25" s="444">
        <f t="shared" si="14"/>
        <v>0</v>
      </c>
      <c r="O25" s="444">
        <f t="shared" si="15"/>
        <v>0</v>
      </c>
      <c r="P25" s="445">
        <f t="shared" si="16"/>
        <v>0</v>
      </c>
      <c r="Q25" s="443">
        <f t="shared" ca="1" si="17"/>
        <v>741.0666731159339</v>
      </c>
    </row>
    <row r="26" spans="1:17">
      <c r="A26" s="443" t="s">
        <v>637</v>
      </c>
      <c r="B26" s="444">
        <f t="shared" ca="1" si="2"/>
        <v>1183.1600427554831</v>
      </c>
      <c r="C26" s="444">
        <f t="shared" ca="1" si="3"/>
        <v>0</v>
      </c>
      <c r="D26" s="444">
        <f t="shared" si="4"/>
        <v>1030.8246531789966</v>
      </c>
      <c r="E26" s="444">
        <f t="shared" si="5"/>
        <v>132.74680542500869</v>
      </c>
      <c r="F26" s="444">
        <f t="shared" si="6"/>
        <v>693.53133433514199</v>
      </c>
      <c r="G26" s="444">
        <f t="shared" si="7"/>
        <v>0</v>
      </c>
      <c r="H26" s="444">
        <f t="shared" si="8"/>
        <v>0</v>
      </c>
      <c r="I26" s="444">
        <f t="shared" si="9"/>
        <v>0</v>
      </c>
      <c r="J26" s="444">
        <f t="shared" si="10"/>
        <v>9.3910707494656886</v>
      </c>
      <c r="K26" s="444">
        <f t="shared" si="11"/>
        <v>0</v>
      </c>
      <c r="L26" s="444">
        <f t="shared" si="12"/>
        <v>0</v>
      </c>
      <c r="M26" s="444">
        <f t="shared" si="13"/>
        <v>0</v>
      </c>
      <c r="N26" s="444">
        <f t="shared" si="14"/>
        <v>0</v>
      </c>
      <c r="O26" s="444">
        <f t="shared" si="15"/>
        <v>0</v>
      </c>
      <c r="P26" s="445">
        <f t="shared" si="16"/>
        <v>0</v>
      </c>
      <c r="Q26" s="443">
        <f t="shared" ca="1" si="17"/>
        <v>3049.6539064440954</v>
      </c>
    </row>
    <row r="27" spans="1:17" s="449" customFormat="1">
      <c r="A27" s="447" t="s">
        <v>558</v>
      </c>
      <c r="B27" s="747">
        <f t="shared" ca="1" si="2"/>
        <v>1.6682509873268712</v>
      </c>
      <c r="C27" s="448">
        <f t="shared" ca="1" si="3"/>
        <v>0</v>
      </c>
      <c r="D27" s="448">
        <f t="shared" si="4"/>
        <v>3.0737138996961324</v>
      </c>
      <c r="E27" s="448">
        <f t="shared" si="5"/>
        <v>33.286588404101977</v>
      </c>
      <c r="F27" s="448">
        <f t="shared" si="6"/>
        <v>0</v>
      </c>
      <c r="G27" s="448">
        <f t="shared" si="7"/>
        <v>13029.285781370929</v>
      </c>
      <c r="H27" s="448">
        <f t="shared" si="8"/>
        <v>2168.3984535552886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15235.712788217343</v>
      </c>
    </row>
    <row r="28" spans="1:17">
      <c r="A28" s="443" t="s">
        <v>548</v>
      </c>
      <c r="B28" s="444">
        <f t="shared" ca="1" si="2"/>
        <v>0.59537640039994533</v>
      </c>
      <c r="C28" s="444">
        <f t="shared" ca="1" si="3"/>
        <v>0</v>
      </c>
      <c r="D28" s="444">
        <f t="shared" si="4"/>
        <v>0</v>
      </c>
      <c r="E28" s="444">
        <f t="shared" si="5"/>
        <v>0</v>
      </c>
      <c r="F28" s="444">
        <f t="shared" si="6"/>
        <v>0</v>
      </c>
      <c r="G28" s="444">
        <f t="shared" si="7"/>
        <v>160.43581989341794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161.03119629381789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268.44623913680749</v>
      </c>
      <c r="C32" s="444">
        <f t="shared" ca="1" si="3"/>
        <v>0</v>
      </c>
      <c r="D32" s="444">
        <f t="shared" si="4"/>
        <v>182.87178010682075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451.31801924362821</v>
      </c>
    </row>
    <row r="33" spans="1:17" s="453" customFormat="1">
      <c r="A33" s="1009" t="s">
        <v>552</v>
      </c>
      <c r="B33" s="949">
        <f ca="1">SUM(B22:B32)</f>
        <v>8680.1736967355446</v>
      </c>
      <c r="C33" s="949">
        <f t="shared" ref="C33:Q33" ca="1" si="18">SUM(C22:C32)</f>
        <v>460.76641544117649</v>
      </c>
      <c r="D33" s="949">
        <f t="shared" ca="1" si="18"/>
        <v>10933.069957565067</v>
      </c>
      <c r="E33" s="949">
        <f t="shared" si="18"/>
        <v>496.16521290138246</v>
      </c>
      <c r="F33" s="949">
        <f t="shared" ca="1" si="18"/>
        <v>12449.919009009347</v>
      </c>
      <c r="G33" s="949">
        <f t="shared" si="18"/>
        <v>13189.721601264348</v>
      </c>
      <c r="H33" s="949">
        <f t="shared" si="18"/>
        <v>2168.3984535552886</v>
      </c>
      <c r="I33" s="949">
        <f t="shared" si="18"/>
        <v>0</v>
      </c>
      <c r="J33" s="949">
        <f t="shared" si="18"/>
        <v>422.81890509594695</v>
      </c>
      <c r="K33" s="949">
        <f t="shared" si="18"/>
        <v>0</v>
      </c>
      <c r="L33" s="949">
        <f t="shared" ca="1" si="18"/>
        <v>0</v>
      </c>
      <c r="M33" s="949">
        <f t="shared" si="18"/>
        <v>0</v>
      </c>
      <c r="N33" s="949">
        <f t="shared" ca="1" si="18"/>
        <v>0</v>
      </c>
      <c r="O33" s="949">
        <f t="shared" si="18"/>
        <v>0</v>
      </c>
      <c r="P33" s="949">
        <f t="shared" si="18"/>
        <v>0</v>
      </c>
      <c r="Q33" s="949">
        <f t="shared" ca="1" si="18"/>
        <v>48801.0332515681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3593.5104093024815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3911.6249999999995</v>
      </c>
      <c r="C8" s="1026">
        <f>'SEAP template'!C76</f>
        <v>1303.875</v>
      </c>
      <c r="D8" s="1026">
        <f>'SEAP template'!D76</f>
        <v>0</v>
      </c>
      <c r="E8" s="1026">
        <f>'SEAP template'!E76</f>
        <v>0</v>
      </c>
      <c r="F8" s="1026">
        <f>'SEAP template'!F76</f>
        <v>1533.9705882352941</v>
      </c>
      <c r="G8" s="1026">
        <f>'SEAP template'!G76</f>
        <v>0</v>
      </c>
      <c r="H8" s="1026">
        <f>'SEAP template'!H76</f>
        <v>0</v>
      </c>
      <c r="I8" s="1026">
        <f>'SEAP template'!I76</f>
        <v>4601.911764705882</v>
      </c>
      <c r="J8" s="1026">
        <f>'SEAP template'!J76</f>
        <v>0</v>
      </c>
      <c r="K8" s="1026">
        <f>'SEAP template'!K76</f>
        <v>0</v>
      </c>
      <c r="L8" s="1026">
        <f>'SEAP template'!L76</f>
        <v>0</v>
      </c>
      <c r="M8" s="1026">
        <f>'SEAP template'!M76</f>
        <v>0</v>
      </c>
      <c r="N8" s="1026">
        <f>'SEAP template'!N76</f>
        <v>0</v>
      </c>
      <c r="O8" s="1026">
        <f>'SEAP template'!O76</f>
        <v>0</v>
      </c>
      <c r="P8" s="1027">
        <f>'SEAP template'!Q76</f>
        <v>409.57014705882358</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7505.1354093024811</v>
      </c>
      <c r="C10" s="1030">
        <f>SUM(C4:C9)</f>
        <v>1303.875</v>
      </c>
      <c r="D10" s="1030">
        <f t="shared" ref="D10:H10" si="0">SUM(D8:D9)</f>
        <v>0</v>
      </c>
      <c r="E10" s="1030">
        <f t="shared" si="0"/>
        <v>0</v>
      </c>
      <c r="F10" s="1030">
        <f t="shared" si="0"/>
        <v>1533.9705882352941</v>
      </c>
      <c r="G10" s="1030">
        <f t="shared" si="0"/>
        <v>0</v>
      </c>
      <c r="H10" s="1030">
        <f t="shared" si="0"/>
        <v>0</v>
      </c>
      <c r="I10" s="1030">
        <f>SUM(I8:I9)</f>
        <v>4601.911764705882</v>
      </c>
      <c r="J10" s="1030">
        <f>SUM(J8:J9)</f>
        <v>0</v>
      </c>
      <c r="K10" s="1030">
        <f t="shared" ref="K10:L10" si="1">SUM(K8:K9)</f>
        <v>0</v>
      </c>
      <c r="L10" s="1030">
        <f t="shared" si="1"/>
        <v>0</v>
      </c>
      <c r="M10" s="1030">
        <f>SUM(M8:M9)</f>
        <v>0</v>
      </c>
      <c r="N10" s="1030">
        <f>SUM(N8:N9)</f>
        <v>0</v>
      </c>
      <c r="O10" s="1030">
        <f>SUM(O8:O9)</f>
        <v>0</v>
      </c>
      <c r="P10" s="1030">
        <f>SUM(P8:P9)</f>
        <v>409.57014705882358</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0.18775024505915666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4400.5781250000009</v>
      </c>
      <c r="C17" s="1032">
        <f>'SEAP template'!C87</f>
        <v>1466.859375</v>
      </c>
      <c r="D17" s="1027">
        <f>'SEAP template'!D87</f>
        <v>0</v>
      </c>
      <c r="E17" s="1027">
        <f>'SEAP template'!E87</f>
        <v>0</v>
      </c>
      <c r="F17" s="1027">
        <f>'SEAP template'!F87</f>
        <v>1725.7169117647059</v>
      </c>
      <c r="G17" s="1027">
        <f>'SEAP template'!G87</f>
        <v>0</v>
      </c>
      <c r="H17" s="1027">
        <f>'SEAP template'!H87</f>
        <v>0</v>
      </c>
      <c r="I17" s="1027">
        <f>'SEAP template'!I87</f>
        <v>5177.150735294118</v>
      </c>
      <c r="J17" s="1027">
        <f>'SEAP template'!J87</f>
        <v>0</v>
      </c>
      <c r="K17" s="1027">
        <f>'SEAP template'!K87</f>
        <v>0</v>
      </c>
      <c r="L17" s="1027">
        <f>'SEAP template'!L87</f>
        <v>0</v>
      </c>
      <c r="M17" s="1027">
        <f>'SEAP template'!M87</f>
        <v>0</v>
      </c>
      <c r="N17" s="1027">
        <f>'SEAP template'!N87</f>
        <v>0</v>
      </c>
      <c r="O17" s="1027">
        <f>'SEAP template'!O87</f>
        <v>0</v>
      </c>
      <c r="P17" s="1027">
        <f>'SEAP template'!Q87</f>
        <v>460.76641544117649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4400.5781250000009</v>
      </c>
      <c r="C20" s="1030">
        <f>SUM(C17:C19)</f>
        <v>1466.859375</v>
      </c>
      <c r="D20" s="1030">
        <f t="shared" ref="D20:H20" si="2">SUM(D17:D19)</f>
        <v>0</v>
      </c>
      <c r="E20" s="1030">
        <f t="shared" si="2"/>
        <v>0</v>
      </c>
      <c r="F20" s="1030">
        <f t="shared" si="2"/>
        <v>1725.7169117647059</v>
      </c>
      <c r="G20" s="1030">
        <f t="shared" si="2"/>
        <v>0</v>
      </c>
      <c r="H20" s="1030">
        <f t="shared" si="2"/>
        <v>0</v>
      </c>
      <c r="I20" s="1030">
        <f>SUM(I17:I19)</f>
        <v>5177.150735294118</v>
      </c>
      <c r="J20" s="1030">
        <f>SUM(J17:J19)</f>
        <v>0</v>
      </c>
      <c r="K20" s="1030">
        <f t="shared" ref="K20:L20" si="3">SUM(K17:K19)</f>
        <v>0</v>
      </c>
      <c r="L20" s="1030">
        <f t="shared" si="3"/>
        <v>0</v>
      </c>
      <c r="M20" s="1030">
        <f>SUM(M17:M19)</f>
        <v>0</v>
      </c>
      <c r="N20" s="1030">
        <f>SUM(N17:N19)</f>
        <v>0</v>
      </c>
      <c r="O20" s="1030">
        <f>SUM(O17:O19)</f>
        <v>0</v>
      </c>
      <c r="P20" s="1030">
        <f>SUM(P17:P19)</f>
        <v>460.76641544117649</v>
      </c>
    </row>
    <row r="22" spans="1:16">
      <c r="A22" s="454" t="s">
        <v>853</v>
      </c>
      <c r="B22" s="753" t="s">
        <v>847</v>
      </c>
      <c r="C22" s="753">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0.18775024505915666</v>
      </c>
      <c r="C17" s="491">
        <f ca="1">'EF ele_warmte'!B22</f>
        <v>7.8529411764705889E-2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0.18775024505915666</v>
      </c>
      <c r="C17" s="491">
        <f ca="1">'EF ele_warmte'!B22</f>
        <v>7.8529411764705889E-2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0.18775024505915666</v>
      </c>
      <c r="C29" s="492">
        <f ca="1">'EF ele_warmte'!B22</f>
        <v>7.8529411764705889E-2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5680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960</v>
      </c>
      <c r="C14" s="324"/>
      <c r="D14" s="324"/>
      <c r="E14" s="324"/>
      <c r="F14" s="324"/>
    </row>
    <row r="15" spans="1:6">
      <c r="A15" s="1302" t="s">
        <v>177</v>
      </c>
      <c r="B15" s="1303">
        <v>8</v>
      </c>
      <c r="C15" s="324"/>
      <c r="D15" s="324"/>
      <c r="E15" s="324"/>
      <c r="F15" s="324"/>
    </row>
    <row r="16" spans="1:6">
      <c r="A16" s="1302" t="s">
        <v>6</v>
      </c>
      <c r="B16" s="1303">
        <v>249</v>
      </c>
      <c r="C16" s="324"/>
      <c r="D16" s="324"/>
      <c r="E16" s="324"/>
      <c r="F16" s="324"/>
    </row>
    <row r="17" spans="1:6">
      <c r="A17" s="1302" t="s">
        <v>7</v>
      </c>
      <c r="B17" s="1303">
        <v>241</v>
      </c>
      <c r="C17" s="324"/>
      <c r="D17" s="324"/>
      <c r="E17" s="324"/>
      <c r="F17" s="324"/>
    </row>
    <row r="18" spans="1:6">
      <c r="A18" s="1302" t="s">
        <v>8</v>
      </c>
      <c r="B18" s="1303">
        <v>308</v>
      </c>
      <c r="C18" s="324"/>
      <c r="D18" s="324"/>
      <c r="E18" s="324"/>
      <c r="F18" s="324"/>
    </row>
    <row r="19" spans="1:6">
      <c r="A19" s="1302" t="s">
        <v>9</v>
      </c>
      <c r="B19" s="1303">
        <v>308</v>
      </c>
      <c r="C19" s="324"/>
      <c r="D19" s="324"/>
      <c r="E19" s="324"/>
      <c r="F19" s="324"/>
    </row>
    <row r="20" spans="1:6">
      <c r="A20" s="1302" t="s">
        <v>10</v>
      </c>
      <c r="B20" s="1303">
        <v>286</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309</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34</v>
      </c>
      <c r="C29" s="324"/>
      <c r="D29" s="324"/>
      <c r="E29" s="324"/>
      <c r="F29" s="324"/>
    </row>
    <row r="30" spans="1:6">
      <c r="A30" s="1297" t="s">
        <v>919</v>
      </c>
      <c r="B30" s="1305">
        <v>12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14733.98</v>
      </c>
    </row>
    <row r="39" spans="1:6">
      <c r="A39" s="1302" t="s">
        <v>29</v>
      </c>
      <c r="B39" s="1302" t="s">
        <v>30</v>
      </c>
      <c r="C39" s="1303">
        <v>3094</v>
      </c>
      <c r="D39" s="1303">
        <v>43571038.530560799</v>
      </c>
      <c r="E39" s="1303">
        <v>5680</v>
      </c>
      <c r="F39" s="1303">
        <v>25103145</v>
      </c>
    </row>
    <row r="40" spans="1:6">
      <c r="A40" s="1302" t="s">
        <v>29</v>
      </c>
      <c r="B40" s="1302" t="s">
        <v>28</v>
      </c>
      <c r="C40" s="1303">
        <v>0</v>
      </c>
      <c r="D40" s="1303">
        <v>0</v>
      </c>
      <c r="E40" s="1303">
        <v>0</v>
      </c>
      <c r="F40" s="1303">
        <v>0</v>
      </c>
    </row>
    <row r="41" spans="1:6">
      <c r="A41" s="1302" t="s">
        <v>31</v>
      </c>
      <c r="B41" s="1302" t="s">
        <v>32</v>
      </c>
      <c r="C41" s="1303">
        <v>34</v>
      </c>
      <c r="D41" s="1303">
        <v>642164.63394905196</v>
      </c>
      <c r="E41" s="1303">
        <v>112</v>
      </c>
      <c r="F41" s="1303">
        <v>1239202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135086.441671774</v>
      </c>
      <c r="E44" s="1303">
        <v>5</v>
      </c>
      <c r="F44" s="1303">
        <v>48273.3</v>
      </c>
    </row>
    <row r="45" spans="1:6">
      <c r="A45" s="1302" t="s">
        <v>31</v>
      </c>
      <c r="B45" s="1302" t="s">
        <v>36</v>
      </c>
      <c r="C45" s="1303">
        <v>0</v>
      </c>
      <c r="D45" s="1303">
        <v>0</v>
      </c>
      <c r="E45" s="1303">
        <v>3</v>
      </c>
      <c r="F45" s="1303">
        <v>17310.39</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14</v>
      </c>
      <c r="D48" s="1303">
        <v>4880279.2375391303</v>
      </c>
      <c r="E48" s="1303">
        <v>27</v>
      </c>
      <c r="F48" s="1303">
        <v>4716376</v>
      </c>
    </row>
    <row r="49" spans="1:6">
      <c r="A49" s="1302" t="s">
        <v>31</v>
      </c>
      <c r="B49" s="1302" t="s">
        <v>39</v>
      </c>
      <c r="C49" s="1303">
        <v>0</v>
      </c>
      <c r="D49" s="1303">
        <v>0</v>
      </c>
      <c r="E49" s="1303">
        <v>0</v>
      </c>
      <c r="F49" s="1303">
        <v>0</v>
      </c>
    </row>
    <row r="50" spans="1:6">
      <c r="A50" s="1302" t="s">
        <v>31</v>
      </c>
      <c r="B50" s="1302" t="s">
        <v>40</v>
      </c>
      <c r="C50" s="1303">
        <v>0</v>
      </c>
      <c r="D50" s="1303">
        <v>0</v>
      </c>
      <c r="E50" s="1303">
        <v>8</v>
      </c>
      <c r="F50" s="1303">
        <v>280614.59999999998</v>
      </c>
    </row>
    <row r="51" spans="1:6">
      <c r="A51" s="1302" t="s">
        <v>41</v>
      </c>
      <c r="B51" s="1302" t="s">
        <v>42</v>
      </c>
      <c r="C51" s="1303">
        <v>4</v>
      </c>
      <c r="D51" s="1303">
        <v>47427.516870422303</v>
      </c>
      <c r="E51" s="1303">
        <v>50</v>
      </c>
      <c r="F51" s="1303">
        <v>950955.7</v>
      </c>
    </row>
    <row r="52" spans="1:6">
      <c r="A52" s="1302" t="s">
        <v>41</v>
      </c>
      <c r="B52" s="1302" t="s">
        <v>28</v>
      </c>
      <c r="C52" s="1303">
        <v>1</v>
      </c>
      <c r="D52" s="1303">
        <v>7913.5465874183001</v>
      </c>
      <c r="E52" s="1303">
        <v>4</v>
      </c>
      <c r="F52" s="1303">
        <v>155923.70000000001</v>
      </c>
    </row>
    <row r="53" spans="1:6">
      <c r="A53" s="1302" t="s">
        <v>43</v>
      </c>
      <c r="B53" s="1302" t="s">
        <v>44</v>
      </c>
      <c r="C53" s="1303">
        <v>61</v>
      </c>
      <c r="D53" s="1303">
        <v>905305.84211297403</v>
      </c>
      <c r="E53" s="1303">
        <v>217</v>
      </c>
      <c r="F53" s="1303">
        <v>1429805</v>
      </c>
    </row>
    <row r="54" spans="1:6">
      <c r="A54" s="1302" t="s">
        <v>45</v>
      </c>
      <c r="B54" s="1302" t="s">
        <v>46</v>
      </c>
      <c r="C54" s="1303">
        <v>0</v>
      </c>
      <c r="D54" s="1303">
        <v>0</v>
      </c>
      <c r="E54" s="1303">
        <v>1</v>
      </c>
      <c r="F54" s="1303">
        <v>975473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24</v>
      </c>
      <c r="D57" s="1303">
        <v>553244.62089256104</v>
      </c>
      <c r="E57" s="1303">
        <v>48</v>
      </c>
      <c r="F57" s="1303">
        <v>522010.3</v>
      </c>
    </row>
    <row r="58" spans="1:6">
      <c r="A58" s="1302" t="s">
        <v>48</v>
      </c>
      <c r="B58" s="1302" t="s">
        <v>50</v>
      </c>
      <c r="C58" s="1303">
        <v>8</v>
      </c>
      <c r="D58" s="1303">
        <v>147732.452667985</v>
      </c>
      <c r="E58" s="1303">
        <v>13</v>
      </c>
      <c r="F58" s="1303">
        <v>94777.27</v>
      </c>
    </row>
    <row r="59" spans="1:6">
      <c r="A59" s="1302" t="s">
        <v>48</v>
      </c>
      <c r="B59" s="1302" t="s">
        <v>51</v>
      </c>
      <c r="C59" s="1303">
        <v>33</v>
      </c>
      <c r="D59" s="1303">
        <v>1038980.91621858</v>
      </c>
      <c r="E59" s="1303">
        <v>134</v>
      </c>
      <c r="F59" s="1303">
        <v>3164220</v>
      </c>
    </row>
    <row r="60" spans="1:6">
      <c r="A60" s="1302" t="s">
        <v>48</v>
      </c>
      <c r="B60" s="1302" t="s">
        <v>52</v>
      </c>
      <c r="C60" s="1303">
        <v>25</v>
      </c>
      <c r="D60" s="1303">
        <v>921139.65795123903</v>
      </c>
      <c r="E60" s="1303">
        <v>34</v>
      </c>
      <c r="F60" s="1303">
        <v>689665.9</v>
      </c>
    </row>
    <row r="61" spans="1:6">
      <c r="A61" s="1302" t="s">
        <v>48</v>
      </c>
      <c r="B61" s="1302" t="s">
        <v>53</v>
      </c>
      <c r="C61" s="1303">
        <v>83</v>
      </c>
      <c r="D61" s="1303">
        <v>3705750.1826478401</v>
      </c>
      <c r="E61" s="1303">
        <v>188</v>
      </c>
      <c r="F61" s="1303">
        <v>1631967</v>
      </c>
    </row>
    <row r="62" spans="1:6">
      <c r="A62" s="1302" t="s">
        <v>48</v>
      </c>
      <c r="B62" s="1302" t="s">
        <v>54</v>
      </c>
      <c r="C62" s="1303">
        <v>3</v>
      </c>
      <c r="D62" s="1303">
        <v>622565.50146060705</v>
      </c>
      <c r="E62" s="1303">
        <v>6</v>
      </c>
      <c r="F62" s="1303">
        <v>272597.40000000002</v>
      </c>
    </row>
    <row r="63" spans="1:6">
      <c r="A63" s="1302" t="s">
        <v>48</v>
      </c>
      <c r="B63" s="1302" t="s">
        <v>28</v>
      </c>
      <c r="C63" s="1303">
        <v>74</v>
      </c>
      <c r="D63" s="1303">
        <v>2710697.2191423899</v>
      </c>
      <c r="E63" s="1303">
        <v>89</v>
      </c>
      <c r="F63" s="1303">
        <v>1938942</v>
      </c>
    </row>
    <row r="64" spans="1:6">
      <c r="A64" s="1302" t="s">
        <v>55</v>
      </c>
      <c r="B64" s="1302" t="s">
        <v>56</v>
      </c>
      <c r="C64" s="1303">
        <v>0</v>
      </c>
      <c r="D64" s="1303">
        <v>0</v>
      </c>
      <c r="E64" s="1303">
        <v>0</v>
      </c>
      <c r="F64" s="1303">
        <v>0</v>
      </c>
    </row>
    <row r="65" spans="1:6">
      <c r="A65" s="1302" t="s">
        <v>55</v>
      </c>
      <c r="B65" s="1302" t="s">
        <v>28</v>
      </c>
      <c r="C65" s="1303">
        <v>3</v>
      </c>
      <c r="D65" s="1303">
        <v>67887.912581339697</v>
      </c>
      <c r="E65" s="1303">
        <v>3</v>
      </c>
      <c r="F65" s="1303">
        <v>20562.22</v>
      </c>
    </row>
    <row r="66" spans="1:6">
      <c r="A66" s="1302" t="s">
        <v>55</v>
      </c>
      <c r="B66" s="1302" t="s">
        <v>57</v>
      </c>
      <c r="C66" s="1303">
        <v>0</v>
      </c>
      <c r="D66" s="1303">
        <v>0</v>
      </c>
      <c r="E66" s="1303">
        <v>4</v>
      </c>
      <c r="F66" s="1303">
        <v>39227.14</v>
      </c>
    </row>
    <row r="67" spans="1:6">
      <c r="A67" s="1302" t="s">
        <v>55</v>
      </c>
      <c r="B67" s="1302" t="s">
        <v>58</v>
      </c>
      <c r="C67" s="1303">
        <v>0</v>
      </c>
      <c r="D67" s="1303">
        <v>0</v>
      </c>
      <c r="E67" s="1303">
        <v>0</v>
      </c>
      <c r="F67" s="1303">
        <v>0</v>
      </c>
    </row>
    <row r="68" spans="1:6">
      <c r="A68" s="1297" t="s">
        <v>55</v>
      </c>
      <c r="B68" s="1297" t="s">
        <v>59</v>
      </c>
      <c r="C68" s="1305">
        <v>0</v>
      </c>
      <c r="D68" s="1305">
        <v>0</v>
      </c>
      <c r="E68" s="1305">
        <v>11</v>
      </c>
      <c r="F68" s="1305">
        <v>34996.449999999997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41240110</v>
      </c>
      <c r="E73" s="442"/>
      <c r="F73" s="324"/>
    </row>
    <row r="74" spans="1:6">
      <c r="A74" s="1302" t="s">
        <v>63</v>
      </c>
      <c r="B74" s="1302" t="s">
        <v>695</v>
      </c>
      <c r="C74" s="1315" t="s">
        <v>697</v>
      </c>
      <c r="D74" s="1303">
        <v>4260368.2830354292</v>
      </c>
      <c r="E74" s="442"/>
      <c r="F74" s="324"/>
    </row>
    <row r="75" spans="1:6">
      <c r="A75" s="1302" t="s">
        <v>64</v>
      </c>
      <c r="B75" s="1302" t="s">
        <v>694</v>
      </c>
      <c r="C75" s="1315" t="s">
        <v>698</v>
      </c>
      <c r="D75" s="1303">
        <v>20997244</v>
      </c>
      <c r="E75" s="442"/>
      <c r="F75" s="324"/>
    </row>
    <row r="76" spans="1:6">
      <c r="A76" s="1302" t="s">
        <v>64</v>
      </c>
      <c r="B76" s="1302" t="s">
        <v>695</v>
      </c>
      <c r="C76" s="1315" t="s">
        <v>699</v>
      </c>
      <c r="D76" s="1303">
        <v>1580229.2830354294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171529.4339291412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2989.2407347602766</v>
      </c>
      <c r="C91" s="324"/>
      <c r="D91" s="324"/>
      <c r="E91" s="324"/>
      <c r="F91" s="324"/>
    </row>
    <row r="92" spans="1:6">
      <c r="A92" s="1297" t="s">
        <v>68</v>
      </c>
      <c r="B92" s="1298">
        <v>604.26967454220483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991</v>
      </c>
      <c r="C97" s="324"/>
      <c r="D97" s="324"/>
      <c r="E97" s="324"/>
      <c r="F97" s="324"/>
    </row>
    <row r="98" spans="1:6">
      <c r="A98" s="1302" t="s">
        <v>71</v>
      </c>
      <c r="B98" s="1303">
        <v>4</v>
      </c>
      <c r="C98" s="324"/>
      <c r="D98" s="324"/>
      <c r="E98" s="324"/>
      <c r="F98" s="324"/>
    </row>
    <row r="99" spans="1:6">
      <c r="A99" s="1302" t="s">
        <v>72</v>
      </c>
      <c r="B99" s="1303">
        <v>32</v>
      </c>
      <c r="C99" s="324"/>
      <c r="D99" s="324"/>
      <c r="E99" s="324"/>
      <c r="F99" s="324"/>
    </row>
    <row r="100" spans="1:6">
      <c r="A100" s="1302" t="s">
        <v>73</v>
      </c>
      <c r="B100" s="1303">
        <v>641</v>
      </c>
      <c r="C100" s="324"/>
      <c r="D100" s="324"/>
      <c r="E100" s="324"/>
      <c r="F100" s="324"/>
    </row>
    <row r="101" spans="1:6">
      <c r="A101" s="1302" t="s">
        <v>74</v>
      </c>
      <c r="B101" s="1303">
        <v>54</v>
      </c>
      <c r="C101" s="324"/>
      <c r="D101" s="324"/>
      <c r="E101" s="324"/>
      <c r="F101" s="324"/>
    </row>
    <row r="102" spans="1:6">
      <c r="A102" s="1302" t="s">
        <v>75</v>
      </c>
      <c r="B102" s="1303">
        <v>59</v>
      </c>
      <c r="C102" s="324"/>
      <c r="D102" s="324"/>
      <c r="E102" s="324"/>
      <c r="F102" s="324"/>
    </row>
    <row r="103" spans="1:6">
      <c r="A103" s="1302" t="s">
        <v>76</v>
      </c>
      <c r="B103" s="1303">
        <v>73</v>
      </c>
      <c r="C103" s="324"/>
      <c r="D103" s="324"/>
      <c r="E103" s="324"/>
      <c r="F103" s="324"/>
    </row>
    <row r="104" spans="1:6">
      <c r="A104" s="1302" t="s">
        <v>77</v>
      </c>
      <c r="B104" s="1303">
        <v>2565</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17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80</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24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46232.555882952816</v>
      </c>
      <c r="C3" s="43" t="s">
        <v>163</v>
      </c>
      <c r="D3" s="43"/>
      <c r="E3" s="154"/>
      <c r="F3" s="43"/>
      <c r="G3" s="43"/>
      <c r="H3" s="43"/>
      <c r="I3" s="43"/>
      <c r="J3" s="43"/>
      <c r="K3" s="96"/>
    </row>
    <row r="4" spans="1:11">
      <c r="A4" s="351" t="s">
        <v>164</v>
      </c>
      <c r="B4" s="49">
        <f>IF(ISERROR('SEAP template'!B78+'SEAP template'!C78),0,'SEAP template'!B78+'SEAP template'!C78)</f>
        <v>8809.010409302482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409.57014705882358</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0.18775024505915666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460.76641544117649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5867.4375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7.8529411764705889E-2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975.47299999999996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975.47299999999996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0.18775024505915666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183.14529479859073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25103.145</v>
      </c>
      <c r="C5" s="17">
        <f>IF(ISERROR('Eigen informatie GS &amp; warmtenet'!B57),0,'Eigen informatie GS &amp; warmtenet'!B57)</f>
        <v>0</v>
      </c>
      <c r="D5" s="30">
        <f>(SUM(HH_hh_gas_kWh,HH_rest_gas_kWh)/1000)*0.902</f>
        <v>39301.076754565845</v>
      </c>
      <c r="E5" s="17">
        <f>B32*B41</f>
        <v>1356.8250519363423</v>
      </c>
      <c r="F5" s="17">
        <f>B36*B45</f>
        <v>42803.597358623185</v>
      </c>
      <c r="G5" s="18"/>
      <c r="H5" s="17"/>
      <c r="I5" s="17"/>
      <c r="J5" s="17">
        <f>B35*B44+C35*C44</f>
        <v>998.17827343673935</v>
      </c>
      <c r="K5" s="17"/>
      <c r="L5" s="17"/>
      <c r="M5" s="17"/>
      <c r="N5" s="17">
        <f>B34*B43+C34*C43</f>
        <v>6700.4135337534854</v>
      </c>
      <c r="O5" s="17">
        <f>B52*B53*B54</f>
        <v>151.64333333333335</v>
      </c>
      <c r="P5" s="17">
        <f>B60*B61*B62/1000-B60*B61*B62/1000/B63</f>
        <v>858</v>
      </c>
    </row>
    <row r="6" spans="1:16">
      <c r="A6" s="16" t="s">
        <v>618</v>
      </c>
      <c r="B6" s="755">
        <f>kWh_PV_kleiner_dan_10kW</f>
        <v>2989.2407347602766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28092.385734760275</v>
      </c>
      <c r="C8" s="21">
        <f>C5</f>
        <v>0</v>
      </c>
      <c r="D8" s="21">
        <f>D5</f>
        <v>39301.076754565845</v>
      </c>
      <c r="E8" s="21">
        <f>E5</f>
        <v>1356.8250519363423</v>
      </c>
      <c r="F8" s="21">
        <f>F5</f>
        <v>42803.597358623185</v>
      </c>
      <c r="G8" s="21"/>
      <c r="H8" s="21"/>
      <c r="I8" s="21"/>
      <c r="J8" s="21">
        <f>J5</f>
        <v>998.17827343673935</v>
      </c>
      <c r="K8" s="21"/>
      <c r="L8" s="21">
        <f>L5</f>
        <v>0</v>
      </c>
      <c r="M8" s="21">
        <f>M5</f>
        <v>0</v>
      </c>
      <c r="N8" s="21">
        <f>N5</f>
        <v>6700.4135337534854</v>
      </c>
      <c r="O8" s="21">
        <f>O5</f>
        <v>151.64333333333335</v>
      </c>
      <c r="P8" s="21">
        <f>P5</f>
        <v>858</v>
      </c>
    </row>
    <row r="9" spans="1:16">
      <c r="B9" s="19"/>
      <c r="C9" s="19"/>
      <c r="D9" s="254"/>
      <c r="E9" s="19"/>
      <c r="F9" s="19"/>
      <c r="G9" s="19"/>
      <c r="H9" s="19"/>
      <c r="I9" s="19"/>
      <c r="J9" s="19"/>
      <c r="K9" s="19"/>
      <c r="L9" s="19"/>
      <c r="M9" s="19"/>
      <c r="N9" s="19"/>
      <c r="O9" s="19"/>
      <c r="P9" s="19"/>
    </row>
    <row r="10" spans="1:16">
      <c r="A10" s="24" t="s">
        <v>207</v>
      </c>
      <c r="B10" s="25">
        <f ca="1">'EF ele_warmte'!B12</f>
        <v>0.18775024505915666</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5274.3523059975987</v>
      </c>
      <c r="C12" s="23">
        <f ca="1">C10*C8</f>
        <v>0</v>
      </c>
      <c r="D12" s="23">
        <f>D8*D10</f>
        <v>7938.8175044223017</v>
      </c>
      <c r="E12" s="23">
        <f>E10*E8</f>
        <v>307.99928678954973</v>
      </c>
      <c r="F12" s="23">
        <f>F10*F8</f>
        <v>11428.560494752392</v>
      </c>
      <c r="G12" s="23"/>
      <c r="H12" s="23"/>
      <c r="I12" s="23"/>
      <c r="J12" s="23">
        <f>J10*J8</f>
        <v>353.35510879660569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5680</v>
      </c>
      <c r="C26" s="36"/>
      <c r="D26" s="225"/>
    </row>
    <row r="27" spans="1:5" s="15" customFormat="1">
      <c r="A27" s="227" t="s">
        <v>721</v>
      </c>
      <c r="B27" s="37">
        <f>SUM(HH_hh_gas_aantal,HH_rest_gas_aantal)</f>
        <v>3094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2939.3</v>
      </c>
      <c r="C31" s="34" t="s">
        <v>104</v>
      </c>
      <c r="D31" s="171"/>
    </row>
    <row r="32" spans="1:5">
      <c r="A32" s="168" t="s">
        <v>72</v>
      </c>
      <c r="B32" s="33">
        <f>IF((B21*($B$26-($B$27-0.05*$B$27)-$B$60))&lt;0,0,B21*($B$26-($B$27-0.05*$B$27)-$B$60))</f>
        <v>16.996982765999395</v>
      </c>
      <c r="C32" s="34" t="s">
        <v>104</v>
      </c>
      <c r="D32" s="171"/>
    </row>
    <row r="33" spans="1:6">
      <c r="A33" s="168" t="s">
        <v>73</v>
      </c>
      <c r="B33" s="33">
        <f>IF((B22*($B$26-($B$27-0.05*$B$27)-$B$60))&lt;0,0,B22*($B$26-($B$27-0.05*$B$27)-$B$60))</f>
        <v>591.89668509786213</v>
      </c>
      <c r="C33" s="34" t="s">
        <v>104</v>
      </c>
      <c r="D33" s="171"/>
    </row>
    <row r="34" spans="1:6">
      <c r="A34" s="168" t="s">
        <v>74</v>
      </c>
      <c r="B34" s="33">
        <f>IF((B24*($B$26-($B$27-0.05*$B$27)-$B$60))&lt;0,0,B24*($B$26-($B$27-0.05*$B$27)-$B$60))</f>
        <v>117.48887348497925</v>
      </c>
      <c r="C34" s="33">
        <f>B26*C24</f>
        <v>1162.1261961711541</v>
      </c>
      <c r="D34" s="230"/>
    </row>
    <row r="35" spans="1:6">
      <c r="A35" s="168" t="s">
        <v>76</v>
      </c>
      <c r="B35" s="33">
        <f>IF((B19*($B$26-($B$27-0.05*$B$27)-$B$60))&lt;0,0,B19*($B$26-($B$27-0.05*$B$27)-$B$60))</f>
        <v>57.39999624011989</v>
      </c>
      <c r="C35" s="33">
        <f>B35/2</f>
        <v>28.699998120059945</v>
      </c>
      <c r="D35" s="230"/>
    </row>
    <row r="36" spans="1:6">
      <c r="A36" s="168" t="s">
        <v>77</v>
      </c>
      <c r="B36" s="33">
        <f>IF((B18*($B$26-($B$27-0.05*$B$27)-$B$60))&lt;0,0,B18*($B$26-($B$27-0.05*$B$27)-$B$60))</f>
        <v>1911.9174624110401</v>
      </c>
      <c r="C36" s="34" t="s">
        <v>104</v>
      </c>
      <c r="D36" s="171"/>
    </row>
    <row r="37" spans="1:6">
      <c r="A37" s="168" t="s">
        <v>78</v>
      </c>
      <c r="B37" s="33">
        <f>B60</f>
        <v>45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8314.1798699999999</v>
      </c>
      <c r="C5" s="17">
        <f>IF(ISERROR('Eigen informatie GS &amp; warmtenet'!B58),0,'Eigen informatie GS &amp; warmtenet'!B58)</f>
        <v>0</v>
      </c>
      <c r="D5" s="30">
        <f>SUM(D6:D12)</f>
        <v>8749.4997169850449</v>
      </c>
      <c r="E5" s="17">
        <f>SUM(E6:E12)</f>
        <v>87.24776160812651</v>
      </c>
      <c r="F5" s="17">
        <f>SUM(F6:F12)</f>
        <v>1227.8171532652195</v>
      </c>
      <c r="G5" s="18"/>
      <c r="H5" s="17"/>
      <c r="I5" s="17"/>
      <c r="J5" s="17">
        <f>SUM(J6:J12)</f>
        <v>0</v>
      </c>
      <c r="K5" s="17"/>
      <c r="L5" s="17"/>
      <c r="M5" s="17"/>
      <c r="N5" s="17">
        <f>SUM(N6:N12)</f>
        <v>576.29048978049514</v>
      </c>
      <c r="O5" s="17">
        <f>B38*B39*B40</f>
        <v>1.5633333333333335</v>
      </c>
      <c r="P5" s="17">
        <f>B46*B47*B48/1000-B46*B47*B48/1000/B49</f>
        <v>19.066666666666666</v>
      </c>
      <c r="R5" s="32"/>
    </row>
    <row r="6" spans="1:18">
      <c r="A6" s="32" t="s">
        <v>53</v>
      </c>
      <c r="B6" s="37">
        <f>B26</f>
        <v>1631.9670000000001</v>
      </c>
      <c r="C6" s="33"/>
      <c r="D6" s="37">
        <f>IF(ISERROR(TER_kantoor_gas_kWh/1000),0,TER_kantoor_gas_kWh/1000)*0.902</f>
        <v>3342.5866647483517</v>
      </c>
      <c r="E6" s="33">
        <f>$C$26*'E Balans VL '!I12/100/3.6*1000000</f>
        <v>4.7280478425102181</v>
      </c>
      <c r="F6" s="33">
        <f>$C$26*('E Balans VL '!L12+'E Balans VL '!N12)/100/3.6*1000000</f>
        <v>184.70270937931298</v>
      </c>
      <c r="G6" s="34"/>
      <c r="H6" s="33"/>
      <c r="I6" s="33"/>
      <c r="J6" s="33">
        <f>$C$26*('E Balans VL '!D12+'E Balans VL '!E12)/100/3.6*1000000</f>
        <v>0</v>
      </c>
      <c r="K6" s="33"/>
      <c r="L6" s="33"/>
      <c r="M6" s="33"/>
      <c r="N6" s="33">
        <f>$C$26*'E Balans VL '!Y12/100/3.6*1000000</f>
        <v>16.33478718302484</v>
      </c>
      <c r="O6" s="33"/>
      <c r="P6" s="33"/>
      <c r="R6" s="32"/>
    </row>
    <row r="7" spans="1:18">
      <c r="A7" s="32" t="s">
        <v>52</v>
      </c>
      <c r="B7" s="37">
        <f t="shared" ref="B7:B12" si="0">B27</f>
        <v>689.66590000000008</v>
      </c>
      <c r="C7" s="33"/>
      <c r="D7" s="37">
        <f>IF(ISERROR(TER_horeca_gas_kWh/1000),0,TER_horeca_gas_kWh/1000)*0.902</f>
        <v>830.86797147201764</v>
      </c>
      <c r="E7" s="33">
        <f>$C$27*'E Balans VL '!I9/100/3.6*1000000</f>
        <v>28.950247593558103</v>
      </c>
      <c r="F7" s="33">
        <f>$C$27*('E Balans VL '!L9+'E Balans VL '!N9)/100/3.6*1000000</f>
        <v>148.18886154630249</v>
      </c>
      <c r="G7" s="34"/>
      <c r="H7" s="33"/>
      <c r="I7" s="33"/>
      <c r="J7" s="33">
        <f>$C$27*('E Balans VL '!D9+'E Balans VL '!E9)/100/3.6*1000000</f>
        <v>0</v>
      </c>
      <c r="K7" s="33"/>
      <c r="L7" s="33"/>
      <c r="M7" s="33"/>
      <c r="N7" s="33">
        <f>$C$27*'E Balans VL '!Y9/100/3.6*1000000</f>
        <v>0.17772087108290344</v>
      </c>
      <c r="O7" s="33"/>
      <c r="P7" s="33"/>
      <c r="R7" s="32"/>
    </row>
    <row r="8" spans="1:18">
      <c r="A8" s="6" t="s">
        <v>51</v>
      </c>
      <c r="B8" s="37">
        <f t="shared" si="0"/>
        <v>3164.22</v>
      </c>
      <c r="C8" s="33"/>
      <c r="D8" s="37">
        <f>IF(ISERROR(TER_handel_gas_kWh/1000),0,TER_handel_gas_kWh/1000)*0.902</f>
        <v>937.1607864291592</v>
      </c>
      <c r="E8" s="33">
        <f>$C$28*'E Balans VL '!I13/100/3.6*1000000</f>
        <v>33.986356305444417</v>
      </c>
      <c r="F8" s="33">
        <f>$C$28*('E Balans VL '!L13+'E Balans VL '!N13)/100/3.6*1000000</f>
        <v>409.63440859010382</v>
      </c>
      <c r="G8" s="34"/>
      <c r="H8" s="33"/>
      <c r="I8" s="33"/>
      <c r="J8" s="33">
        <f>$C$28*('E Balans VL '!D13+'E Balans VL '!E13)/100/3.6*1000000</f>
        <v>0</v>
      </c>
      <c r="K8" s="33"/>
      <c r="L8" s="33"/>
      <c r="M8" s="33"/>
      <c r="N8" s="33">
        <f>$C$28*'E Balans VL '!Y13/100/3.6*1000000</f>
        <v>25.668325413924126</v>
      </c>
      <c r="O8" s="33"/>
      <c r="P8" s="33"/>
      <c r="R8" s="32"/>
    </row>
    <row r="9" spans="1:18">
      <c r="A9" s="32" t="s">
        <v>50</v>
      </c>
      <c r="B9" s="37">
        <f t="shared" si="0"/>
        <v>94.777270000000001</v>
      </c>
      <c r="C9" s="33"/>
      <c r="D9" s="37">
        <f>IF(ISERROR(TER_gezond_gas_kWh/1000),0,TER_gezond_gas_kWh/1000)*0.902</f>
        <v>133.25467230652248</v>
      </c>
      <c r="E9" s="33">
        <f>$C$29*'E Balans VL '!I10/100/3.6*1000000</f>
        <v>7.5448836949595241E-2</v>
      </c>
      <c r="F9" s="33">
        <f>$C$29*('E Balans VL '!L10+'E Balans VL '!N10)/100/3.6*1000000</f>
        <v>11.521546823416873</v>
      </c>
      <c r="G9" s="34"/>
      <c r="H9" s="33"/>
      <c r="I9" s="33"/>
      <c r="J9" s="33">
        <f>$C$29*('E Balans VL '!D10+'E Balans VL '!E10)/100/3.6*1000000</f>
        <v>0</v>
      </c>
      <c r="K9" s="33"/>
      <c r="L9" s="33"/>
      <c r="M9" s="33"/>
      <c r="N9" s="33">
        <f>$C$29*'E Balans VL '!Y10/100/3.6*1000000</f>
        <v>0.76558567747210649</v>
      </c>
      <c r="O9" s="33"/>
      <c r="P9" s="33"/>
      <c r="R9" s="32"/>
    </row>
    <row r="10" spans="1:18">
      <c r="A10" s="32" t="s">
        <v>49</v>
      </c>
      <c r="B10" s="37">
        <f t="shared" si="0"/>
        <v>522.01030000000003</v>
      </c>
      <c r="C10" s="33"/>
      <c r="D10" s="37">
        <f>IF(ISERROR(TER_ander_gas_kWh/1000),0,TER_ander_gas_kWh/1000)*0.902</f>
        <v>499.02664804509004</v>
      </c>
      <c r="E10" s="33">
        <f>$C$30*'E Balans VL '!I14/100/3.6*1000000</f>
        <v>1.7889567210059309</v>
      </c>
      <c r="F10" s="33">
        <f>$C$30*('E Balans VL '!L14+'E Balans VL '!N14)/100/3.6*1000000</f>
        <v>116.59588902010739</v>
      </c>
      <c r="G10" s="34"/>
      <c r="H10" s="33"/>
      <c r="I10" s="33"/>
      <c r="J10" s="33">
        <f>$C$30*('E Balans VL '!D14+'E Balans VL '!E14)/100/3.6*1000000</f>
        <v>0</v>
      </c>
      <c r="K10" s="33"/>
      <c r="L10" s="33"/>
      <c r="M10" s="33"/>
      <c r="N10" s="33">
        <f>$C$30*'E Balans VL '!Y14/100/3.6*1000000</f>
        <v>367.70690700652619</v>
      </c>
      <c r="O10" s="33"/>
      <c r="P10" s="33"/>
      <c r="R10" s="32"/>
    </row>
    <row r="11" spans="1:18">
      <c r="A11" s="32" t="s">
        <v>54</v>
      </c>
      <c r="B11" s="37">
        <f t="shared" si="0"/>
        <v>272.59740000000005</v>
      </c>
      <c r="C11" s="33"/>
      <c r="D11" s="37">
        <f>IF(ISERROR(TER_onderwijs_gas_kWh/1000),0,TER_onderwijs_gas_kWh/1000)*0.902</f>
        <v>561.55408231746753</v>
      </c>
      <c r="E11" s="33">
        <f>$C$31*'E Balans VL '!I11/100/3.6*1000000</f>
        <v>0.18843818728080367</v>
      </c>
      <c r="F11" s="33">
        <f>$C$31*('E Balans VL '!L11+'E Balans VL '!N11)/100/3.6*1000000</f>
        <v>71.358080902807544</v>
      </c>
      <c r="G11" s="34"/>
      <c r="H11" s="33"/>
      <c r="I11" s="33"/>
      <c r="J11" s="33">
        <f>$C$31*('E Balans VL '!D11+'E Balans VL '!E11)/100/3.6*1000000</f>
        <v>0</v>
      </c>
      <c r="K11" s="33"/>
      <c r="L11" s="33"/>
      <c r="M11" s="33"/>
      <c r="N11" s="33">
        <f>$C$31*'E Balans VL '!Y11/100/3.6*1000000</f>
        <v>0.27134749366466665</v>
      </c>
      <c r="O11" s="33"/>
      <c r="P11" s="33"/>
      <c r="R11" s="32"/>
    </row>
    <row r="12" spans="1:18">
      <c r="A12" s="32" t="s">
        <v>249</v>
      </c>
      <c r="B12" s="37">
        <f t="shared" si="0"/>
        <v>1938.942</v>
      </c>
      <c r="C12" s="33"/>
      <c r="D12" s="37">
        <f>IF(ISERROR(TER_rest_gas_kWh/1000),0,TER_rest_gas_kWh/1000)*0.902</f>
        <v>2445.0488916664358</v>
      </c>
      <c r="E12" s="33">
        <f>$C$32*'E Balans VL '!I8/100/3.6*1000000</f>
        <v>17.530266121377437</v>
      </c>
      <c r="F12" s="33">
        <f>$C$32*('E Balans VL '!L8+'E Balans VL '!N8)/100/3.6*1000000</f>
        <v>285.8156570031685</v>
      </c>
      <c r="G12" s="34"/>
      <c r="H12" s="33"/>
      <c r="I12" s="33"/>
      <c r="J12" s="33">
        <f>$C$32*('E Balans VL '!D8+'E Balans VL '!E8)/100/3.6*1000000</f>
        <v>0</v>
      </c>
      <c r="K12" s="33"/>
      <c r="L12" s="33"/>
      <c r="M12" s="33"/>
      <c r="N12" s="33">
        <f>$C$32*'E Balans VL '!Y8/100/3.6*1000000</f>
        <v>165.36581613480027</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8314.1798699999999</v>
      </c>
      <c r="C16" s="21">
        <f t="shared" ca="1" si="1"/>
        <v>0</v>
      </c>
      <c r="D16" s="21">
        <f t="shared" ca="1" si="1"/>
        <v>8749.4997169850449</v>
      </c>
      <c r="E16" s="21">
        <f t="shared" si="1"/>
        <v>87.24776160812651</v>
      </c>
      <c r="F16" s="21">
        <f t="shared" ca="1" si="1"/>
        <v>1227.8171532652195</v>
      </c>
      <c r="G16" s="21">
        <f t="shared" si="1"/>
        <v>0</v>
      </c>
      <c r="H16" s="21">
        <f t="shared" si="1"/>
        <v>0</v>
      </c>
      <c r="I16" s="21">
        <f t="shared" si="1"/>
        <v>0</v>
      </c>
      <c r="J16" s="21">
        <f t="shared" si="1"/>
        <v>0</v>
      </c>
      <c r="K16" s="21">
        <f t="shared" si="1"/>
        <v>0</v>
      </c>
      <c r="L16" s="21">
        <f t="shared" ca="1" si="1"/>
        <v>0</v>
      </c>
      <c r="M16" s="21">
        <f t="shared" si="1"/>
        <v>0</v>
      </c>
      <c r="N16" s="21">
        <f t="shared" ca="1" si="1"/>
        <v>576.29048978049514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0.18775024505915666</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1560.9893080584072</v>
      </c>
      <c r="C20" s="23">
        <f t="shared" ref="C20:P20" ca="1" si="2">C16*C18</f>
        <v>0</v>
      </c>
      <c r="D20" s="23">
        <f t="shared" ca="1" si="2"/>
        <v>1767.3989428309792</v>
      </c>
      <c r="E20" s="23">
        <f t="shared" si="2"/>
        <v>19.805241885044719</v>
      </c>
      <c r="F20" s="23">
        <f t="shared" ca="1" si="2"/>
        <v>327.82717992181364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1631.9670000000001</v>
      </c>
      <c r="C26" s="39">
        <f>IF(ISERROR(B26*3.6/1000000/'E Balans VL '!Z12*100),0,B26*3.6/1000000/'E Balans VL '!Z12*100)</f>
        <v>3.5848041897785225E-2</v>
      </c>
      <c r="D26" s="233" t="s">
        <v>676</v>
      </c>
      <c r="F26" s="6"/>
    </row>
    <row r="27" spans="1:18">
      <c r="A27" s="228" t="s">
        <v>52</v>
      </c>
      <c r="B27" s="33">
        <f>IF(ISERROR(TER_horeca_ele_kWh/1000),0,TER_horeca_ele_kWh/1000)</f>
        <v>689.66590000000008</v>
      </c>
      <c r="C27" s="39">
        <f>IF(ISERROR(B27*3.6/1000000/'E Balans VL '!Z9*100),0,B27*3.6/1000000/'E Balans VL '!Z9*100)</f>
        <v>5.5421529735888493E-2</v>
      </c>
      <c r="D27" s="233" t="s">
        <v>676</v>
      </c>
      <c r="F27" s="6"/>
    </row>
    <row r="28" spans="1:18">
      <c r="A28" s="168" t="s">
        <v>51</v>
      </c>
      <c r="B28" s="33">
        <f>IF(ISERROR(TER_handel_ele_kWh/1000),0,TER_handel_ele_kWh/1000)</f>
        <v>3164.22</v>
      </c>
      <c r="C28" s="39">
        <f>IF(ISERROR(B28*3.6/1000000/'E Balans VL '!Z13*100),0,B28*3.6/1000000/'E Balans VL '!Z13*100)</f>
        <v>9.3563774829493587E-2</v>
      </c>
      <c r="D28" s="233" t="s">
        <v>676</v>
      </c>
      <c r="F28" s="6"/>
    </row>
    <row r="29" spans="1:18">
      <c r="A29" s="228" t="s">
        <v>50</v>
      </c>
      <c r="B29" s="33">
        <f>IF(ISERROR(TER_gezond_ele_kWh/1000),0,TER_gezond_ele_kWh/1000)</f>
        <v>94.777270000000001</v>
      </c>
      <c r="C29" s="39">
        <f>IF(ISERROR(B29*3.6/1000000/'E Balans VL '!Z10*100),0,B29*3.6/1000000/'E Balans VL '!Z10*100)</f>
        <v>1.0678951395586325E-2</v>
      </c>
      <c r="D29" s="233" t="s">
        <v>676</v>
      </c>
      <c r="F29" s="6"/>
    </row>
    <row r="30" spans="1:18">
      <c r="A30" s="228" t="s">
        <v>49</v>
      </c>
      <c r="B30" s="33">
        <f>IF(ISERROR(TER_ander_ele_kWh/1000),0,TER_ander_ele_kWh/1000)</f>
        <v>522.01030000000003</v>
      </c>
      <c r="C30" s="39">
        <f>IF(ISERROR(B30*3.6/1000000/'E Balans VL '!Z14*100),0,B30*3.6/1000000/'E Balans VL '!Z14*100)</f>
        <v>3.9478746652699043E-2</v>
      </c>
      <c r="D30" s="233" t="s">
        <v>676</v>
      </c>
      <c r="F30" s="6"/>
    </row>
    <row r="31" spans="1:18">
      <c r="A31" s="228" t="s">
        <v>54</v>
      </c>
      <c r="B31" s="33">
        <f>IF(ISERROR(TER_onderwijs_ele_kWh/1000),0,TER_onderwijs_ele_kWh/1000)</f>
        <v>272.59740000000005</v>
      </c>
      <c r="C31" s="39">
        <f>IF(ISERROR(B31*3.6/1000000/'E Balans VL '!Z11*100),0,B31*3.6/1000000/'E Balans VL '!Z11*100)</f>
        <v>5.6584892163026049E-2</v>
      </c>
      <c r="D31" s="233" t="s">
        <v>676</v>
      </c>
    </row>
    <row r="32" spans="1:18">
      <c r="A32" s="228" t="s">
        <v>249</v>
      </c>
      <c r="B32" s="33">
        <f>IF(ISERROR(TER_rest_ele_kWh/1000),0,TER_rest_ele_kWh/1000)</f>
        <v>1938.942</v>
      </c>
      <c r="C32" s="39">
        <f>IF(ISERROR(B32*3.6/1000000/'E Balans VL '!Z8*100),0,B32*3.6/1000000/'E Balans VL '!Z8*100)</f>
        <v>1.6334445709048798E-2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6301.7762899999998</v>
      </c>
      <c r="C5" s="17">
        <f>IF(ISERROR('Eigen informatie GS &amp; warmtenet'!B59),0,'Eigen informatie GS &amp; warmtenet'!B59)</f>
        <v>0</v>
      </c>
      <c r="D5" s="30">
        <f>SUM(D6:D15)</f>
        <v>5103.0923424702805</v>
      </c>
      <c r="E5" s="17">
        <f>SUM(E6:E15)</f>
        <v>584.78768909695452</v>
      </c>
      <c r="F5" s="17">
        <f>SUM(F6:F15)</f>
        <v>2597.4956342140149</v>
      </c>
      <c r="G5" s="18"/>
      <c r="H5" s="17"/>
      <c r="I5" s="17"/>
      <c r="J5" s="17">
        <f>SUM(J6:J15)</f>
        <v>26.528448444818331</v>
      </c>
      <c r="K5" s="17"/>
      <c r="L5" s="17"/>
      <c r="M5" s="17"/>
      <c r="N5" s="17">
        <f>SUM(N6:N15)</f>
        <v>505.89386222886247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48.273300000000006</v>
      </c>
      <c r="C8" s="33"/>
      <c r="D8" s="37">
        <f>IF( ISERROR(IND_metaal_Gas_kWH/1000),0,IND_metaal_Gas_kWH/1000)*0.902</f>
        <v>121.84797038794015</v>
      </c>
      <c r="E8" s="33">
        <f>C30*'E Balans VL '!I18/100/3.6*1000000</f>
        <v>1.2081117460695809</v>
      </c>
      <c r="F8" s="33">
        <f>C30*'E Balans VL '!L18/100/3.6*1000000+C30*'E Balans VL '!N18/100/3.6*1000000</f>
        <v>15.129092343743281</v>
      </c>
      <c r="G8" s="34"/>
      <c r="H8" s="33"/>
      <c r="I8" s="33"/>
      <c r="J8" s="40">
        <f>C30*'E Balans VL '!D18/100/3.6*1000000+C30*'E Balans VL '!E18/100/3.6*1000000</f>
        <v>0</v>
      </c>
      <c r="K8" s="33"/>
      <c r="L8" s="33"/>
      <c r="M8" s="33"/>
      <c r="N8" s="33">
        <f>C30*'E Balans VL '!Y18/100/3.6*1000000</f>
        <v>1.2127505761380126</v>
      </c>
      <c r="O8" s="33"/>
      <c r="P8" s="33"/>
      <c r="R8" s="32"/>
    </row>
    <row r="9" spans="1:18">
      <c r="A9" s="6" t="s">
        <v>32</v>
      </c>
      <c r="B9" s="37">
        <f t="shared" si="0"/>
        <v>1239.202</v>
      </c>
      <c r="C9" s="33"/>
      <c r="D9" s="37">
        <f>IF( ISERROR(IND_andere_gas_kWh/1000),0,IND_andere_gas_kWh/1000)*0.902</f>
        <v>579.23249982204482</v>
      </c>
      <c r="E9" s="33">
        <f>C31*'E Balans VL '!I19/100/3.6*1000000</f>
        <v>340.72972406107755</v>
      </c>
      <c r="F9" s="33">
        <f>C31*'E Balans VL '!L19/100/3.6*1000000+C31*'E Balans VL '!N19/100/3.6*1000000</f>
        <v>976.70681263027018</v>
      </c>
      <c r="G9" s="34"/>
      <c r="H9" s="33"/>
      <c r="I9" s="33"/>
      <c r="J9" s="40">
        <f>C31*'E Balans VL '!D19/100/3.6*1000000+C31*'E Balans VL '!E19/100/3.6*1000000</f>
        <v>0</v>
      </c>
      <c r="K9" s="33"/>
      <c r="L9" s="33"/>
      <c r="M9" s="33"/>
      <c r="N9" s="33">
        <f>C31*'E Balans VL '!Y19/100/3.6*1000000</f>
        <v>99.830894009922574</v>
      </c>
      <c r="O9" s="33"/>
      <c r="P9" s="33"/>
      <c r="R9" s="32"/>
    </row>
    <row r="10" spans="1:18">
      <c r="A10" s="6" t="s">
        <v>40</v>
      </c>
      <c r="B10" s="37">
        <f t="shared" si="0"/>
        <v>280.6146</v>
      </c>
      <c r="C10" s="33"/>
      <c r="D10" s="37">
        <f>IF( ISERROR(IND_voed_gas_kWh/1000),0,IND_voed_gas_kWh/1000)*0.902</f>
        <v>0</v>
      </c>
      <c r="E10" s="33">
        <f>C32*'E Balans VL '!I20/100/3.6*1000000</f>
        <v>2.8607112555347576</v>
      </c>
      <c r="F10" s="33">
        <f>C32*'E Balans VL '!L20/100/3.6*1000000+C32*'E Balans VL '!N20/100/3.6*1000000</f>
        <v>530.07922432509622</v>
      </c>
      <c r="G10" s="34"/>
      <c r="H10" s="33"/>
      <c r="I10" s="33"/>
      <c r="J10" s="40">
        <f>C32*'E Balans VL '!D20/100/3.6*1000000+C32*'E Balans VL '!E20/100/3.6*1000000</f>
        <v>6.7160255531281434</v>
      </c>
      <c r="K10" s="33"/>
      <c r="L10" s="33"/>
      <c r="M10" s="33"/>
      <c r="N10" s="33">
        <f>C32*'E Balans VL '!Y20/100/3.6*1000000</f>
        <v>147.91621703837831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17.310389999999998</v>
      </c>
      <c r="C12" s="33"/>
      <c r="D12" s="37">
        <f>IF( ISERROR(IND_min_gas_kWh/1000),0,IND_min_gas_kWh/1000)*0.902</f>
        <v>0</v>
      </c>
      <c r="E12" s="33">
        <f>C34*'E Balans VL '!I22/100/3.6*1000000</f>
        <v>5.242534090431436E-2</v>
      </c>
      <c r="F12" s="33">
        <f>C34*'E Balans VL '!L22/100/3.6*1000000+C34*'E Balans VL '!N22/100/3.6*1000000</f>
        <v>0.54096456986727459</v>
      </c>
      <c r="G12" s="34"/>
      <c r="H12" s="33"/>
      <c r="I12" s="33"/>
      <c r="J12" s="40">
        <f>C34*'E Balans VL '!D22/100/3.6*1000000+C34*'E Balans VL '!E22/100/3.6*1000000</f>
        <v>2.566746566143106E-2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4716.3760000000002</v>
      </c>
      <c r="C15" s="33"/>
      <c r="D15" s="37">
        <f>IF( ISERROR(IND_rest_gas_kWh/1000),0,IND_rest_gas_kWh/1000)*0.902</f>
        <v>4402.0118722602956</v>
      </c>
      <c r="E15" s="33">
        <f>C37*'E Balans VL '!I15/100/3.6*1000000</f>
        <v>239.93671669336837</v>
      </c>
      <c r="F15" s="33">
        <f>C37*'E Balans VL '!L15/100/3.6*1000000+C37*'E Balans VL '!N15/100/3.6*1000000</f>
        <v>1075.0395403450379</v>
      </c>
      <c r="G15" s="34"/>
      <c r="H15" s="33"/>
      <c r="I15" s="33"/>
      <c r="J15" s="40">
        <f>C37*'E Balans VL '!D15/100/3.6*1000000+C37*'E Balans VL '!E15/100/3.6*1000000</f>
        <v>19.786755426028755</v>
      </c>
      <c r="K15" s="33"/>
      <c r="L15" s="33"/>
      <c r="M15" s="33"/>
      <c r="N15" s="33">
        <f>C37*'E Balans VL '!Y15/100/3.6*1000000</f>
        <v>256.9340006044236</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6301.7762899999998</v>
      </c>
      <c r="C18" s="21">
        <f>C5+C16</f>
        <v>0</v>
      </c>
      <c r="D18" s="21">
        <f>MAX((D5+D16),0)</f>
        <v>5103.0923424702805</v>
      </c>
      <c r="E18" s="21">
        <f>MAX((E5+E16),0)</f>
        <v>584.78768909695452</v>
      </c>
      <c r="F18" s="21">
        <f>MAX((F5+F16),0)</f>
        <v>2597.4956342140149</v>
      </c>
      <c r="G18" s="21"/>
      <c r="H18" s="21"/>
      <c r="I18" s="21"/>
      <c r="J18" s="21">
        <f>MAX((J5+J16),0)</f>
        <v>26.528448444818331</v>
      </c>
      <c r="K18" s="21"/>
      <c r="L18" s="21">
        <f>MAX((L5+L16),0)</f>
        <v>0</v>
      </c>
      <c r="M18" s="21"/>
      <c r="N18" s="21">
        <f>MAX((N5+N16),0)</f>
        <v>505.89386222886247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0.18775024505915666</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1183.1600427554831</v>
      </c>
      <c r="C22" s="23">
        <f ca="1">C18*C20</f>
        <v>0</v>
      </c>
      <c r="D22" s="23">
        <f>D18*D20</f>
        <v>1030.8246531789966</v>
      </c>
      <c r="E22" s="23">
        <f>E18*E20</f>
        <v>132.74680542500869</v>
      </c>
      <c r="F22" s="23">
        <f>F18*F20</f>
        <v>693.53133433514199</v>
      </c>
      <c r="G22" s="23"/>
      <c r="H22" s="23"/>
      <c r="I22" s="23"/>
      <c r="J22" s="23">
        <f>J18*J20</f>
        <v>9.3910707494656886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48.273300000000006</v>
      </c>
      <c r="C30" s="39">
        <f>IF(ISERROR(B30*3.6/1000000/'E Balans VL '!Z18*100),0,B30*3.6/1000000/'E Balans VL '!Z18*100)</f>
        <v>6.7566532745054206E-3</v>
      </c>
      <c r="D30" s="233" t="s">
        <v>676</v>
      </c>
    </row>
    <row r="31" spans="1:18">
      <c r="A31" s="6" t="s">
        <v>32</v>
      </c>
      <c r="B31" s="37">
        <f>IF( ISERROR(IND_ander_ele_kWh/1000),0,IND_ander_ele_kWh/1000)</f>
        <v>1239.202</v>
      </c>
      <c r="C31" s="39">
        <f>IF(ISERROR(B31*3.6/1000000/'E Balans VL '!Z19*100),0,B31*3.6/1000000/'E Balans VL '!Z19*100)</f>
        <v>5.4239670512874802E-2</v>
      </c>
      <c r="D31" s="233" t="s">
        <v>676</v>
      </c>
    </row>
    <row r="32" spans="1:18">
      <c r="A32" s="168" t="s">
        <v>40</v>
      </c>
      <c r="B32" s="37">
        <f>IF( ISERROR(IND_voed_ele_kWh/1000),0,IND_voed_ele_kWh/1000)</f>
        <v>280.6146</v>
      </c>
      <c r="C32" s="39">
        <f>IF(ISERROR(B32*3.6/1000000/'E Balans VL '!Z20*100),0,B32*3.6/1000000/'E Balans VL '!Z20*100)</f>
        <v>6.9470856208785889E-2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17.310389999999998</v>
      </c>
      <c r="C34" s="39">
        <f>IF(ISERROR(B34*3.6/1000000/'E Balans VL '!Z22*100),0,B34*3.6/1000000/'E Balans VL '!Z22*100)</f>
        <v>4.9119824560437287E-4</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4716.3760000000002</v>
      </c>
      <c r="C37" s="39">
        <f>IF(ISERROR(B37*3.6/1000000/'E Balans VL '!Z15*100),0,B37*3.6/1000000/'E Balans VL '!Z15*100)</f>
        <v>3.4971120562259206E-2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1106.8793999999998</v>
      </c>
      <c r="C5" s="17">
        <f>'Eigen informatie GS &amp; warmtenet'!B60</f>
        <v>0</v>
      </c>
      <c r="D5" s="30">
        <f>IF(ISERROR(SUM(LB_lb_gas_kWh,LB_rest_gas_kWh)/1000),0,SUM(LB_lb_gas_kWh,LB_rest_gas_kWh)/1000)*0.902</f>
        <v>49.917639238972228</v>
      </c>
      <c r="E5" s="17">
        <f>B17*'E Balans VL '!I25/3.6*1000000/100</f>
        <v>10.252380606508064</v>
      </c>
      <c r="F5" s="17">
        <f>B17*('E Balans VL '!L25/3.6*1000000+'E Balans VL '!N25/3.6*1000000)/100</f>
        <v>2808.3638981093113</v>
      </c>
      <c r="G5" s="18"/>
      <c r="H5" s="17"/>
      <c r="I5" s="17"/>
      <c r="J5" s="17">
        <f>('E Balans VL '!D25+'E Balans VL '!E25)/3.6*1000000*landbouw!B17/100</f>
        <v>169.69696483015687</v>
      </c>
      <c r="K5" s="17"/>
      <c r="L5" s="17">
        <f>L6*(-1)</f>
        <v>9779.0625</v>
      </c>
      <c r="M5" s="17"/>
      <c r="N5" s="17">
        <f>N6*(-1)</f>
        <v>0</v>
      </c>
      <c r="O5" s="17"/>
      <c r="P5" s="17"/>
      <c r="R5" s="32"/>
    </row>
    <row r="6" spans="1:18">
      <c r="A6" s="16" t="s">
        <v>481</v>
      </c>
      <c r="B6" s="17" t="s">
        <v>204</v>
      </c>
      <c r="C6" s="17">
        <f>'lokale energieproductie'!O40+'lokale energieproductie'!O33</f>
        <v>5867.4375</v>
      </c>
      <c r="D6" s="302">
        <f>('lokale energieproductie'!P33+'lokale energieproductie'!P40)*(-1)</f>
        <v>0</v>
      </c>
      <c r="E6" s="244"/>
      <c r="F6" s="302">
        <f>('lokale energieproductie'!S33+'lokale energieproductie'!S869)*(-1)</f>
        <v>-3259.6875</v>
      </c>
      <c r="G6" s="245"/>
      <c r="H6" s="244"/>
      <c r="I6" s="244"/>
      <c r="J6" s="244"/>
      <c r="K6" s="244"/>
      <c r="L6" s="302">
        <f>('lokale energieproductie'!T33+'lokale energieproductie'!U33+'lokale energieproductie'!T40+'lokale energieproductie'!U40)*(-1)</f>
        <v>-9779.0625</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1106.8793999999998</v>
      </c>
      <c r="C8" s="21">
        <f>C5+C6</f>
        <v>5867.4375</v>
      </c>
      <c r="D8" s="21">
        <f>MAX((D5+D6),0)</f>
        <v>49.917639238972228</v>
      </c>
      <c r="E8" s="21">
        <f>MAX((E5+E6),0)</f>
        <v>10.252380606508064</v>
      </c>
      <c r="F8" s="21">
        <f>MAX((F5+F6),0)</f>
        <v>0</v>
      </c>
      <c r="G8" s="21"/>
      <c r="H8" s="21"/>
      <c r="I8" s="21"/>
      <c r="J8" s="21">
        <f>MAX((J5+J6),0)</f>
        <v>169.69696483015687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0.18775024505915666</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207.81687860093226</v>
      </c>
      <c r="C12" s="23">
        <f ca="1">C8*C10</f>
        <v>460.76641544117649</v>
      </c>
      <c r="D12" s="23">
        <f>D8*D10</f>
        <v>10.08336312627239</v>
      </c>
      <c r="E12" s="23">
        <f>E8*E10</f>
        <v>2.3272903976773307</v>
      </c>
      <c r="F12" s="23">
        <f>F8*F10</f>
        <v>0</v>
      </c>
      <c r="G12" s="23"/>
      <c r="H12" s="23"/>
      <c r="I12" s="23"/>
      <c r="J12" s="23">
        <f>J8*J10</f>
        <v>60.072725549875528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0.15737478077996961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86.56433039163511</v>
      </c>
      <c r="C26" s="243">
        <f>B26*'GWP N2O_CH4'!B5</f>
        <v>1817.8509382243374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11.001498261603709</v>
      </c>
      <c r="C27" s="243">
        <f>B27*'GWP N2O_CH4'!B5</f>
        <v>231.0314634936779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1.276833989019357</v>
      </c>
      <c r="C28" s="243">
        <f>B28*'GWP N2O_CH4'!B4</f>
        <v>395.81853659600068</v>
      </c>
      <c r="D28" s="50"/>
    </row>
    <row r="29" spans="1:4">
      <c r="A29" s="41" t="s">
        <v>266</v>
      </c>
      <c r="B29" s="243">
        <f>B34*'ha_N2O bodem landbouw'!B4</f>
        <v>6.3549956616858028</v>
      </c>
      <c r="C29" s="243">
        <f>B29*'GWP N2O_CH4'!B4</f>
        <v>1970.0486551225988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1.4253135689851768E-3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3.1987726846824879E-5</v>
      </c>
      <c r="C5" s="430" t="s">
        <v>204</v>
      </c>
      <c r="D5" s="415">
        <f>SUM(D6:D11)</f>
        <v>5.4779059598544929E-5</v>
      </c>
      <c r="E5" s="415">
        <f>SUM(E6:E11)</f>
        <v>5.2789303195932644E-4</v>
      </c>
      <c r="F5" s="428" t="s">
        <v>204</v>
      </c>
      <c r="G5" s="415">
        <f>SUM(G6:G11)</f>
        <v>0.17567576334432711</v>
      </c>
      <c r="H5" s="415">
        <f>SUM(H6:H11)</f>
        <v>3.1350339087546336E-2</v>
      </c>
      <c r="I5" s="430" t="s">
        <v>204</v>
      </c>
      <c r="J5" s="430" t="s">
        <v>204</v>
      </c>
      <c r="K5" s="430" t="s">
        <v>204</v>
      </c>
      <c r="L5" s="430" t="s">
        <v>204</v>
      </c>
      <c r="M5" s="415">
        <f>SUM(M6:M11)</f>
        <v>1.1141455478293549E-2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1.9343646137166972E-5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2.9215445358665708E-5</v>
      </c>
      <c r="E6" s="858">
        <f>vkm_GW_PW*SUMIFS(TableVerdeelsleutelVkm[LPG],TableVerdeelsleutelVkm[Voertuigtype],"Lichte voertuigen")*SUMIFS(TableECFTransport[EnergieConsumptieFactor (PJ per km)],TableECFTransport[Index],CONCATENATE($A6,"_LPG_LPG"))</f>
        <v>2.8775780794372297E-4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6.5832941520841459E-2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1.6989029957613092E-2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4.3350206076500988E-3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1.0385176274705556E-6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3.9858739155149266E-2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7.5366612270810092E-7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2.3109189958705344E-3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1.1220362588508855E-5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2.5563614239879221E-5</v>
      </c>
      <c r="E8" s="418">
        <f>vkm_NGW_PW*SUMIFS(TableVerdeelsleutelVkm[LPG],TableVerdeelsleutelVkm[Voertuigtype],"Lichte voertuigen")*SUMIFS(TableECFTransport[EnergieConsumptieFactor (PJ per km)],TableECFTransport[Index],CONCATENATE($A8,"_LPG_LPG"))</f>
        <v>2.4013522401560348E-4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5.0989189025153925E-2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1.4360218045689271E-2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3.3942358283714281E-3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3.8520049367849538E-7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1.8994893643182471E-2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3.3741812126105685E-7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1.1012800464014877E-3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8.885479679673578</v>
      </c>
      <c r="C14" s="21"/>
      <c r="D14" s="21">
        <f t="shared" ref="D14:M14" si="0">((D5)*10^9/3600)+D12</f>
        <v>15.216405444040259</v>
      </c>
      <c r="E14" s="21">
        <f t="shared" si="0"/>
        <v>146.63695332203514</v>
      </c>
      <c r="F14" s="21"/>
      <c r="G14" s="21">
        <f t="shared" si="0"/>
        <v>48798.823151201977</v>
      </c>
      <c r="H14" s="21">
        <f t="shared" si="0"/>
        <v>8708.4275243184275</v>
      </c>
      <c r="I14" s="21"/>
      <c r="J14" s="21"/>
      <c r="K14" s="21"/>
      <c r="L14" s="21"/>
      <c r="M14" s="21">
        <f t="shared" si="0"/>
        <v>3094.8487439704304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0.18775024505915666</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1.6682509873268712</v>
      </c>
      <c r="C18" s="23"/>
      <c r="D18" s="23">
        <f t="shared" ref="D18:M18" si="1">D14*D16</f>
        <v>3.0737138996961324</v>
      </c>
      <c r="E18" s="23">
        <f t="shared" si="1"/>
        <v>33.286588404101977</v>
      </c>
      <c r="F18" s="23"/>
      <c r="G18" s="23">
        <f t="shared" si="1"/>
        <v>13029.285781370929</v>
      </c>
      <c r="H18" s="23">
        <f t="shared" si="1"/>
        <v>2168.3984535552886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1.1415990646320974E-5</v>
      </c>
      <c r="C50" s="313">
        <f t="shared" ref="C50:P50" si="2">SUM(C51:C52)</f>
        <v>0</v>
      </c>
      <c r="D50" s="313">
        <f t="shared" si="2"/>
        <v>0</v>
      </c>
      <c r="E50" s="313">
        <f t="shared" si="2"/>
        <v>0</v>
      </c>
      <c r="F50" s="313">
        <f t="shared" si="2"/>
        <v>0</v>
      </c>
      <c r="G50" s="313">
        <f t="shared" si="2"/>
        <v>2.1631795940685564E-3</v>
      </c>
      <c r="H50" s="313">
        <f t="shared" si="2"/>
        <v>0</v>
      </c>
      <c r="I50" s="313">
        <f t="shared" si="2"/>
        <v>0</v>
      </c>
      <c r="J50" s="313">
        <f t="shared" si="2"/>
        <v>0</v>
      </c>
      <c r="K50" s="313">
        <f t="shared" si="2"/>
        <v>0</v>
      </c>
      <c r="L50" s="313">
        <f t="shared" si="2"/>
        <v>0</v>
      </c>
      <c r="M50" s="313">
        <f t="shared" si="2"/>
        <v>1.2453000078631099E-4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1.1415990646320974E-5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2.1631795940685564E-3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1.2453000078631099E-4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3.1711085128669372</v>
      </c>
      <c r="C54" s="21">
        <f t="shared" ref="C54:P54" si="3">(C50)*10^9/3600</f>
        <v>0</v>
      </c>
      <c r="D54" s="21">
        <f t="shared" si="3"/>
        <v>0</v>
      </c>
      <c r="E54" s="21">
        <f t="shared" si="3"/>
        <v>0</v>
      </c>
      <c r="F54" s="21">
        <f t="shared" si="3"/>
        <v>0</v>
      </c>
      <c r="G54" s="21">
        <f t="shared" si="3"/>
        <v>600.88322057459902</v>
      </c>
      <c r="H54" s="21">
        <f t="shared" si="3"/>
        <v>0</v>
      </c>
      <c r="I54" s="21">
        <f t="shared" si="3"/>
        <v>0</v>
      </c>
      <c r="J54" s="21">
        <f t="shared" si="3"/>
        <v>0</v>
      </c>
      <c r="K54" s="21">
        <f t="shared" si="3"/>
        <v>0</v>
      </c>
      <c r="L54" s="21">
        <f t="shared" si="3"/>
        <v>0</v>
      </c>
      <c r="M54" s="21">
        <f t="shared" si="3"/>
        <v>34.59166688508639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0.18775024505915666</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0.59537640039994533</v>
      </c>
      <c r="C58" s="23">
        <f t="shared" ref="C58:P58" ca="1" si="4">C54*C56</f>
        <v>0</v>
      </c>
      <c r="D58" s="23">
        <f t="shared" si="4"/>
        <v>0</v>
      </c>
      <c r="E58" s="23">
        <f t="shared" si="4"/>
        <v>0</v>
      </c>
      <c r="F58" s="23">
        <f t="shared" si="4"/>
        <v>0</v>
      </c>
      <c r="G58" s="23">
        <f t="shared" si="4"/>
        <v>160.43581989341794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3593.5104093024815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5215.5</v>
      </c>
      <c r="C8" s="537">
        <f>B49</f>
        <v>0</v>
      </c>
      <c r="D8" s="1014"/>
      <c r="E8" s="1014">
        <f>E49</f>
        <v>1533.9705882352941</v>
      </c>
      <c r="F8" s="1015"/>
      <c r="G8" s="538"/>
      <c r="H8" s="1014">
        <f>I49</f>
        <v>0</v>
      </c>
      <c r="I8" s="1014">
        <f>G49+F49</f>
        <v>4601.911764705882</v>
      </c>
      <c r="J8" s="1014">
        <f>H49+D49+C49</f>
        <v>0</v>
      </c>
      <c r="K8" s="1014"/>
      <c r="L8" s="1014"/>
      <c r="M8" s="1014"/>
      <c r="N8" s="539"/>
      <c r="O8" s="540">
        <f>C8*$C$12+D8*$D$12+E8*$E$12+F8*$F$12+G8*$G$12+H8*$H$12+I8*$I$12+J8*$J$12</f>
        <v>409.57014705882358</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8809.010409302482</v>
      </c>
      <c r="C10" s="550">
        <f t="shared" ref="C10:L10" si="0">SUM(C8:C9)</f>
        <v>0</v>
      </c>
      <c r="D10" s="550">
        <f t="shared" si="0"/>
        <v>0</v>
      </c>
      <c r="E10" s="550">
        <f t="shared" si="0"/>
        <v>1533.9705882352941</v>
      </c>
      <c r="F10" s="550">
        <f t="shared" si="0"/>
        <v>0</v>
      </c>
      <c r="G10" s="550">
        <f t="shared" si="0"/>
        <v>0</v>
      </c>
      <c r="H10" s="550">
        <f t="shared" si="0"/>
        <v>0</v>
      </c>
      <c r="I10" s="550">
        <f t="shared" si="0"/>
        <v>4601.911764705882</v>
      </c>
      <c r="J10" s="550">
        <f t="shared" si="0"/>
        <v>0</v>
      </c>
      <c r="K10" s="550">
        <f t="shared" si="0"/>
        <v>0</v>
      </c>
      <c r="L10" s="550">
        <f t="shared" si="0"/>
        <v>0</v>
      </c>
      <c r="M10" s="1017"/>
      <c r="N10" s="1017"/>
      <c r="O10" s="551">
        <f>SUM(O4:O9)</f>
        <v>409.57014705882358</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5867.4375</v>
      </c>
      <c r="C17" s="562">
        <f>B50</f>
        <v>0</v>
      </c>
      <c r="D17" s="563"/>
      <c r="E17" s="563">
        <f>E50</f>
        <v>1725.7169117647059</v>
      </c>
      <c r="F17" s="1020"/>
      <c r="G17" s="564"/>
      <c r="H17" s="562">
        <f>I50</f>
        <v>0</v>
      </c>
      <c r="I17" s="563">
        <f>G50+F50</f>
        <v>5177.150735294118</v>
      </c>
      <c r="J17" s="563">
        <f>H50+D50+C50</f>
        <v>0</v>
      </c>
      <c r="K17" s="563"/>
      <c r="L17" s="563"/>
      <c r="M17" s="563"/>
      <c r="N17" s="1021"/>
      <c r="O17" s="565">
        <f>C17*$C$22+E17*$E$22+H17*$H$22+I17*$I$22+J17*$J$22+D17*$D$22+F17*$F$22+G17*$G$22+K17*$K$22+L17*$L$22</f>
        <v>460.76641544117649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5867.4375</v>
      </c>
      <c r="C20" s="549">
        <f>SUM(C17:C19)</f>
        <v>0</v>
      </c>
      <c r="D20" s="549">
        <f t="shared" ref="D20:L20" si="1">SUM(D17:D19)</f>
        <v>0</v>
      </c>
      <c r="E20" s="549">
        <f t="shared" si="1"/>
        <v>1725.7169117647059</v>
      </c>
      <c r="F20" s="549">
        <f t="shared" si="1"/>
        <v>0</v>
      </c>
      <c r="G20" s="549">
        <f t="shared" si="1"/>
        <v>0</v>
      </c>
      <c r="H20" s="549">
        <f t="shared" si="1"/>
        <v>0</v>
      </c>
      <c r="I20" s="549">
        <f t="shared" si="1"/>
        <v>5177.150735294118</v>
      </c>
      <c r="J20" s="549">
        <f t="shared" si="1"/>
        <v>0</v>
      </c>
      <c r="K20" s="549">
        <f t="shared" si="1"/>
        <v>0</v>
      </c>
      <c r="L20" s="549">
        <f t="shared" si="1"/>
        <v>0</v>
      </c>
      <c r="M20" s="549"/>
      <c r="N20" s="549"/>
      <c r="O20" s="568">
        <f>SUM(O17:O19)</f>
        <v>460.76641544117649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38.25" hidden="1">
      <c r="A28" s="572"/>
      <c r="B28" s="763">
        <v>23060</v>
      </c>
      <c r="C28" s="763">
        <v>1745</v>
      </c>
      <c r="D28" s="620"/>
      <c r="E28" s="619"/>
      <c r="F28" s="619"/>
      <c r="G28" s="619" t="s">
        <v>922</v>
      </c>
      <c r="H28" s="619" t="s">
        <v>923</v>
      </c>
      <c r="I28" s="619"/>
      <c r="J28" s="762"/>
      <c r="K28" s="762"/>
      <c r="L28" s="619" t="s">
        <v>924</v>
      </c>
      <c r="M28" s="619">
        <v>720</v>
      </c>
      <c r="N28" s="619">
        <v>3240</v>
      </c>
      <c r="O28" s="619">
        <v>3645</v>
      </c>
      <c r="P28" s="619">
        <v>0</v>
      </c>
      <c r="Q28" s="619">
        <v>0</v>
      </c>
      <c r="R28" s="619">
        <v>0</v>
      </c>
      <c r="S28" s="619">
        <v>2025</v>
      </c>
      <c r="T28" s="619">
        <v>6075</v>
      </c>
      <c r="U28" s="619">
        <v>0</v>
      </c>
      <c r="V28" s="619">
        <v>0</v>
      </c>
      <c r="W28" s="619">
        <v>0</v>
      </c>
      <c r="X28" s="619">
        <v>10</v>
      </c>
      <c r="Y28" s="619" t="s">
        <v>105</v>
      </c>
      <c r="Z28" s="621" t="s">
        <v>105</v>
      </c>
    </row>
    <row r="29" spans="1:26" s="573" customFormat="1" ht="38.25" hidden="1">
      <c r="A29" s="572"/>
      <c r="B29" s="763">
        <v>23060</v>
      </c>
      <c r="C29" s="763">
        <v>1745</v>
      </c>
      <c r="D29" s="620"/>
      <c r="E29" s="619"/>
      <c r="F29" s="619"/>
      <c r="G29" s="619" t="s">
        <v>922</v>
      </c>
      <c r="H29" s="619" t="s">
        <v>923</v>
      </c>
      <c r="I29" s="619"/>
      <c r="J29" s="762"/>
      <c r="K29" s="762"/>
      <c r="L29" s="619" t="s">
        <v>924</v>
      </c>
      <c r="M29" s="619">
        <v>439</v>
      </c>
      <c r="N29" s="619">
        <v>1975.5</v>
      </c>
      <c r="O29" s="619">
        <v>2222.4375</v>
      </c>
      <c r="P29" s="619">
        <v>0</v>
      </c>
      <c r="Q29" s="619">
        <v>0</v>
      </c>
      <c r="R29" s="619">
        <v>0</v>
      </c>
      <c r="S29" s="619">
        <v>1234.6875</v>
      </c>
      <c r="T29" s="619">
        <v>3704.0625</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1159</v>
      </c>
      <c r="N30" s="577">
        <f>SUM(N28:N29)</f>
        <v>5215.5</v>
      </c>
      <c r="O30" s="577">
        <f>SUM(O28:O29)</f>
        <v>5867.4375</v>
      </c>
      <c r="P30" s="577">
        <f>SUM(P28:P29)</f>
        <v>0</v>
      </c>
      <c r="Q30" s="577">
        <f>SUM(Q28:Q29)</f>
        <v>0</v>
      </c>
      <c r="R30" s="577">
        <f>SUM(R28:R29)</f>
        <v>0</v>
      </c>
      <c r="S30" s="577">
        <f>SUM(S28:S29)</f>
        <v>3259.6875</v>
      </c>
      <c r="T30" s="577">
        <f>SUM(T28:T29)</f>
        <v>9779.0625</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1159</v>
      </c>
      <c r="N33" s="582">
        <f>SUMIF($Z$28:$Z$29,"landbouw",N28:N29)</f>
        <v>5215.5</v>
      </c>
      <c r="O33" s="582">
        <f>SUMIF($Z$28:$Z$29,"landbouw",O28:O29)</f>
        <v>5867.4375</v>
      </c>
      <c r="P33" s="582">
        <f>SUMIF($Z$28:$Z$29,"landbouw",P28:P29)</f>
        <v>0</v>
      </c>
      <c r="Q33" s="582">
        <f>SUMIF($Z$28:$Z$29,"landbouw",Q28:Q29)</f>
        <v>0</v>
      </c>
      <c r="R33" s="582">
        <f>SUMIF($Z$28:$Z$29,"landbouw",R28:R29)</f>
        <v>0</v>
      </c>
      <c r="S33" s="582">
        <f>SUMIF($Z$28:$Z$29,"landbouw",S28:S29)</f>
        <v>3259.6875</v>
      </c>
      <c r="T33" s="582">
        <f>SUMIF($Z$28:$Z$29,"landbouw",T28:T29)</f>
        <v>9779.0625</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0.52941176470588236</v>
      </c>
      <c r="C46" s="602">
        <f>IF(ISERROR(N30/(O30+N30)),0,N30/(N30+O30))</f>
        <v>0.47058823529411764</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0</v>
      </c>
      <c r="C49" s="611">
        <f t="shared" si="2"/>
        <v>0</v>
      </c>
      <c r="D49" s="611">
        <f t="shared" si="2"/>
        <v>0</v>
      </c>
      <c r="E49" s="611">
        <f t="shared" si="2"/>
        <v>1533.9705882352941</v>
      </c>
      <c r="F49" s="611">
        <f t="shared" si="2"/>
        <v>4601.911764705882</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0</v>
      </c>
      <c r="C50" s="614">
        <f t="shared" si="3"/>
        <v>0</v>
      </c>
      <c r="D50" s="614">
        <f t="shared" si="3"/>
        <v>0</v>
      </c>
      <c r="E50" s="614">
        <f t="shared" si="3"/>
        <v>1725.7169117647059</v>
      </c>
      <c r="F50" s="614">
        <f t="shared" si="3"/>
        <v>5177.150735294118</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2021-11-11T13:09:29Z</dcterms:modified>
</cp:coreProperties>
</file>