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F6FF1AE3-9675-43AB-8890-009B5E2D963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78" i="14"/>
  <c r="F8" i="59"/>
  <c r="F10" i="59" s="1"/>
  <c r="J90" i="14"/>
  <c r="J17" i="59"/>
  <c r="J20" i="59" s="1"/>
  <c r="M90" i="14"/>
  <c r="M17" i="59"/>
  <c r="M20" i="59" s="1"/>
  <c r="Q76" i="14"/>
  <c r="D78" i="14"/>
  <c r="D90" i="14"/>
  <c r="A31" i="23"/>
  <c r="A32" i="23"/>
  <c r="A33" i="23"/>
  <c r="F17" i="59" l="1"/>
  <c r="F20" i="59" s="1"/>
  <c r="Q87" i="14"/>
  <c r="Q90" i="14" s="1"/>
  <c r="B17" i="6" s="1"/>
  <c r="O17" i="18"/>
  <c r="O20" i="18" s="1"/>
  <c r="I76" i="14"/>
  <c r="I8" i="59" s="1"/>
  <c r="I10" i="59" s="1"/>
  <c r="O8" i="18"/>
  <c r="O10" i="18" s="1"/>
  <c r="I20" i="18"/>
  <c r="I17" i="59"/>
  <c r="I20" i="59" s="1"/>
  <c r="C87" i="14"/>
  <c r="C17" i="59" s="1"/>
  <c r="C20" i="59" s="1"/>
  <c r="J10" i="18"/>
  <c r="J76" i="14"/>
  <c r="J8" i="59" s="1"/>
  <c r="J10" i="59" s="1"/>
  <c r="Q78" i="14"/>
  <c r="B9" i="6" s="1"/>
  <c r="P8" i="59"/>
  <c r="P10" i="59" s="1"/>
  <c r="B87" i="14"/>
  <c r="I90" i="14"/>
  <c r="B10" i="44"/>
  <c r="B25" i="44"/>
  <c r="B24" i="44"/>
  <c r="P17" i="59" l="1"/>
  <c r="P20" i="59" s="1"/>
  <c r="I78" i="14"/>
  <c r="C90" i="14"/>
  <c r="J78" i="14"/>
  <c r="B76" i="14"/>
  <c r="B78" i="14" s="1"/>
  <c r="C76" i="14"/>
  <c r="C78" i="14" s="1"/>
  <c r="B90" i="14"/>
  <c r="B17" i="59"/>
  <c r="B20" i="59" s="1"/>
  <c r="A6" i="23"/>
  <c r="A5" i="23"/>
  <c r="B8" i="59" l="1"/>
  <c r="B10" i="59" s="1"/>
  <c r="B4" i="6"/>
  <c r="C8" i="59"/>
  <c r="C10" i="59" s="1"/>
  <c r="A2" i="23"/>
  <c r="A3" i="23" l="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1" i="22" l="1"/>
  <c r="D6" i="22"/>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5" i="13"/>
  <c r="C35" i="13" s="1"/>
  <c r="B33" i="13"/>
  <c r="B32" i="13"/>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J61" i="14" l="1"/>
  <c r="G51" i="22"/>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33" i="48" s="1"/>
  <c r="E15" i="48"/>
  <c r="J22" i="16"/>
  <c r="K43" i="14" s="1"/>
  <c r="K46" i="14" s="1"/>
  <c r="K61" i="14" s="1"/>
  <c r="K13" i="14"/>
  <c r="J8" i="48"/>
  <c r="G33" i="48"/>
  <c r="I22" i="14"/>
  <c r="I27" i="14" s="1"/>
  <c r="I63" i="14" s="1"/>
  <c r="R20" i="14"/>
  <c r="R22" i="14" s="1"/>
  <c r="H27" i="48"/>
  <c r="H33" i="48" s="1"/>
  <c r="H15" i="48"/>
  <c r="O13" i="14"/>
  <c r="N8" i="48"/>
  <c r="N26" i="48" s="1"/>
  <c r="F8" i="48"/>
  <c r="G13" i="14"/>
  <c r="K63" i="14"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<sst xmlns="http://schemas.openxmlformats.org/spreadsheetml/2006/main" count="2501" uniqueCount="922">
  <si>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</si>
  <si>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</si>
  <si>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</si>
  <si>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</si>
  <si>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</si>
  <si>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</si>
  <si>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</si>
  <si>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</si>
  <si>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</si>
  <si>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</si>
  <si>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</si>
  <si>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</si>
  <si>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</si>
  <si>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</si>
  <si>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</si>
  <si>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</si>
  <si>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</si>
  <si>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</si>
  <si>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</si>
  <si>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</si>
  <si>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</si>
  <si>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</si>
  <si>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</si>
  <si>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</si>
  <si>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</si>
  <si>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</si>
  <si>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</si>
  <si>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</si>
  <si>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</si>
  <si>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</si>
  <si>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</si>
  <si>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</si>
  <si>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</si>
  <si>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</si>
  <si>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</si>
  <si>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</si>
  <si>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</si>
  <si>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</si>
  <si>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</si>
  <si>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</si>
  <si>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</si>
  <si>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</si>
  <si>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</si>
  <si>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</si>
  <si>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</si>
  <si>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</si>
  <si>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</si>
  <si>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</si>
  <si>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</si>
  <si>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</si>
  <si>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</si>
  <si>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</si>
  <si>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</si>
  <si>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</si>
  <si>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</si>
  <si>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</si>
  <si>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</si>
  <si>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</si>
  <si>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</si>
  <si>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</si>
  <si>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</si>
  <si>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</si>
  <si>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</si>
  <si>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</si>
  <si>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</si>
  <si>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</si>
  <si>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</si>
  <si>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</si>
  <si>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</si>
  <si>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</si>
  <si>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</si>
  <si>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</si>
  <si>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</si>
  <si>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</si>
  <si>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</si>
  <si>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</si>
  <si>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</si>
  <si>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</si>
  <si>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</si>
  <si>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</si>
  <si>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</si>
  <si>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</si>
  <si>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</si>
  <si>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</si>
  <si>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</si>
  <si>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</si>
  <si>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</si>
  <si>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</si>
  <si>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</si>
  <si>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</si>
  <si>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</si>
  <si>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</si>
  <si>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</si>
  <si>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</si>
  <si>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</si>
  <si>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</si>
  <si>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</si>
  <si>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</si>
  <si>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</si>
  <si>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</si>
  <si>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</si>
  <si>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</si>
  <si>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</si>
  <si>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</si>
  <si>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</si>
  <si>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</si>
  <si>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</si>
  <si>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</si>
  <si>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</si>
  <si>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</si>
  <si>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</si>
  <si>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</si>
  <si>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</si>
  <si>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</si>
  <si>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</si>
  <si>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</si>
  <si>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</si>
  <si>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</si>
  <si>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</si>
  <si>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</si>
  <si>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</si>
  <si>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</si>
  <si>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</si>
  <si>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</si>
  <si>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</si>
  <si>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</si>
  <si>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</si>
  <si>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</si>
  <si>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</si>
  <si>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</si>
  <si>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</si>
  <si>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</si>
  <si>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</si>
  <si>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</si>
  <si>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</si>
  <si>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</si>
  <si>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</si>
  <si>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</si>
  <si>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</si>
  <si>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</si>
  <si>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</si>
  <si>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</si>
  <si>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</si>
  <si>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</si>
  <si>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</si>
  <si>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</si>
  <si>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</si>
  <si>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</si>
  <si>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</si>
  <si>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</si>
  <si>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</si>
  <si>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</si>
  <si>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</si>
  <si>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</si>
  <si>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</si>
  <si>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</si>
  <si>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</si>
  <si>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</si>
  <si>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</si>
  <si>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</si>
  <si>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</si>
  <si>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</si>
  <si>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</si>
  <si>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</si>
  <si>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</si>
  <si>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</si>
  <si>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</si>
  <si>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</si>
  <si>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</si>
  <si>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</si>
  <si>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</si>
  <si>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</si>
  <si>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</si>
  <si>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</si>
  <si>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</si>
  <si>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</si>
  <si>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</si>
  <si>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</si>
  <si>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</si>
  <si>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</si>
  <si>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</si>
  <si>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</si>
  <si>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</si>
  <si>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</si>
  <si>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</si>
  <si>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</si>
  <si>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</si>
  <si>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</si>
  <si>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</si>
  <si>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</si>
  <si>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</si>
  <si>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</si>
  <si>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</si>
  <si>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</si>
  <si>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</si>
  <si>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</si>
  <si>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</si>
  <si>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</si>
  <si>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</si>
  <si>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</si>
  <si>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</si>
  <si>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</si>
  <si>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</si>
  <si>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</si>
  <si>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</si>
  <si>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</si>
  <si>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</si>
  <si>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</si>
  <si>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</si>
  <si>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</si>
  <si>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</si>
  <si>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</si>
  <si>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</si>
  <si>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</si>
  <si>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</si>
  <si>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</si>
  <si>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</si>
  <si>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</si>
  <si>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</si>
  <si>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</si>
  <si>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</si>
  <si>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</si>
  <si>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</si>
  <si>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</si>
  <si>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</si>
  <si>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</si>
  <si>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</si>
  <si>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</si>
  <si>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</si>
  <si>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</si>
  <si>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</si>
  <si>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</si>
  <si>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</si>
  <si>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</si>
  <si>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</si>
  <si>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</si>
  <si>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</si>
  <si>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</si>
  <si>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</si>
  <si>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</si>
  <si>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</si>
  <si>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</si>
  <si>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</si>
  <si>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</si>
  <si>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</si>
  <si>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</si>
  <si>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</si>
  <si>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</si>
  <si>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</si>
  <si>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</si>
  <si>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</si>
  <si>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</si>
  <si>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</si>
  <si>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</si>
  <si>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</si>
  <si>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</si>
  <si>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</si>
  <si>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</si>
  <si>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</si>
  <si>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</si>
  <si>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</si>
  <si>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</si>
  <si>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</si>
  <si>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</si>
  <si>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</si>
  <si>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</si>
  <si>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</si>
  <si>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</si>
  <si>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</si>
  <si>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</si>
  <si>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</si>
  <si>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</si>
  <si>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</si>
  <si>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</si>
  <si>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</si>
  <si>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</si>
  <si>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</si>
  <si>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</si>
  <si>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</si>
  <si>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</si>
  <si>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</si>
  <si>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</si>
  <si>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</si>
  <si>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</si>
  <si>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</si>
  <si>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</si>
  <si>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</si>
  <si>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</si>
  <si>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</si>
  <si>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</si>
  <si>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</si>
  <si>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</si>
  <si>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</si>
  <si>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</si>
  <si>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</si>
  <si>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</si>
  <si>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</si>
  <si>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</si>
  <si>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</si>
  <si>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</si>
  <si>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</si>
  <si>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</si>
  <si>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</si>
  <si>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</si>
  <si>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</si>
  <si>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</si>
  <si>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</si>
  <si>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</si>
  <si>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</si>
  <si>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</si>
  <si>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</si>
  <si>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</si>
  <si>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</si>
  <si>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</si>
  <si>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</si>
  <si>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</si>
  <si>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</si>
  <si>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</si>
  <si>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</si>
  <si>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</si>
  <si>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</si>
  <si>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</si>
  <si>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</si>
  <si>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</si>
  <si>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</si>
  <si>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</si>
  <si>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</si>
  <si>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</si>
  <si>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</si>
  <si>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</si>
  <si>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</si>
  <si>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</si>
  <si>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</si>
  <si>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</si>
  <si>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</si>
  <si>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</si>
  <si>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</si>
  <si>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</si>
  <si>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</si>
  <si>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</si>
  <si>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</si>
  <si>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</si>
  <si>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</si>
  <si>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</si>
  <si>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</si>
  <si>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</si>
  <si>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</si>
  <si>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</si>
  <si>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</si>
  <si>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</si>
  <si>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</si>
  <si>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</si>
  <si>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</si>
  <si>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</si>
  <si>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</si>
  <si>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</si>
  <si>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</si>
  <si>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</si>
  <si>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</si>
  <si>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</si>
  <si>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</si>
  <si>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</si>
  <si>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</si>
  <si>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</si>
  <si>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</si>
  <si>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</si>
  <si>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</si>
  <si>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</si>
  <si>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</si>
  <si>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</si>
  <si>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</si>
  <si>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</si>
  <si>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</si>
  <si>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</si>
  <si>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</si>
  <si>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</si>
  <si>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</si>
  <si>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</si>
  <si>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</si>
  <si>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</si>
  <si>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</si>
  <si>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</si>
  <si>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</si>
  <si>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</si>
  <si>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</si>
  <si>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</si>
  <si>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</si>
  <si>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</si>
  <si>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</si>
  <si>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</si>
  <si>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</si>
  <si>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</si>
  <si>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</si>
  <si>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</si>
  <si>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</si>
  <si>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</si>
  <si>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</si>
  <si>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</si>
  <si>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</si>
  <si>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</si>
  <si>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</si>
  <si>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</si>
  <si>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</si>
  <si>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</si>
  <si>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</si>
  <si>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</si>
  <si>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</si>
  <si>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</si>
  <si>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</si>
  <si>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</si>
  <si>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</si>
  <si>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</si>
  <si>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</si>
  <si>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</si>
  <si>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</si>
  <si>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</si>
  <si>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</si>
  <si>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</si>
  <si>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</si>
  <si>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</si>
  <si>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</si>
  <si>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</si>
  <si>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</si>
  <si>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</si>
  <si>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</si>
  <si>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</si>
  <si>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</si>
  <si>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</si>
  <si>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</si>
  <si>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</si>
  <si>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</si>
  <si>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</si>
  <si>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</si>
  <si>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</si>
  <si>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</si>
  <si>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</si>
  <si>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</si>
  <si>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</si>
  <si>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</si>
  <si>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</si>
  <si>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</si>
  <si>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</si>
  <si>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</si>
  <si>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</si>
  <si>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</si>
  <si>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</si>
  <si>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</si>
  <si>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</si>
  <si>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</si>
  <si>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</si>
  <si>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</si>
  <si>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</si>
  <si>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</si>
  <si>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</si>
  <si>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</si>
  <si>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</si>
  <si>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</si>
  <si>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</si>
  <si>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</si>
  <si>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</si>
  <si>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</si>
  <si>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</si>
  <si>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</si>
  <si>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</si>
  <si>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</si>
  <si>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</si>
  <si>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</si>
  <si>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</si>
  <si>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</si>
  <si>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</si>
  <si>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</si>
  <si>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</si>
  <si>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</si>
  <si>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</si>
  <si>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</si>
  <si>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</si>
  <si>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</si>
  <si>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</si>
  <si>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</si>
  <si>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</si>
  <si>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</si>
  <si>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</si>
  <si>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</si>
  <si>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</si>
  <si>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</si>
  <si>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</si>
  <si>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</si>
  <si>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</si>
  <si>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</si>
  <si>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</si>
  <si>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</si>
  <si>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</si>
  <si>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</si>
  <si>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</si>
  <si>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</si>
  <si>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</si>
  <si>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</si>
  <si>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</si>
  <si>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</si>
  <si>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</si>
  <si>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</si>
  <si>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</si>
  <si>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</si>
  <si>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</si>
  <si>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</si>
  <si>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</si>
  <si>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</si>
  <si>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</si>
  <si>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</si>
  <si>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</si>
  <si>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</si>
  <si>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</si>
  <si>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</si>
  <si>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</si>
  <si>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</si>
  <si>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</si>
  <si>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</si>
  <si>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</si>
  <si>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</si>
  <si>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</si>
  <si>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</si>
  <si>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</si>
  <si>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</si>
  <si>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</si>
  <si>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</si>
  <si>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</si>
  <si>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</si>
  <si>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</si>
  <si>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</si>
  <si>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</si>
  <si>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</si>
  <si>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</si>
  <si>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</si>
  <si>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</si>
  <si>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</si>
  <si>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</si>
  <si>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</si>
  <si>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</si>
  <si>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</si>
  <si>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</si>
  <si>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</si>
  <si>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</si>
  <si>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</si>
  <si>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</si>
  <si>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</si>
  <si>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</si>
  <si>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</si>
  <si>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</si>
  <si>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</si>
  <si>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</si>
  <si>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</si>
  <si>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</si>
  <si>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</si>
  <si>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</si>
  <si>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</si>
  <si>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</si>
  <si>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</si>
  <si>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</si>
  <si>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</si>
  <si>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</si>
  <si>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</si>
  <si>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</si>
  <si>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</si>
  <si>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</si>
  <si>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</si>
  <si>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</si>
  <si>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</si>
  <si>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</si>
  <si>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</si>
  <si>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</si>
  <si>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</si>
  <si>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</si>
  <si>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</si>
  <si>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</si>
  <si>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</si>
  <si>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</si>
  <si>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</si>
  <si>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</si>
  <si>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</si>
  <si>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</si>
  <si>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</si>
  <si>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</si>
  <si>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</si>
  <si>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</si>
  <si>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</si>
  <si>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</si>
  <si>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</si>
  <si>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</si>
  <si>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</si>
  <si>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</si>
  <si>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</si>
  <si>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</si>
  <si>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</si>
  <si>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</si>
  <si>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</si>
  <si>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</si>
  <si>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</si>
  <si>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</si>
  <si>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</si>
  <si>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</si>
  <si>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</si>
  <si>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</si>
  <si>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</si>
  <si>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</si>
  <si>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</si>
  <si>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</si>
  <si>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</si>
  <si>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</si>
  <si>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</si>
  <si>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</si>
  <si>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</si>
  <si>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</si>
  <si>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</si>
  <si>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</si>
  <si>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</si>
  <si>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</si>
  <si>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</si>
  <si>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</si>
  <si>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</si>
  <si>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</si>
  <si>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</si>
  <si>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</si>
  <si>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</si>
  <si>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</si>
  <si>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</si>
  <si>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</si>
  <si>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</si>
  <si>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</si>
  <si>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</si>
  <si>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</si>
  <si>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</si>
  <si>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</si>
  <si>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</si>
  <si>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</si>
  <si>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</si>
  <si>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</si>
  <si>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</si>
  <si>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</si>
  <si>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</si>
  <si>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</si>
  <si>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</si>
  <si>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</si>
  <si>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</si>
  <si>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</si>
  <si>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</si>
  <si>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</si>
  <si>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</si>
  <si>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</si>
  <si>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</si>
  <si>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</si>
  <si>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</si>
  <si>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</si>
  <si>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</si>
  <si>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</si>
  <si>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</si>
  <si>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</si>
  <si>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</si>
  <si>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</si>
  <si>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</si>
  <si>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</si>
  <si>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</si>
  <si>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</si>
  <si>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</si>
  <si>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</si>
  <si>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</si>
  <si>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</si>
  <si>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</si>
  <si>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</si>
  <si>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</si>
  <si>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</si>
  <si>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</si>
  <si>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</si>
  <si>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</si>
  <si>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</si>
  <si>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</si>
  <si>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</si>
  <si>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</si>
  <si>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</si>
  <si>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</si>
  <si>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</si>
  <si>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</si>
  <si>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</si>
  <si>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</si>
  <si>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</si>
  <si>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</si>
  <si>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</si>
  <si>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</si>
  <si>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</si>
  <si>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</si>
  <si>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</si>
  <si>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</si>
  <si>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</si>
  <si>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</si>
  <si>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</si>
  <si>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</si>
  <si>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</si>
  <si>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</si>
  <si>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</si>
  <si>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</si>
  <si>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</si>
  <si>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</si>
  <si>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</si>
  <si>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</si>
  <si>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</si>
  <si>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</si>
  <si>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</si>
  <si>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</si>
  <si>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</si>
  <si>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</si>
  <si>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</si>
  <si>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</si>
  <si>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</si>
  <si>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</si>
  <si>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</si>
  <si>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</si>
  <si>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</si>
  <si>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</si>
  <si>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</si>
  <si>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</si>
  <si>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</si>
  <si>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</si>
  <si>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</si>
  <si>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</si>
  <si>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</si>
  <si>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</si>
  <si>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</si>
  <si>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</si>
  <si>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</si>
  <si>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</si>
  <si>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</si>
  <si>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</si>
  <si>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</si>
  <si>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</si>
  <si>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</si>
  <si>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</si>
  <si>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</si>
  <si>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</si>
  <si>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</si>
  <si>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</si>
  <si>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</si>
  <si>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</si>
  <si>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</si>
  <si>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</si>
  <si>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</si>
  <si>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</si>
  <si>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</si>
  <si>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</si>
  <si>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</si>
  <si>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</si>
  <si>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</si>
  <si>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</si>
  <si>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</si>
  <si>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</si>
  <si>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</si>
  <si>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</si>
  <si>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</si>
  <si>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</si>
  <si>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</si>
  <si>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</si>
  <si>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</si>
  <si>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</si>
  <si>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</si>
  <si>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</si>
  <si>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</si>
  <si>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</si>
  <si>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</si>
  <si>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</si>
  <si>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</si>
  <si>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</si>
  <si>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</si>
  <si>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</si>
  <si>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</si>
  <si>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</si>
  <si>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</si>
  <si>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</si>
  <si>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</si>
  <si>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</si>
  <si>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</si>
  <si>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</si>
  <si>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</si>
  <si>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</si>
  <si>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</si>
  <si>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</si>
  <si>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</si>
  <si>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</si>
  <si>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</si>
  <si>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</si>
  <si>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</si>
  <si>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</si>
  <si>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</si>
  <si>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</si>
  <si>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</si>
  <si>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</si>
  <si>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</si>
  <si>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</si>
  <si>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</si>
  <si>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</si>
  <si>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</si>
  <si>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</si>
  <si>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</si>
  <si>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</si>
  <si>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</si>
  <si>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</si>
  <si>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</si>
  <si>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</si>
  <si>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</si>
  <si>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</si>
  <si>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</si>
  <si>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</si>
  <si>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</si>
  <si>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</si>
  <si>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</si>
  <si>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</si>
  <si>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</si>
  <si>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</si>
  <si>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</si>
  <si>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</si>
  <si>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</si>
  <si>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</si>
  <si>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</si>
  <si>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</si>
  <si>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</si>
  <si>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</si>
  <si>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</si>
  <si>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</si>
  <si>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</si>
  <si>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</si>
  <si>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</si>
  <si>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</si>
  <si>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</si>
  <si>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</si>
  <si>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</si>
  <si>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</si>
  <si>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</si>
  <si>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</si>
  <si>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</si>
  <si>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</si>
  <si>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</si>
  <si>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</si>
  <si>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</si>
  <si>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</si>
  <si>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</si>
  <si>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</si>
  <si>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</si>
  <si>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</si>
  <si>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</si>
  <si>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</si>
  <si>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</si>
  <si>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</si>
  <si>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</si>
  <si>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</si>
  <si>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</si>
  <si>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</si>
  <si>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</si>
  <si>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</si>
  <si>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</si>
  <si>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</si>
  <si>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</si>
  <si>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</si>
  <si>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</si>
  <si>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</si>
  <si>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</si>
  <si>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</si>
  <si>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</si>
  <si>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</si>
  <si>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</si>
  <si>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</si>
  <si>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</si>
  <si>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</si>
  <si>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</si>
  <si>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</si>
  <si>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</si>
  <si>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</si>
  <si>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</si>
  <si>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</si>
  <si>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</si>
  <si>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</si>
  <si>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</si>
  <si>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</si>
  <si>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</si>
  <si>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</si>
  <si>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</si>
  <si>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</si>
  <si>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</si>
  <si>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</si>
  <si>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</si>
  <si>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</si>
  <si>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</si>
  <si>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</si>
  <si>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</si>
  <si>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</si>
  <si>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</si>
  <si>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</si>
  <si>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</si>
  <si>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</si>
  <si>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</si>
  <si>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</si>
  <si>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</si>
  <si>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</si>
  <si>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</si>
  <si>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</si>
  <si>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</si>
  <si>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</si>
  <si>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</si>
  <si>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</si>
  <si>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</si>
  <si>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</si>
  <si>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</si>
  <si>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</si>
  <si>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</si>
  <si>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</si>
  <si>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</si>
  <si>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</si>
  <si>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</si>
  <si>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</si>
  <si>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</si>
  <si>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23045</t>
  </si>
  <si>
    <t>LONDERZEEL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</si>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</sst>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292B6E58-9DA6-4851-AF6F-E5B8D6072B56}"/>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159905.75126115471</c:v>
                </c:pt>
                <c:pt idx="1">
                  <c:v>47767.407067412241</c:v>
                </c:pt>
                <c:pt idx="2">
                  <c:v>1275.874</c:v>
                </c:pt>
                <c:pt idx="3">
                  <c:v>15174.358513128725</c:v>
                </c:pt>
                <c:pt idx="4">
                  <c:v>130488.3114123616</c:v>
                </c:pt>
                <c:pt idx="5">
                  <c:v>127405.06442895567</c:v>
                </c:pt>
                <c:pt idx="6">
                  <c:v>2516.5727964171851</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159905.75126115471</c:v>
                </c:pt>
                <c:pt idx="1">
                  <c:v>47767.407067412241</c:v>
                </c:pt>
                <c:pt idx="2">
                  <c:v>1275.874</c:v>
                </c:pt>
                <c:pt idx="3">
                  <c:v>15174.358513128725</c:v>
                </c:pt>
                <c:pt idx="4">
                  <c:v>130488.3114123616</c:v>
                </c:pt>
                <c:pt idx="5">
                  <c:v>127405.06442895567</c:v>
                </c:pt>
                <c:pt idx="6">
                  <c:v>2516.5727964171851</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34671.173758589182</c:v>
                </c:pt>
                <c:pt idx="2">
                  <c:v>9515.5214898461036</c:v>
                </c:pt>
                <c:pt idx="3">
                  <c:v>263.99080785137903</c:v>
                </c:pt>
                <c:pt idx="4">
                  <c:v>3700.8601377017808</c:v>
                </c:pt>
                <c:pt idx="5">
                  <c:v>27117.780534855556</c:v>
                </c:pt>
                <c:pt idx="6">
                  <c:v>31919.422859610862</c:v>
                </c:pt>
                <c:pt idx="7">
                  <c:v>634.77987780833917</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34671.173758589182</c:v>
                </c:pt>
                <c:pt idx="2">
                  <c:v>9515.5214898461036</c:v>
                </c:pt>
                <c:pt idx="3">
                  <c:v>263.99080785137903</c:v>
                </c:pt>
                <c:pt idx="4">
                  <c:v>3700.8601377017808</c:v>
                </c:pt>
                <c:pt idx="5">
                  <c:v>27117.780534855556</c:v>
                </c:pt>
                <c:pt idx="6">
                  <c:v>31919.422859610862</c:v>
                </c:pt>
                <c:pt idx="7">
                  <c:v>634.77987780833917</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23045</v>
      </c>
      <c r="B6" s="383"/>
      <c r="C6" s="384"/>
    </row>
    <row r="7" spans="1:7" s="381" customFormat="1" ht="15.75" customHeight="1">
      <c r="A7" s="385" t="str">
        <f>txtMunicipality</f>
        <v>LONDERZEEL</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21874.924499999997</v>
      </c>
      <c r="D10" s="983">
        <f ca="1">tertiair!C16</f>
        <v>0</v>
      </c>
      <c r="E10" s="983">
        <f ca="1">tertiair!D16</f>
        <v>21682.251512450355</v>
      </c>
      <c r="F10" s="983">
        <f>tertiair!E16</f>
        <v>217.1893421605478</v>
      </c>
      <c r="G10" s="983">
        <f ca="1">tertiair!F16</f>
        <v>3087.1150163062266</v>
      </c>
      <c r="H10" s="983">
        <f>tertiair!G16</f>
        <v>0</v>
      </c>
      <c r="I10" s="983">
        <f>tertiair!H16</f>
        <v>0</v>
      </c>
      <c r="J10" s="983">
        <f>tertiair!I16</f>
        <v>0</v>
      </c>
      <c r="K10" s="983">
        <f>tertiair!J16</f>
        <v>0</v>
      </c>
      <c r="L10" s="983">
        <f>tertiair!K16</f>
        <v>0</v>
      </c>
      <c r="M10" s="983">
        <f ca="1">tertiair!L16</f>
        <v>0</v>
      </c>
      <c r="N10" s="983">
        <f>tertiair!M16</f>
        <v>0</v>
      </c>
      <c r="O10" s="983">
        <f ca="1">tertiair!N16</f>
        <v>2103.970696495111</v>
      </c>
      <c r="P10" s="983">
        <f>tertiair!O16</f>
        <v>1.5633333333333335</v>
      </c>
      <c r="Q10" s="984">
        <f>tertiair!P16</f>
        <v>76.266666666666666</v>
      </c>
      <c r="R10" s="667">
        <f ca="1">SUM(C10:Q10)</f>
        <v>49043.281067412237</v>
      </c>
      <c r="S10" s="67"/>
    </row>
    <row r="11" spans="1:19" s="440" customFormat="1">
      <c r="A11" s="776" t="s">
        <v>214</v>
      </c>
      <c r="B11" s="781"/>
      <c r="C11" s="983">
        <f>huishoudens!B8</f>
        <v>35357.384835739605</v>
      </c>
      <c r="D11" s="983">
        <f>huishoudens!C8</f>
        <v>0</v>
      </c>
      <c r="E11" s="983">
        <f>huishoudens!D8</f>
        <v>50975.793551499788</v>
      </c>
      <c r="F11" s="983">
        <f>huishoudens!E8</f>
        <v>1914.4133564713727</v>
      </c>
      <c r="G11" s="983">
        <f>huishoudens!F8</f>
        <v>60393.768799763799</v>
      </c>
      <c r="H11" s="983">
        <f>huishoudens!G8</f>
        <v>0</v>
      </c>
      <c r="I11" s="983">
        <f>huishoudens!H8</f>
        <v>0</v>
      </c>
      <c r="J11" s="983">
        <f>huishoudens!I8</f>
        <v>0</v>
      </c>
      <c r="K11" s="983">
        <f>huishoudens!J8</f>
        <v>1408.380406950565</v>
      </c>
      <c r="L11" s="983">
        <f>huishoudens!K8</f>
        <v>0</v>
      </c>
      <c r="M11" s="983">
        <f>huishoudens!L8</f>
        <v>0</v>
      </c>
      <c r="N11" s="983">
        <f>huishoudens!M8</f>
        <v>0</v>
      </c>
      <c r="O11" s="983">
        <f>huishoudens!N8</f>
        <v>8879.1669773962549</v>
      </c>
      <c r="P11" s="983">
        <f>huishoudens!O8</f>
        <v>214.17666666666668</v>
      </c>
      <c r="Q11" s="984">
        <f>huishoudens!P8</f>
        <v>762.66666666666674</v>
      </c>
      <c r="R11" s="667">
        <f>SUM(C11:Q11)</f>
        <v>159905.75126115471</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31781.576200000003</v>
      </c>
      <c r="D13" s="983">
        <f>industrie!C18</f>
        <v>0</v>
      </c>
      <c r="E13" s="983">
        <f>industrie!D18</f>
        <v>33293.558733220489</v>
      </c>
      <c r="F13" s="983">
        <f>industrie!E18</f>
        <v>787.08977422126509</v>
      </c>
      <c r="G13" s="983">
        <f>industrie!F18</f>
        <v>50248.900928576069</v>
      </c>
      <c r="H13" s="983">
        <f>industrie!G18</f>
        <v>0</v>
      </c>
      <c r="I13" s="983">
        <f>industrie!H18</f>
        <v>0</v>
      </c>
      <c r="J13" s="983">
        <f>industrie!I18</f>
        <v>0</v>
      </c>
      <c r="K13" s="983">
        <f>industrie!J18</f>
        <v>625.5277522833785</v>
      </c>
      <c r="L13" s="983">
        <f>industrie!K18</f>
        <v>0</v>
      </c>
      <c r="M13" s="983">
        <f>industrie!L18</f>
        <v>0</v>
      </c>
      <c r="N13" s="983">
        <f>industrie!M18</f>
        <v>0</v>
      </c>
      <c r="O13" s="983">
        <f>industrie!N18</f>
        <v>13751.658024060396</v>
      </c>
      <c r="P13" s="983">
        <f>industrie!O18</f>
        <v>0</v>
      </c>
      <c r="Q13" s="984">
        <f>industrie!P18</f>
        <v>0</v>
      </c>
      <c r="R13" s="667">
        <f>SUM(C13:Q13)</f>
        <v>130488.3114123616</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89013.885535739595</v>
      </c>
      <c r="D16" s="699">
        <f t="shared" ref="D16:R16" ca="1" si="0">SUM(D9:D15)</f>
        <v>0</v>
      </c>
      <c r="E16" s="699">
        <f t="shared" ca="1" si="0"/>
        <v>105951.60379717064</v>
      </c>
      <c r="F16" s="699">
        <f t="shared" si="0"/>
        <v>2918.6924728531858</v>
      </c>
      <c r="G16" s="699">
        <f t="shared" ca="1" si="0"/>
        <v>113729.78474464609</v>
      </c>
      <c r="H16" s="699">
        <f t="shared" si="0"/>
        <v>0</v>
      </c>
      <c r="I16" s="699">
        <f t="shared" si="0"/>
        <v>0</v>
      </c>
      <c r="J16" s="699">
        <f t="shared" si="0"/>
        <v>0</v>
      </c>
      <c r="K16" s="699">
        <f t="shared" si="0"/>
        <v>2033.9081592339435</v>
      </c>
      <c r="L16" s="699">
        <f t="shared" si="0"/>
        <v>0</v>
      </c>
      <c r="M16" s="699">
        <f t="shared" ca="1" si="0"/>
        <v>0</v>
      </c>
      <c r="N16" s="699">
        <f t="shared" si="0"/>
        <v>0</v>
      </c>
      <c r="O16" s="699">
        <f t="shared" ca="1" si="0"/>
        <v>24734.795697951762</v>
      </c>
      <c r="P16" s="699">
        <f t="shared" si="0"/>
        <v>215.74</v>
      </c>
      <c r="Q16" s="699">
        <f t="shared" si="0"/>
        <v>838.93333333333339</v>
      </c>
      <c r="R16" s="699">
        <f t="shared" ca="1" si="0"/>
        <v>339437.34374092857</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12.495694748410925</v>
      </c>
      <c r="D19" s="983">
        <f>transport!C54</f>
        <v>0</v>
      </c>
      <c r="E19" s="983">
        <f>transport!D54</f>
        <v>0</v>
      </c>
      <c r="F19" s="983">
        <f>transport!E54</f>
        <v>0</v>
      </c>
      <c r="G19" s="983">
        <f>transport!F54</f>
        <v>0</v>
      </c>
      <c r="H19" s="983">
        <f>transport!G54</f>
        <v>2367.7692747745223</v>
      </c>
      <c r="I19" s="983">
        <f>transport!H54</f>
        <v>0</v>
      </c>
      <c r="J19" s="983">
        <f>transport!I54</f>
        <v>0</v>
      </c>
      <c r="K19" s="983">
        <f>transport!J54</f>
        <v>0</v>
      </c>
      <c r="L19" s="983">
        <f>transport!K54</f>
        <v>0</v>
      </c>
      <c r="M19" s="983">
        <f>transport!L54</f>
        <v>0</v>
      </c>
      <c r="N19" s="983">
        <f>transport!M54</f>
        <v>136.30782689425158</v>
      </c>
      <c r="O19" s="983">
        <f>transport!N54</f>
        <v>0</v>
      </c>
      <c r="P19" s="983">
        <f>transport!O54</f>
        <v>0</v>
      </c>
      <c r="Q19" s="984">
        <f>transport!P54</f>
        <v>0</v>
      </c>
      <c r="R19" s="667">
        <f>SUM(C19:Q19)</f>
        <v>2516.5727964171851</v>
      </c>
      <c r="S19" s="67"/>
    </row>
    <row r="20" spans="1:19" s="440" customFormat="1">
      <c r="A20" s="776" t="s">
        <v>296</v>
      </c>
      <c r="B20" s="781"/>
      <c r="C20" s="983">
        <f>transport!B14</f>
        <v>19.362726639574099</v>
      </c>
      <c r="D20" s="983">
        <f>transport!C14</f>
        <v>0</v>
      </c>
      <c r="E20" s="983">
        <f>transport!D14</f>
        <v>34.847857601951297</v>
      </c>
      <c r="F20" s="983">
        <f>transport!E14</f>
        <v>352.03017280331801</v>
      </c>
      <c r="G20" s="983">
        <f>transport!F14</f>
        <v>0</v>
      </c>
      <c r="H20" s="983">
        <f>transport!G14</f>
        <v>100497.38055948235</v>
      </c>
      <c r="I20" s="983">
        <f>transport!H14</f>
        <v>20062.914844457897</v>
      </c>
      <c r="J20" s="983">
        <f>transport!I14</f>
        <v>0</v>
      </c>
      <c r="K20" s="983">
        <f>transport!J14</f>
        <v>0</v>
      </c>
      <c r="L20" s="983">
        <f>transport!K14</f>
        <v>0</v>
      </c>
      <c r="M20" s="983">
        <f>transport!L14</f>
        <v>0</v>
      </c>
      <c r="N20" s="983">
        <f>transport!M14</f>
        <v>6438.5282679705697</v>
      </c>
      <c r="O20" s="983">
        <f>transport!N14</f>
        <v>0</v>
      </c>
      <c r="P20" s="983">
        <f>transport!O14</f>
        <v>0</v>
      </c>
      <c r="Q20" s="984">
        <f>transport!P14</f>
        <v>0</v>
      </c>
      <c r="R20" s="667">
        <f>SUM(C20:Q20)</f>
        <v>127405.06442895567</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31.858421387985025</v>
      </c>
      <c r="D22" s="779">
        <f t="shared" ref="D22:R22" si="1">SUM(D18:D21)</f>
        <v>0</v>
      </c>
      <c r="E22" s="779">
        <f t="shared" si="1"/>
        <v>34.847857601951297</v>
      </c>
      <c r="F22" s="779">
        <f t="shared" si="1"/>
        <v>352.03017280331801</v>
      </c>
      <c r="G22" s="779">
        <f t="shared" si="1"/>
        <v>0</v>
      </c>
      <c r="H22" s="779">
        <f t="shared" si="1"/>
        <v>102865.14983425687</v>
      </c>
      <c r="I22" s="779">
        <f t="shared" si="1"/>
        <v>20062.914844457897</v>
      </c>
      <c r="J22" s="779">
        <f t="shared" si="1"/>
        <v>0</v>
      </c>
      <c r="K22" s="779">
        <f t="shared" si="1"/>
        <v>0</v>
      </c>
      <c r="L22" s="779">
        <f t="shared" si="1"/>
        <v>0</v>
      </c>
      <c r="M22" s="779">
        <f t="shared" si="1"/>
        <v>0</v>
      </c>
      <c r="N22" s="779">
        <f t="shared" si="1"/>
        <v>6574.8360948648215</v>
      </c>
      <c r="O22" s="779">
        <f t="shared" si="1"/>
        <v>0</v>
      </c>
      <c r="P22" s="779">
        <f t="shared" si="1"/>
        <v>0</v>
      </c>
      <c r="Q22" s="779">
        <f t="shared" si="1"/>
        <v>0</v>
      </c>
      <c r="R22" s="779">
        <f t="shared" si="1"/>
        <v>129921.63722537285</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3287.3038999999999</v>
      </c>
      <c r="D24" s="983">
        <f>+landbouw!C8</f>
        <v>0</v>
      </c>
      <c r="E24" s="983">
        <f>+landbouw!D8</f>
        <v>3012.1096282185968</v>
      </c>
      <c r="F24" s="983">
        <f>+landbouw!E8</f>
        <v>30.448385571235963</v>
      </c>
      <c r="G24" s="983">
        <f>+landbouw!F8</f>
        <v>8340.5162250502981</v>
      </c>
      <c r="H24" s="983">
        <f>+landbouw!G8</f>
        <v>0</v>
      </c>
      <c r="I24" s="983">
        <f>+landbouw!H8</f>
        <v>0</v>
      </c>
      <c r="J24" s="983">
        <f>+landbouw!I8</f>
        <v>0</v>
      </c>
      <c r="K24" s="983">
        <f>+landbouw!J8</f>
        <v>503.98037428859681</v>
      </c>
      <c r="L24" s="983">
        <f>+landbouw!K8</f>
        <v>0</v>
      </c>
      <c r="M24" s="983">
        <f>+landbouw!L8</f>
        <v>0</v>
      </c>
      <c r="N24" s="983">
        <f>+landbouw!M8</f>
        <v>0</v>
      </c>
      <c r="O24" s="983">
        <f>+landbouw!N8</f>
        <v>0</v>
      </c>
      <c r="P24" s="983">
        <f>+landbouw!O8</f>
        <v>0</v>
      </c>
      <c r="Q24" s="984">
        <f>+landbouw!P8</f>
        <v>0</v>
      </c>
      <c r="R24" s="667">
        <f>SUM(C24:Q24)</f>
        <v>15174.358513128725</v>
      </c>
      <c r="S24" s="67"/>
    </row>
    <row r="25" spans="1:19" s="440" customFormat="1" ht="15" thickBot="1">
      <c r="A25" s="798" t="s">
        <v>829</v>
      </c>
      <c r="B25" s="986"/>
      <c r="C25" s="987">
        <f>IF(Onbekend_ele_kWh="---",0,Onbekend_ele_kWh)/1000+IF(REST_rest_ele_kWh="---",0,REST_rest_ele_kWh)/1000</f>
        <v>1531.7180000000001</v>
      </c>
      <c r="D25" s="987"/>
      <c r="E25" s="987">
        <f>IF(onbekend_gas_kWh="---",0,onbekend_gas_kWh)/1000+IF(REST_rest_gas_kWh="---",0,REST_rest_gas_kWh)/1000</f>
        <v>1100.8249251029899</v>
      </c>
      <c r="F25" s="987"/>
      <c r="G25" s="987"/>
      <c r="H25" s="987"/>
      <c r="I25" s="987"/>
      <c r="J25" s="987"/>
      <c r="K25" s="987"/>
      <c r="L25" s="987"/>
      <c r="M25" s="987"/>
      <c r="N25" s="987"/>
      <c r="O25" s="987"/>
      <c r="P25" s="987"/>
      <c r="Q25" s="988"/>
      <c r="R25" s="667">
        <f>SUM(C25:Q25)</f>
        <v>2632.54292510299</v>
      </c>
      <c r="S25" s="67"/>
    </row>
    <row r="26" spans="1:19" s="440" customFormat="1" ht="15.75" thickBot="1">
      <c r="A26" s="672" t="s">
        <v>830</v>
      </c>
      <c r="B26" s="784"/>
      <c r="C26" s="779">
        <f>SUM(C24:C25)</f>
        <v>4819.0218999999997</v>
      </c>
      <c r="D26" s="779">
        <f t="shared" ref="D26:R26" si="2">SUM(D24:D25)</f>
        <v>0</v>
      </c>
      <c r="E26" s="779">
        <f t="shared" si="2"/>
        <v>4112.9345533215865</v>
      </c>
      <c r="F26" s="779">
        <f t="shared" si="2"/>
        <v>30.448385571235963</v>
      </c>
      <c r="G26" s="779">
        <f t="shared" si="2"/>
        <v>8340.5162250502981</v>
      </c>
      <c r="H26" s="779">
        <f t="shared" si="2"/>
        <v>0</v>
      </c>
      <c r="I26" s="779">
        <f t="shared" si="2"/>
        <v>0</v>
      </c>
      <c r="J26" s="779">
        <f t="shared" si="2"/>
        <v>0</v>
      </c>
      <c r="K26" s="779">
        <f t="shared" si="2"/>
        <v>503.98037428859681</v>
      </c>
      <c r="L26" s="779">
        <f t="shared" si="2"/>
        <v>0</v>
      </c>
      <c r="M26" s="779">
        <f t="shared" si="2"/>
        <v>0</v>
      </c>
      <c r="N26" s="779">
        <f t="shared" si="2"/>
        <v>0</v>
      </c>
      <c r="O26" s="779">
        <f t="shared" si="2"/>
        <v>0</v>
      </c>
      <c r="P26" s="779">
        <f t="shared" si="2"/>
        <v>0</v>
      </c>
      <c r="Q26" s="779">
        <f t="shared" si="2"/>
        <v>0</v>
      </c>
      <c r="R26" s="779">
        <f t="shared" si="2"/>
        <v>17806.901438231715</v>
      </c>
      <c r="S26" s="67"/>
    </row>
    <row r="27" spans="1:19" s="440" customFormat="1" ht="17.25" thickTop="1" thickBot="1">
      <c r="A27" s="673" t="s">
        <v>109</v>
      </c>
      <c r="B27" s="772"/>
      <c r="C27" s="674">
        <f ca="1">C22+C16+C26</f>
        <v>93864.765857127582</v>
      </c>
      <c r="D27" s="674">
        <f t="shared" ref="D27:R27" ca="1" si="3">D22+D16+D26</f>
        <v>0</v>
      </c>
      <c r="E27" s="674">
        <f t="shared" ca="1" si="3"/>
        <v>110099.38620809418</v>
      </c>
      <c r="F27" s="674">
        <f t="shared" si="3"/>
        <v>3301.1710312277401</v>
      </c>
      <c r="G27" s="674">
        <f t="shared" ca="1" si="3"/>
        <v>122070.3009696964</v>
      </c>
      <c r="H27" s="674">
        <f t="shared" si="3"/>
        <v>102865.14983425687</v>
      </c>
      <c r="I27" s="674">
        <f t="shared" si="3"/>
        <v>20062.914844457897</v>
      </c>
      <c r="J27" s="674">
        <f t="shared" si="3"/>
        <v>0</v>
      </c>
      <c r="K27" s="674">
        <f t="shared" si="3"/>
        <v>2537.8885335225405</v>
      </c>
      <c r="L27" s="674">
        <f t="shared" si="3"/>
        <v>0</v>
      </c>
      <c r="M27" s="674">
        <f t="shared" ca="1" si="3"/>
        <v>0</v>
      </c>
      <c r="N27" s="674">
        <f t="shared" si="3"/>
        <v>6574.8360948648215</v>
      </c>
      <c r="O27" s="674">
        <f t="shared" ca="1" si="3"/>
        <v>24734.795697951762</v>
      </c>
      <c r="P27" s="674">
        <f t="shared" si="3"/>
        <v>215.74</v>
      </c>
      <c r="Q27" s="674">
        <f t="shared" si="3"/>
        <v>838.93333333333339</v>
      </c>
      <c r="R27" s="674">
        <f t="shared" ca="1" si="3"/>
        <v>487165.8824045331</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4526.1358021583028</v>
      </c>
      <c r="D40" s="983">
        <f ca="1">tertiair!C20</f>
        <v>0</v>
      </c>
      <c r="E40" s="983">
        <f ca="1">tertiair!D20</f>
        <v>4379.8148055149722</v>
      </c>
      <c r="F40" s="983">
        <f>tertiair!E20</f>
        <v>49.301980670444351</v>
      </c>
      <c r="G40" s="983">
        <f ca="1">tertiair!F20</f>
        <v>824.25970935376256</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9779.5122976974835</v>
      </c>
    </row>
    <row r="41" spans="1:18">
      <c r="A41" s="789" t="s">
        <v>214</v>
      </c>
      <c r="B41" s="796"/>
      <c r="C41" s="983">
        <f ca="1">huishoudens!B12</f>
        <v>7315.7886956697894</v>
      </c>
      <c r="D41" s="983">
        <f ca="1">huishoudens!C12</f>
        <v>0</v>
      </c>
      <c r="E41" s="983">
        <f>huishoudens!D12</f>
        <v>10297.110297402958</v>
      </c>
      <c r="F41" s="983">
        <f>huishoudens!E12</f>
        <v>434.57183191900162</v>
      </c>
      <c r="G41" s="983">
        <f>huishoudens!F12</f>
        <v>16125.136269536935</v>
      </c>
      <c r="H41" s="983">
        <f>huishoudens!G12</f>
        <v>0</v>
      </c>
      <c r="I41" s="983">
        <f>huishoudens!H12</f>
        <v>0</v>
      </c>
      <c r="J41" s="983">
        <f>huishoudens!I12</f>
        <v>0</v>
      </c>
      <c r="K41" s="983">
        <f>huishoudens!J12</f>
        <v>498.56666406049999</v>
      </c>
      <c r="L41" s="983">
        <f>huishoudens!K12</f>
        <v>0</v>
      </c>
      <c r="M41" s="983">
        <f>huishoudens!L12</f>
        <v>0</v>
      </c>
      <c r="N41" s="983">
        <f>huishoudens!M12</f>
        <v>0</v>
      </c>
      <c r="O41" s="983">
        <f>huishoudens!N12</f>
        <v>0</v>
      </c>
      <c r="P41" s="983">
        <f>huishoudens!O12</f>
        <v>0</v>
      </c>
      <c r="Q41" s="741">
        <f>huishoudens!P12</f>
        <v>0</v>
      </c>
      <c r="R41" s="817">
        <f t="shared" ca="1" si="4"/>
        <v>34671.173758589182</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6575.9189197586611</v>
      </c>
      <c r="D43" s="983">
        <f ca="1">industrie!C22</f>
        <v>0</v>
      </c>
      <c r="E43" s="983">
        <f>industrie!D22</f>
        <v>6725.2988641105394</v>
      </c>
      <c r="F43" s="983">
        <f>industrie!E22</f>
        <v>178.66937874822719</v>
      </c>
      <c r="G43" s="983">
        <f>industrie!F22</f>
        <v>13416.456547929811</v>
      </c>
      <c r="H43" s="983">
        <f>industrie!G22</f>
        <v>0</v>
      </c>
      <c r="I43" s="983">
        <f>industrie!H22</f>
        <v>0</v>
      </c>
      <c r="J43" s="983">
        <f>industrie!I22</f>
        <v>0</v>
      </c>
      <c r="K43" s="983">
        <f>industrie!J22</f>
        <v>221.43682430831598</v>
      </c>
      <c r="L43" s="983">
        <f>industrie!K22</f>
        <v>0</v>
      </c>
      <c r="M43" s="983">
        <f>industrie!L22</f>
        <v>0</v>
      </c>
      <c r="N43" s="983">
        <f>industrie!M22</f>
        <v>0</v>
      </c>
      <c r="O43" s="983">
        <f>industrie!N22</f>
        <v>0</v>
      </c>
      <c r="P43" s="983">
        <f>industrie!O22</f>
        <v>0</v>
      </c>
      <c r="Q43" s="741">
        <f>industrie!P22</f>
        <v>0</v>
      </c>
      <c r="R43" s="816">
        <f t="shared" ca="1" si="4"/>
        <v>27117.780534855556</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18417.843417586751</v>
      </c>
      <c r="D46" s="699">
        <f t="shared" ref="D46:Q46" ca="1" si="5">SUM(D39:D45)</f>
        <v>0</v>
      </c>
      <c r="E46" s="699">
        <f t="shared" ca="1" si="5"/>
        <v>21402.223967028469</v>
      </c>
      <c r="F46" s="699">
        <f t="shared" si="5"/>
        <v>662.54319133767308</v>
      </c>
      <c r="G46" s="699">
        <f t="shared" ca="1" si="5"/>
        <v>30365.852526820509</v>
      </c>
      <c r="H46" s="699">
        <f t="shared" si="5"/>
        <v>0</v>
      </c>
      <c r="I46" s="699">
        <f t="shared" si="5"/>
        <v>0</v>
      </c>
      <c r="J46" s="699">
        <f t="shared" si="5"/>
        <v>0</v>
      </c>
      <c r="K46" s="699">
        <f t="shared" si="5"/>
        <v>720.00348836881597</v>
      </c>
      <c r="L46" s="699">
        <f t="shared" si="5"/>
        <v>0</v>
      </c>
      <c r="M46" s="699">
        <f t="shared" ca="1" si="5"/>
        <v>0</v>
      </c>
      <c r="N46" s="699">
        <f t="shared" si="5"/>
        <v>0</v>
      </c>
      <c r="O46" s="699">
        <f t="shared" ca="1" si="5"/>
        <v>0</v>
      </c>
      <c r="P46" s="699">
        <f t="shared" si="5"/>
        <v>0</v>
      </c>
      <c r="Q46" s="699">
        <f t="shared" si="5"/>
        <v>0</v>
      </c>
      <c r="R46" s="699">
        <f ca="1">SUM(R39:R45)</f>
        <v>71568.46659114222</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2.5854814435416307</v>
      </c>
      <c r="D49" s="983">
        <f ca="1">transport!C58</f>
        <v>0</v>
      </c>
      <c r="E49" s="983">
        <f>transport!D58</f>
        <v>0</v>
      </c>
      <c r="F49" s="983">
        <f>transport!E58</f>
        <v>0</v>
      </c>
      <c r="G49" s="983">
        <f>transport!F58</f>
        <v>0</v>
      </c>
      <c r="H49" s="983">
        <f>transport!G58</f>
        <v>632.19439636479751</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634.77987780833917</v>
      </c>
    </row>
    <row r="50" spans="1:18">
      <c r="A50" s="792" t="s">
        <v>296</v>
      </c>
      <c r="B50" s="802"/>
      <c r="C50" s="670">
        <f ca="1">transport!B18</f>
        <v>4.0063374971091061</v>
      </c>
      <c r="D50" s="670">
        <f>transport!C18</f>
        <v>0</v>
      </c>
      <c r="E50" s="670">
        <f>transport!D18</f>
        <v>7.0392672355941626</v>
      </c>
      <c r="F50" s="670">
        <f>transport!E18</f>
        <v>79.910849226353193</v>
      </c>
      <c r="G50" s="670">
        <f>transport!F18</f>
        <v>0</v>
      </c>
      <c r="H50" s="670">
        <f>transport!G18</f>
        <v>26832.800609381789</v>
      </c>
      <c r="I50" s="670">
        <f>transport!H18</f>
        <v>4995.6657962700165</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31919.422859610862</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6.5918189406507368</v>
      </c>
      <c r="D52" s="699">
        <f t="shared" ref="D52:Q52" ca="1" si="6">SUM(D48:D51)</f>
        <v>0</v>
      </c>
      <c r="E52" s="699">
        <f t="shared" si="6"/>
        <v>7.0392672355941626</v>
      </c>
      <c r="F52" s="699">
        <f t="shared" si="6"/>
        <v>79.910849226353193</v>
      </c>
      <c r="G52" s="699">
        <f t="shared" si="6"/>
        <v>0</v>
      </c>
      <c r="H52" s="699">
        <f t="shared" si="6"/>
        <v>27464.995005746587</v>
      </c>
      <c r="I52" s="699">
        <f t="shared" si="6"/>
        <v>4995.6657962700165</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32554.2027374192</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680.17532469036041</v>
      </c>
      <c r="D54" s="670">
        <f ca="1">+landbouw!C12</f>
        <v>0</v>
      </c>
      <c r="E54" s="670">
        <f>+landbouw!D12</f>
        <v>608.44614490015658</v>
      </c>
      <c r="F54" s="670">
        <f>+landbouw!E12</f>
        <v>6.9117835246705637</v>
      </c>
      <c r="G54" s="670">
        <f>+landbouw!F12</f>
        <v>2226.9178320884298</v>
      </c>
      <c r="H54" s="670">
        <f>+landbouw!G12</f>
        <v>0</v>
      </c>
      <c r="I54" s="670">
        <f>+landbouw!H12</f>
        <v>0</v>
      </c>
      <c r="J54" s="670">
        <f>+landbouw!I12</f>
        <v>0</v>
      </c>
      <c r="K54" s="670">
        <f>+landbouw!J12</f>
        <v>178.40905249816325</v>
      </c>
      <c r="L54" s="670">
        <f>+landbouw!K12</f>
        <v>0</v>
      </c>
      <c r="M54" s="670">
        <f>+landbouw!L12</f>
        <v>0</v>
      </c>
      <c r="N54" s="670">
        <f>+landbouw!M12</f>
        <v>0</v>
      </c>
      <c r="O54" s="670">
        <f>+landbouw!N12</f>
        <v>0</v>
      </c>
      <c r="P54" s="670">
        <f>+landbouw!O12</f>
        <v>0</v>
      </c>
      <c r="Q54" s="671">
        <f>+landbouw!P12</f>
        <v>0</v>
      </c>
      <c r="R54" s="698">
        <f ca="1">SUM(C54:Q54)</f>
        <v>3700.8601377017808</v>
      </c>
    </row>
    <row r="55" spans="1:18" ht="15" thickBot="1">
      <c r="A55" s="792" t="s">
        <v>829</v>
      </c>
      <c r="B55" s="802"/>
      <c r="C55" s="670">
        <f ca="1">C25*'EF ele_warmte'!B12</f>
        <v>316.9274334460132</v>
      </c>
      <c r="D55" s="670"/>
      <c r="E55" s="670">
        <f>E25*EF_CO2_aardgas</f>
        <v>222.36663487080398</v>
      </c>
      <c r="F55" s="670"/>
      <c r="G55" s="670"/>
      <c r="H55" s="670"/>
      <c r="I55" s="670"/>
      <c r="J55" s="670"/>
      <c r="K55" s="670"/>
      <c r="L55" s="670"/>
      <c r="M55" s="670"/>
      <c r="N55" s="670"/>
      <c r="O55" s="670"/>
      <c r="P55" s="670"/>
      <c r="Q55" s="671"/>
      <c r="R55" s="698">
        <f ca="1">SUM(C55:Q55)</f>
        <v>539.29406831681717</v>
      </c>
    </row>
    <row r="56" spans="1:18" ht="15.75" thickBot="1">
      <c r="A56" s="790" t="s">
        <v>830</v>
      </c>
      <c r="B56" s="803"/>
      <c r="C56" s="699">
        <f ca="1">SUM(C54:C55)</f>
        <v>997.10275813637361</v>
      </c>
      <c r="D56" s="699">
        <f t="shared" ref="D56:Q56" ca="1" si="7">SUM(D54:D55)</f>
        <v>0</v>
      </c>
      <c r="E56" s="699">
        <f t="shared" si="7"/>
        <v>830.81277977096056</v>
      </c>
      <c r="F56" s="699">
        <f t="shared" si="7"/>
        <v>6.9117835246705637</v>
      </c>
      <c r="G56" s="699">
        <f t="shared" si="7"/>
        <v>2226.9178320884298</v>
      </c>
      <c r="H56" s="699">
        <f t="shared" si="7"/>
        <v>0</v>
      </c>
      <c r="I56" s="699">
        <f t="shared" si="7"/>
        <v>0</v>
      </c>
      <c r="J56" s="699">
        <f t="shared" si="7"/>
        <v>0</v>
      </c>
      <c r="K56" s="699">
        <f t="shared" si="7"/>
        <v>178.40905249816325</v>
      </c>
      <c r="L56" s="699">
        <f t="shared" si="7"/>
        <v>0</v>
      </c>
      <c r="M56" s="699">
        <f t="shared" si="7"/>
        <v>0</v>
      </c>
      <c r="N56" s="699">
        <f t="shared" si="7"/>
        <v>0</v>
      </c>
      <c r="O56" s="699">
        <f t="shared" si="7"/>
        <v>0</v>
      </c>
      <c r="P56" s="699">
        <f t="shared" si="7"/>
        <v>0</v>
      </c>
      <c r="Q56" s="700">
        <f t="shared" si="7"/>
        <v>0</v>
      </c>
      <c r="R56" s="701">
        <f ca="1">SUM(R54:R55)</f>
        <v>4240.1542060185984</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19421.537994663777</v>
      </c>
      <c r="D61" s="707">
        <f t="shared" ref="D61:Q61" ca="1" si="8">D46+D52+D56</f>
        <v>0</v>
      </c>
      <c r="E61" s="707">
        <f t="shared" ca="1" si="8"/>
        <v>22240.076014035025</v>
      </c>
      <c r="F61" s="707">
        <f t="shared" si="8"/>
        <v>749.36582408869685</v>
      </c>
      <c r="G61" s="707">
        <f t="shared" ca="1" si="8"/>
        <v>32592.77035890894</v>
      </c>
      <c r="H61" s="707">
        <f t="shared" si="8"/>
        <v>27464.995005746587</v>
      </c>
      <c r="I61" s="707">
        <f t="shared" si="8"/>
        <v>4995.6657962700165</v>
      </c>
      <c r="J61" s="707">
        <f t="shared" si="8"/>
        <v>0</v>
      </c>
      <c r="K61" s="707">
        <f t="shared" si="8"/>
        <v>898.41254086697927</v>
      </c>
      <c r="L61" s="707">
        <f t="shared" si="8"/>
        <v>0</v>
      </c>
      <c r="M61" s="707">
        <f t="shared" ca="1" si="8"/>
        <v>0</v>
      </c>
      <c r="N61" s="707">
        <f t="shared" si="8"/>
        <v>0</v>
      </c>
      <c r="O61" s="707">
        <f t="shared" ca="1" si="8"/>
        <v>0</v>
      </c>
      <c r="P61" s="707">
        <f t="shared" si="8"/>
        <v>0</v>
      </c>
      <c r="Q61" s="707">
        <f t="shared" si="8"/>
        <v>0</v>
      </c>
      <c r="R61" s="707">
        <f ca="1">R46+R52+R56</f>
        <v>108362.82353458002</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0.2069097793758467</v>
      </c>
      <c r="D63" s="748">
        <f t="shared" ca="1" si="9"/>
        <v>0</v>
      </c>
      <c r="E63" s="994">
        <f t="shared" ca="1" si="9"/>
        <v>0.20200000000000001</v>
      </c>
      <c r="F63" s="748">
        <f t="shared" si="9"/>
        <v>0.22699999999999995</v>
      </c>
      <c r="G63" s="748">
        <f t="shared" ca="1" si="9"/>
        <v>0.26700000000000002</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5984.5034378344753</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5984.5034378344753</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35357.384835739605</v>
      </c>
      <c r="C4" s="444">
        <f>huishoudens!C8</f>
        <v>0</v>
      </c>
      <c r="D4" s="444">
        <f>huishoudens!D8</f>
        <v>50975.793551499788</v>
      </c>
      <c r="E4" s="444">
        <f>huishoudens!E8</f>
        <v>1914.4133564713727</v>
      </c>
      <c r="F4" s="444">
        <f>huishoudens!F8</f>
        <v>60393.768799763799</v>
      </c>
      <c r="G4" s="444">
        <f>huishoudens!G8</f>
        <v>0</v>
      </c>
      <c r="H4" s="444">
        <f>huishoudens!H8</f>
        <v>0</v>
      </c>
      <c r="I4" s="444">
        <f>huishoudens!I8</f>
        <v>0</v>
      </c>
      <c r="J4" s="444">
        <f>huishoudens!J8</f>
        <v>1408.380406950565</v>
      </c>
      <c r="K4" s="444">
        <f>huishoudens!K8</f>
        <v>0</v>
      </c>
      <c r="L4" s="444">
        <f>huishoudens!L8</f>
        <v>0</v>
      </c>
      <c r="M4" s="444">
        <f>huishoudens!M8</f>
        <v>0</v>
      </c>
      <c r="N4" s="444">
        <f>huishoudens!N8</f>
        <v>8879.1669773962549</v>
      </c>
      <c r="O4" s="444">
        <f>huishoudens!O8</f>
        <v>214.17666666666668</v>
      </c>
      <c r="P4" s="445">
        <f>huishoudens!P8</f>
        <v>762.66666666666674</v>
      </c>
      <c r="Q4" s="446">
        <f>SUM(B4:P4)</f>
        <v>159905.75126115471</v>
      </c>
    </row>
    <row r="5" spans="1:17">
      <c r="A5" s="443" t="s">
        <v>149</v>
      </c>
      <c r="B5" s="444">
        <f ca="1">tertiair!B16</f>
        <v>20599.050499999998</v>
      </c>
      <c r="C5" s="444">
        <f ca="1">tertiair!C16</f>
        <v>0</v>
      </c>
      <c r="D5" s="444">
        <f ca="1">tertiair!D16</f>
        <v>21682.251512450355</v>
      </c>
      <c r="E5" s="444">
        <f>tertiair!E16</f>
        <v>217.1893421605478</v>
      </c>
      <c r="F5" s="444">
        <f ca="1">tertiair!F16</f>
        <v>3087.1150163062266</v>
      </c>
      <c r="G5" s="444">
        <f>tertiair!G16</f>
        <v>0</v>
      </c>
      <c r="H5" s="444">
        <f>tertiair!H16</f>
        <v>0</v>
      </c>
      <c r="I5" s="444">
        <f>tertiair!I16</f>
        <v>0</v>
      </c>
      <c r="J5" s="444">
        <f>tertiair!J16</f>
        <v>0</v>
      </c>
      <c r="K5" s="444">
        <f>tertiair!K16</f>
        <v>0</v>
      </c>
      <c r="L5" s="444">
        <f ca="1">tertiair!L16</f>
        <v>0</v>
      </c>
      <c r="M5" s="444">
        <f>tertiair!M16</f>
        <v>0</v>
      </c>
      <c r="N5" s="444">
        <f ca="1">tertiair!N16</f>
        <v>2103.970696495111</v>
      </c>
      <c r="O5" s="444">
        <f>tertiair!O16</f>
        <v>1.5633333333333335</v>
      </c>
      <c r="P5" s="445">
        <f>tertiair!P16</f>
        <v>76.266666666666666</v>
      </c>
      <c r="Q5" s="443">
        <f t="shared" ref="Q5:Q14" ca="1" si="0">SUM(B5:P5)</f>
        <v>47767.407067412241</v>
      </c>
    </row>
    <row r="6" spans="1:17">
      <c r="A6" s="443" t="s">
        <v>187</v>
      </c>
      <c r="B6" s="444">
        <f>'openbare verlichting'!B8</f>
        <v>1275.874</v>
      </c>
      <c r="C6" s="444"/>
      <c r="D6" s="444"/>
      <c r="E6" s="444"/>
      <c r="F6" s="444"/>
      <c r="G6" s="444"/>
      <c r="H6" s="444"/>
      <c r="I6" s="444"/>
      <c r="J6" s="444"/>
      <c r="K6" s="444"/>
      <c r="L6" s="444"/>
      <c r="M6" s="444"/>
      <c r="N6" s="444"/>
      <c r="O6" s="444"/>
      <c r="P6" s="445"/>
      <c r="Q6" s="443">
        <f t="shared" si="0"/>
        <v>1275.874</v>
      </c>
    </row>
    <row r="7" spans="1:17">
      <c r="A7" s="443" t="s">
        <v>105</v>
      </c>
      <c r="B7" s="444">
        <f>landbouw!B8</f>
        <v>3287.3038999999999</v>
      </c>
      <c r="C7" s="444">
        <f>landbouw!C8</f>
        <v>0</v>
      </c>
      <c r="D7" s="444">
        <f>landbouw!D8</f>
        <v>3012.1096282185968</v>
      </c>
      <c r="E7" s="444">
        <f>landbouw!E8</f>
        <v>30.448385571235963</v>
      </c>
      <c r="F7" s="444">
        <f>landbouw!F8</f>
        <v>8340.5162250502981</v>
      </c>
      <c r="G7" s="444">
        <f>landbouw!G8</f>
        <v>0</v>
      </c>
      <c r="H7" s="444">
        <f>landbouw!H8</f>
        <v>0</v>
      </c>
      <c r="I7" s="444">
        <f>landbouw!I8</f>
        <v>0</v>
      </c>
      <c r="J7" s="444">
        <f>landbouw!J8</f>
        <v>503.98037428859681</v>
      </c>
      <c r="K7" s="444">
        <f>landbouw!K8</f>
        <v>0</v>
      </c>
      <c r="L7" s="444">
        <f>landbouw!L8</f>
        <v>0</v>
      </c>
      <c r="M7" s="444">
        <f>landbouw!M8</f>
        <v>0</v>
      </c>
      <c r="N7" s="444">
        <f>landbouw!N8</f>
        <v>0</v>
      </c>
      <c r="O7" s="444">
        <f>landbouw!O8</f>
        <v>0</v>
      </c>
      <c r="P7" s="445">
        <f>landbouw!P8</f>
        <v>0</v>
      </c>
      <c r="Q7" s="443">
        <f t="shared" si="0"/>
        <v>15174.358513128725</v>
      </c>
    </row>
    <row r="8" spans="1:17">
      <c r="A8" s="443" t="s">
        <v>637</v>
      </c>
      <c r="B8" s="444">
        <f>industrie!B18</f>
        <v>31781.576200000003</v>
      </c>
      <c r="C8" s="444">
        <f>industrie!C18</f>
        <v>0</v>
      </c>
      <c r="D8" s="444">
        <f>industrie!D18</f>
        <v>33293.558733220489</v>
      </c>
      <c r="E8" s="444">
        <f>industrie!E18</f>
        <v>787.08977422126509</v>
      </c>
      <c r="F8" s="444">
        <f>industrie!F18</f>
        <v>50248.900928576069</v>
      </c>
      <c r="G8" s="444">
        <f>industrie!G18</f>
        <v>0</v>
      </c>
      <c r="H8" s="444">
        <f>industrie!H18</f>
        <v>0</v>
      </c>
      <c r="I8" s="444">
        <f>industrie!I18</f>
        <v>0</v>
      </c>
      <c r="J8" s="444">
        <f>industrie!J18</f>
        <v>625.5277522833785</v>
      </c>
      <c r="K8" s="444">
        <f>industrie!K18</f>
        <v>0</v>
      </c>
      <c r="L8" s="444">
        <f>industrie!L18</f>
        <v>0</v>
      </c>
      <c r="M8" s="444">
        <f>industrie!M18</f>
        <v>0</v>
      </c>
      <c r="N8" s="444">
        <f>industrie!N18</f>
        <v>13751.658024060396</v>
      </c>
      <c r="O8" s="444">
        <f>industrie!O18</f>
        <v>0</v>
      </c>
      <c r="P8" s="445">
        <f>industrie!P18</f>
        <v>0</v>
      </c>
      <c r="Q8" s="443">
        <f t="shared" si="0"/>
        <v>130488.3114123616</v>
      </c>
    </row>
    <row r="9" spans="1:17" s="449" customFormat="1">
      <c r="A9" s="447" t="s">
        <v>558</v>
      </c>
      <c r="B9" s="448">
        <f>transport!B14</f>
        <v>19.362726639574099</v>
      </c>
      <c r="C9" s="448">
        <f>transport!C14</f>
        <v>0</v>
      </c>
      <c r="D9" s="448">
        <f>transport!D14</f>
        <v>34.847857601951297</v>
      </c>
      <c r="E9" s="448">
        <f>transport!E14</f>
        <v>352.03017280331801</v>
      </c>
      <c r="F9" s="448">
        <f>transport!F14</f>
        <v>0</v>
      </c>
      <c r="G9" s="448">
        <f>transport!G14</f>
        <v>100497.38055948235</v>
      </c>
      <c r="H9" s="448">
        <f>transport!H14</f>
        <v>20062.914844457897</v>
      </c>
      <c r="I9" s="448">
        <f>transport!I14</f>
        <v>0</v>
      </c>
      <c r="J9" s="448">
        <f>transport!J14</f>
        <v>0</v>
      </c>
      <c r="K9" s="448">
        <f>transport!K14</f>
        <v>0</v>
      </c>
      <c r="L9" s="448">
        <f>transport!L14</f>
        <v>0</v>
      </c>
      <c r="M9" s="448">
        <f>transport!M14</f>
        <v>6438.5282679705697</v>
      </c>
      <c r="N9" s="448">
        <f>transport!N14</f>
        <v>0</v>
      </c>
      <c r="O9" s="448">
        <f>transport!O14</f>
        <v>0</v>
      </c>
      <c r="P9" s="448">
        <f>transport!P14</f>
        <v>0</v>
      </c>
      <c r="Q9" s="447">
        <f>SUM(B9:P9)</f>
        <v>127405.06442895567</v>
      </c>
    </row>
    <row r="10" spans="1:17">
      <c r="A10" s="443" t="s">
        <v>548</v>
      </c>
      <c r="B10" s="444">
        <f>transport!B54</f>
        <v>12.495694748410925</v>
      </c>
      <c r="C10" s="444">
        <f>transport!C54</f>
        <v>0</v>
      </c>
      <c r="D10" s="444">
        <f>transport!D54</f>
        <v>0</v>
      </c>
      <c r="E10" s="444">
        <f>transport!E54</f>
        <v>0</v>
      </c>
      <c r="F10" s="444">
        <f>transport!F54</f>
        <v>0</v>
      </c>
      <c r="G10" s="444">
        <f>transport!G54</f>
        <v>2367.7692747745223</v>
      </c>
      <c r="H10" s="444">
        <f>transport!H54</f>
        <v>0</v>
      </c>
      <c r="I10" s="444">
        <f>transport!I54</f>
        <v>0</v>
      </c>
      <c r="J10" s="444">
        <f>transport!J54</f>
        <v>0</v>
      </c>
      <c r="K10" s="444">
        <f>transport!K54</f>
        <v>0</v>
      </c>
      <c r="L10" s="444">
        <f>transport!L54</f>
        <v>0</v>
      </c>
      <c r="M10" s="444">
        <f>transport!M54</f>
        <v>136.30782689425158</v>
      </c>
      <c r="N10" s="444">
        <f>transport!N54</f>
        <v>0</v>
      </c>
      <c r="O10" s="444">
        <f>transport!O54</f>
        <v>0</v>
      </c>
      <c r="P10" s="445">
        <f>transport!P54</f>
        <v>0</v>
      </c>
      <c r="Q10" s="443">
        <f t="shared" si="0"/>
        <v>2516.5727964171851</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1531.7180000000001</v>
      </c>
      <c r="C14" s="451"/>
      <c r="D14" s="451">
        <f>'SEAP template'!E25</f>
        <v>1100.8249251029899</v>
      </c>
      <c r="E14" s="451"/>
      <c r="F14" s="451"/>
      <c r="G14" s="451"/>
      <c r="H14" s="451"/>
      <c r="I14" s="451"/>
      <c r="J14" s="451"/>
      <c r="K14" s="451"/>
      <c r="L14" s="451"/>
      <c r="M14" s="451"/>
      <c r="N14" s="451"/>
      <c r="O14" s="451"/>
      <c r="P14" s="452"/>
      <c r="Q14" s="443">
        <f t="shared" si="0"/>
        <v>2632.54292510299</v>
      </c>
    </row>
    <row r="15" spans="1:17" s="453" customFormat="1">
      <c r="A15" s="1009" t="s">
        <v>552</v>
      </c>
      <c r="B15" s="949">
        <f ca="1">SUM(B4:B14)</f>
        <v>93864.765857127597</v>
      </c>
      <c r="C15" s="949">
        <f t="shared" ref="C15:Q15" ca="1" si="1">SUM(C4:C14)</f>
        <v>0</v>
      </c>
      <c r="D15" s="949">
        <f t="shared" ca="1" si="1"/>
        <v>110099.38620809418</v>
      </c>
      <c r="E15" s="949">
        <f t="shared" si="1"/>
        <v>3301.1710312277401</v>
      </c>
      <c r="F15" s="949">
        <f t="shared" ca="1" si="1"/>
        <v>122070.3009696964</v>
      </c>
      <c r="G15" s="949">
        <f t="shared" si="1"/>
        <v>102865.14983425687</v>
      </c>
      <c r="H15" s="949">
        <f t="shared" si="1"/>
        <v>20062.914844457897</v>
      </c>
      <c r="I15" s="949">
        <f t="shared" si="1"/>
        <v>0</v>
      </c>
      <c r="J15" s="949">
        <f t="shared" si="1"/>
        <v>2537.8885335225405</v>
      </c>
      <c r="K15" s="949">
        <f t="shared" si="1"/>
        <v>0</v>
      </c>
      <c r="L15" s="949">
        <f t="shared" ca="1" si="1"/>
        <v>0</v>
      </c>
      <c r="M15" s="949">
        <f t="shared" si="1"/>
        <v>6574.8360948648215</v>
      </c>
      <c r="N15" s="949">
        <f t="shared" ca="1" si="1"/>
        <v>24734.795697951762</v>
      </c>
      <c r="O15" s="949">
        <f t="shared" si="1"/>
        <v>215.74</v>
      </c>
      <c r="P15" s="949">
        <f t="shared" si="1"/>
        <v>838.93333333333339</v>
      </c>
      <c r="Q15" s="949">
        <f t="shared" ca="1" si="1"/>
        <v>487165.8824045331</v>
      </c>
    </row>
    <row r="17" spans="1:17">
      <c r="A17" s="454" t="s">
        <v>553</v>
      </c>
      <c r="B17" s="753">
        <f ca="1">huishoudens!B10</f>
        <v>0.2069097793758467</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7315.7886956697894</v>
      </c>
      <c r="C22" s="444">
        <f t="shared" ref="C22:C32" ca="1" si="3">C4*$C$17</f>
        <v>0</v>
      </c>
      <c r="D22" s="444">
        <f t="shared" ref="D22:D32" si="4">D4*$D$17</f>
        <v>10297.110297402958</v>
      </c>
      <c r="E22" s="444">
        <f t="shared" ref="E22:E32" si="5">E4*$E$17</f>
        <v>434.57183191900162</v>
      </c>
      <c r="F22" s="444">
        <f t="shared" ref="F22:F32" si="6">F4*$F$17</f>
        <v>16125.136269536935</v>
      </c>
      <c r="G22" s="444">
        <f t="shared" ref="G22:G32" si="7">G4*$G$17</f>
        <v>0</v>
      </c>
      <c r="H22" s="444">
        <f t="shared" ref="H22:H32" si="8">H4*$H$17</f>
        <v>0</v>
      </c>
      <c r="I22" s="444">
        <f t="shared" ref="I22:I32" si="9">I4*$I$17</f>
        <v>0</v>
      </c>
      <c r="J22" s="444">
        <f t="shared" ref="J22:J32" si="10">J4*$J$17</f>
        <v>498.56666406049999</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34671.173758589182</v>
      </c>
    </row>
    <row r="23" spans="1:17">
      <c r="A23" s="443" t="s">
        <v>149</v>
      </c>
      <c r="B23" s="444">
        <f t="shared" ca="1" si="2"/>
        <v>4262.1449943069238</v>
      </c>
      <c r="C23" s="444">
        <f t="shared" ca="1" si="3"/>
        <v>0</v>
      </c>
      <c r="D23" s="444">
        <f t="shared" ca="1" si="4"/>
        <v>4379.8148055149722</v>
      </c>
      <c r="E23" s="444">
        <f t="shared" si="5"/>
        <v>49.301980670444351</v>
      </c>
      <c r="F23" s="444">
        <f t="shared" ca="1" si="6"/>
        <v>824.25970935376256</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9515.5214898461036</v>
      </c>
    </row>
    <row r="24" spans="1:17">
      <c r="A24" s="443" t="s">
        <v>187</v>
      </c>
      <c r="B24" s="444">
        <f t="shared" ca="1" si="2"/>
        <v>263.99080785137903</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263.99080785137903</v>
      </c>
    </row>
    <row r="25" spans="1:17">
      <c r="A25" s="443" t="s">
        <v>105</v>
      </c>
      <c r="B25" s="444">
        <f t="shared" ca="1" si="2"/>
        <v>680.17532469036041</v>
      </c>
      <c r="C25" s="444">
        <f t="shared" ca="1" si="3"/>
        <v>0</v>
      </c>
      <c r="D25" s="444">
        <f t="shared" si="4"/>
        <v>608.44614490015658</v>
      </c>
      <c r="E25" s="444">
        <f t="shared" si="5"/>
        <v>6.9117835246705637</v>
      </c>
      <c r="F25" s="444">
        <f t="shared" si="6"/>
        <v>2226.9178320884298</v>
      </c>
      <c r="G25" s="444">
        <f t="shared" si="7"/>
        <v>0</v>
      </c>
      <c r="H25" s="444">
        <f t="shared" si="8"/>
        <v>0</v>
      </c>
      <c r="I25" s="444">
        <f t="shared" si="9"/>
        <v>0</v>
      </c>
      <c r="J25" s="444">
        <f t="shared" si="10"/>
        <v>178.40905249816325</v>
      </c>
      <c r="K25" s="444">
        <f t="shared" si="11"/>
        <v>0</v>
      </c>
      <c r="L25" s="444">
        <f t="shared" si="12"/>
        <v>0</v>
      </c>
      <c r="M25" s="444">
        <f t="shared" si="13"/>
        <v>0</v>
      </c>
      <c r="N25" s="444">
        <f t="shared" si="14"/>
        <v>0</v>
      </c>
      <c r="O25" s="444">
        <f t="shared" si="15"/>
        <v>0</v>
      </c>
      <c r="P25" s="445">
        <f t="shared" si="16"/>
        <v>0</v>
      </c>
      <c r="Q25" s="443">
        <f t="shared" ca="1" si="17"/>
        <v>3700.8601377017808</v>
      </c>
    </row>
    <row r="26" spans="1:17">
      <c r="A26" s="443" t="s">
        <v>637</v>
      </c>
      <c r="B26" s="444">
        <f t="shared" ca="1" si="2"/>
        <v>6575.9189197586611</v>
      </c>
      <c r="C26" s="444">
        <f t="shared" ca="1" si="3"/>
        <v>0</v>
      </c>
      <c r="D26" s="444">
        <f t="shared" si="4"/>
        <v>6725.2988641105394</v>
      </c>
      <c r="E26" s="444">
        <f t="shared" si="5"/>
        <v>178.66937874822719</v>
      </c>
      <c r="F26" s="444">
        <f t="shared" si="6"/>
        <v>13416.456547929811</v>
      </c>
      <c r="G26" s="444">
        <f t="shared" si="7"/>
        <v>0</v>
      </c>
      <c r="H26" s="444">
        <f t="shared" si="8"/>
        <v>0</v>
      </c>
      <c r="I26" s="444">
        <f t="shared" si="9"/>
        <v>0</v>
      </c>
      <c r="J26" s="444">
        <f t="shared" si="10"/>
        <v>221.43682430831598</v>
      </c>
      <c r="K26" s="444">
        <f t="shared" si="11"/>
        <v>0</v>
      </c>
      <c r="L26" s="444">
        <f t="shared" si="12"/>
        <v>0</v>
      </c>
      <c r="M26" s="444">
        <f t="shared" si="13"/>
        <v>0</v>
      </c>
      <c r="N26" s="444">
        <f t="shared" si="14"/>
        <v>0</v>
      </c>
      <c r="O26" s="444">
        <f t="shared" si="15"/>
        <v>0</v>
      </c>
      <c r="P26" s="445">
        <f t="shared" si="16"/>
        <v>0</v>
      </c>
      <c r="Q26" s="443">
        <f t="shared" ca="1" si="17"/>
        <v>27117.780534855556</v>
      </c>
    </row>
    <row r="27" spans="1:17" s="449" customFormat="1">
      <c r="A27" s="447" t="s">
        <v>558</v>
      </c>
      <c r="B27" s="747">
        <f t="shared" ca="1" si="2"/>
        <v>4.0063374971091061</v>
      </c>
      <c r="C27" s="448">
        <f t="shared" ca="1" si="3"/>
        <v>0</v>
      </c>
      <c r="D27" s="448">
        <f t="shared" si="4"/>
        <v>7.0392672355941626</v>
      </c>
      <c r="E27" s="448">
        <f t="shared" si="5"/>
        <v>79.910849226353193</v>
      </c>
      <c r="F27" s="448">
        <f t="shared" si="6"/>
        <v>0</v>
      </c>
      <c r="G27" s="448">
        <f t="shared" si="7"/>
        <v>26832.800609381789</v>
      </c>
      <c r="H27" s="448">
        <f t="shared" si="8"/>
        <v>4995.6657962700165</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31919.422859610862</v>
      </c>
    </row>
    <row r="28" spans="1:17">
      <c r="A28" s="443" t="s">
        <v>548</v>
      </c>
      <c r="B28" s="444">
        <f t="shared" ca="1" si="2"/>
        <v>2.5854814435416307</v>
      </c>
      <c r="C28" s="444">
        <f t="shared" ca="1" si="3"/>
        <v>0</v>
      </c>
      <c r="D28" s="444">
        <f t="shared" si="4"/>
        <v>0</v>
      </c>
      <c r="E28" s="444">
        <f t="shared" si="5"/>
        <v>0</v>
      </c>
      <c r="F28" s="444">
        <f t="shared" si="6"/>
        <v>0</v>
      </c>
      <c r="G28" s="444">
        <f t="shared" si="7"/>
        <v>632.19439636479751</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634.77987780833917</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316.9274334460132</v>
      </c>
      <c r="C32" s="444">
        <f t="shared" ca="1" si="3"/>
        <v>0</v>
      </c>
      <c r="D32" s="444">
        <f t="shared" si="4"/>
        <v>222.36663487080398</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539.29406831681717</v>
      </c>
    </row>
    <row r="33" spans="1:17" s="453" customFormat="1">
      <c r="A33" s="1009" t="s">
        <v>552</v>
      </c>
      <c r="B33" s="949">
        <f ca="1">SUM(B22:B32)</f>
        <v>19421.537994663777</v>
      </c>
      <c r="C33" s="949">
        <f t="shared" ref="C33:Q33" ca="1" si="18">SUM(C22:C32)</f>
        <v>0</v>
      </c>
      <c r="D33" s="949">
        <f t="shared" ca="1" si="18"/>
        <v>22240.076014035025</v>
      </c>
      <c r="E33" s="949">
        <f t="shared" si="18"/>
        <v>749.36582408869697</v>
      </c>
      <c r="F33" s="949">
        <f t="shared" ca="1" si="18"/>
        <v>32592.77035890894</v>
      </c>
      <c r="G33" s="949">
        <f t="shared" si="18"/>
        <v>27464.995005746587</v>
      </c>
      <c r="H33" s="949">
        <f t="shared" si="18"/>
        <v>4995.6657962700165</v>
      </c>
      <c r="I33" s="949">
        <f t="shared" si="18"/>
        <v>0</v>
      </c>
      <c r="J33" s="949">
        <f t="shared" si="18"/>
        <v>898.41254086697916</v>
      </c>
      <c r="K33" s="949">
        <f t="shared" si="18"/>
        <v>0</v>
      </c>
      <c r="L33" s="949">
        <f t="shared" ca="1" si="18"/>
        <v>0</v>
      </c>
      <c r="M33" s="949">
        <f t="shared" si="18"/>
        <v>0</v>
      </c>
      <c r="N33" s="949">
        <f t="shared" ca="1" si="18"/>
        <v>0</v>
      </c>
      <c r="O33" s="949">
        <f t="shared" si="18"/>
        <v>0</v>
      </c>
      <c r="P33" s="949">
        <f t="shared" si="18"/>
        <v>0</v>
      </c>
      <c r="Q33" s="949">
        <f t="shared" ca="1" si="18"/>
        <v>108362.82353458001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5984.5034378344753</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5984.5034378344753</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0.2069097793758467</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0.2069097793758467</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1</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1.5633333333333335</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2</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38.133333333333333</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0.2069097793758467</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0.2069097793758467</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7444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1937</v>
      </c>
      <c r="C14" s="324"/>
      <c r="D14" s="324"/>
      <c r="E14" s="324"/>
      <c r="F14" s="324"/>
    </row>
    <row r="15" spans="1:6">
      <c r="A15" s="1302" t="s">
        <v>177</v>
      </c>
      <c r="B15" s="1303">
        <v>14</v>
      </c>
      <c r="C15" s="324"/>
      <c r="D15" s="324"/>
      <c r="E15" s="324"/>
      <c r="F15" s="324"/>
    </row>
    <row r="16" spans="1:6">
      <c r="A16" s="1302" t="s">
        <v>6</v>
      </c>
      <c r="B16" s="1303">
        <v>718</v>
      </c>
      <c r="C16" s="324"/>
      <c r="D16" s="324"/>
      <c r="E16" s="324"/>
      <c r="F16" s="324"/>
    </row>
    <row r="17" spans="1:6">
      <c r="A17" s="1302" t="s">
        <v>7</v>
      </c>
      <c r="B17" s="1303">
        <v>368</v>
      </c>
      <c r="C17" s="324"/>
      <c r="D17" s="324"/>
      <c r="E17" s="324"/>
      <c r="F17" s="324"/>
    </row>
    <row r="18" spans="1:6">
      <c r="A18" s="1302" t="s">
        <v>8</v>
      </c>
      <c r="B18" s="1303">
        <v>656</v>
      </c>
      <c r="C18" s="324"/>
      <c r="D18" s="324"/>
      <c r="E18" s="324"/>
      <c r="F18" s="324"/>
    </row>
    <row r="19" spans="1:6">
      <c r="A19" s="1302" t="s">
        <v>9</v>
      </c>
      <c r="B19" s="1303">
        <v>569</v>
      </c>
      <c r="C19" s="324"/>
      <c r="D19" s="324"/>
      <c r="E19" s="324"/>
      <c r="F19" s="324"/>
    </row>
    <row r="20" spans="1:6">
      <c r="A20" s="1302" t="s">
        <v>10</v>
      </c>
      <c r="B20" s="1303">
        <v>506</v>
      </c>
      <c r="C20" s="324"/>
      <c r="D20" s="324"/>
      <c r="E20" s="324"/>
      <c r="F20" s="324"/>
    </row>
    <row r="21" spans="1:6">
      <c r="A21" s="1302" t="s">
        <v>11</v>
      </c>
      <c r="B21" s="1303">
        <v>752</v>
      </c>
      <c r="C21" s="324"/>
      <c r="D21" s="324"/>
      <c r="E21" s="324"/>
      <c r="F21" s="324"/>
    </row>
    <row r="22" spans="1:6">
      <c r="A22" s="1302" t="s">
        <v>12</v>
      </c>
      <c r="B22" s="1303">
        <v>5367</v>
      </c>
      <c r="C22" s="324"/>
      <c r="D22" s="324"/>
      <c r="E22" s="324"/>
      <c r="F22" s="324"/>
    </row>
    <row r="23" spans="1:6">
      <c r="A23" s="1302" t="s">
        <v>13</v>
      </c>
      <c r="B23" s="1303">
        <v>59</v>
      </c>
      <c r="C23" s="324"/>
      <c r="D23" s="324"/>
      <c r="E23" s="324"/>
      <c r="F23" s="324"/>
    </row>
    <row r="24" spans="1:6">
      <c r="A24" s="1302" t="s">
        <v>14</v>
      </c>
      <c r="B24" s="1303">
        <v>1</v>
      </c>
      <c r="C24" s="324"/>
      <c r="D24" s="324"/>
      <c r="E24" s="324"/>
      <c r="F24" s="324"/>
    </row>
    <row r="25" spans="1:6">
      <c r="A25" s="1302" t="s">
        <v>15</v>
      </c>
      <c r="B25" s="1303">
        <v>253</v>
      </c>
      <c r="C25" s="324"/>
      <c r="D25" s="324"/>
      <c r="E25" s="324"/>
      <c r="F25" s="324"/>
    </row>
    <row r="26" spans="1:6">
      <c r="A26" s="1302" t="s">
        <v>16</v>
      </c>
      <c r="B26" s="1303">
        <v>174</v>
      </c>
      <c r="C26" s="324"/>
      <c r="D26" s="324"/>
      <c r="E26" s="324"/>
      <c r="F26" s="324"/>
    </row>
    <row r="27" spans="1:6">
      <c r="A27" s="1302" t="s">
        <v>17</v>
      </c>
      <c r="B27" s="1303">
        <v>4</v>
      </c>
      <c r="C27" s="324"/>
      <c r="D27" s="324"/>
      <c r="E27" s="324"/>
      <c r="F27" s="324"/>
    </row>
    <row r="28" spans="1:6">
      <c r="A28" s="1302" t="s">
        <v>18</v>
      </c>
      <c r="B28" s="1304">
        <v>1903</v>
      </c>
      <c r="C28" s="324"/>
      <c r="D28" s="324"/>
      <c r="E28" s="324"/>
      <c r="F28" s="324"/>
    </row>
    <row r="29" spans="1:6">
      <c r="A29" s="1302" t="s">
        <v>918</v>
      </c>
      <c r="B29" s="1304">
        <v>263</v>
      </c>
      <c r="C29" s="324"/>
      <c r="D29" s="324"/>
      <c r="E29" s="324"/>
      <c r="F29" s="324"/>
    </row>
    <row r="30" spans="1:6">
      <c r="A30" s="1297" t="s">
        <v>919</v>
      </c>
      <c r="B30" s="1305">
        <v>87</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0</v>
      </c>
      <c r="F38" s="1303">
        <v>0</v>
      </c>
    </row>
    <row r="39" spans="1:6">
      <c r="A39" s="1302" t="s">
        <v>29</v>
      </c>
      <c r="B39" s="1302" t="s">
        <v>30</v>
      </c>
      <c r="C39" s="1303">
        <v>3790</v>
      </c>
      <c r="D39" s="1303">
        <v>56514183.538248099</v>
      </c>
      <c r="E39" s="1303">
        <v>7239</v>
      </c>
      <c r="F39" s="1303">
        <v>31579512</v>
      </c>
    </row>
    <row r="40" spans="1:6">
      <c r="A40" s="1302" t="s">
        <v>29</v>
      </c>
      <c r="B40" s="1302" t="s">
        <v>28</v>
      </c>
      <c r="C40" s="1303">
        <v>0</v>
      </c>
      <c r="D40" s="1303">
        <v>0</v>
      </c>
      <c r="E40" s="1303">
        <v>0</v>
      </c>
      <c r="F40" s="1303">
        <v>0</v>
      </c>
    </row>
    <row r="41" spans="1:6">
      <c r="A41" s="1302" t="s">
        <v>31</v>
      </c>
      <c r="B41" s="1302" t="s">
        <v>32</v>
      </c>
      <c r="C41" s="1303">
        <v>40</v>
      </c>
      <c r="D41" s="1303">
        <v>831567.912049404</v>
      </c>
      <c r="E41" s="1303">
        <v>135</v>
      </c>
      <c r="F41" s="1303">
        <v>1164000</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18</v>
      </c>
      <c r="F44" s="1303">
        <v>1152077</v>
      </c>
    </row>
    <row r="45" spans="1:6">
      <c r="A45" s="1302" t="s">
        <v>31</v>
      </c>
      <c r="B45" s="1302" t="s">
        <v>36</v>
      </c>
      <c r="C45" s="1303">
        <v>0</v>
      </c>
      <c r="D45" s="1303">
        <v>0</v>
      </c>
      <c r="E45" s="1303">
        <v>4</v>
      </c>
      <c r="F45" s="1303">
        <v>493889.2</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29</v>
      </c>
      <c r="D48" s="1303">
        <v>26012364.055869401</v>
      </c>
      <c r="E48" s="1303">
        <v>44</v>
      </c>
      <c r="F48" s="1303">
        <v>3475033</v>
      </c>
    </row>
    <row r="49" spans="1:6">
      <c r="A49" s="1302" t="s">
        <v>31</v>
      </c>
      <c r="B49" s="1302" t="s">
        <v>39</v>
      </c>
      <c r="C49" s="1303">
        <v>0</v>
      </c>
      <c r="D49" s="1303">
        <v>0</v>
      </c>
      <c r="E49" s="1303">
        <v>0</v>
      </c>
      <c r="F49" s="1303">
        <v>0</v>
      </c>
    </row>
    <row r="50" spans="1:6">
      <c r="A50" s="1302" t="s">
        <v>31</v>
      </c>
      <c r="B50" s="1302" t="s">
        <v>40</v>
      </c>
      <c r="C50" s="1303">
        <v>7</v>
      </c>
      <c r="D50" s="1303">
        <v>10066887.026782401</v>
      </c>
      <c r="E50" s="1303">
        <v>22</v>
      </c>
      <c r="F50" s="1303">
        <v>25496577</v>
      </c>
    </row>
    <row r="51" spans="1:6">
      <c r="A51" s="1302" t="s">
        <v>41</v>
      </c>
      <c r="B51" s="1302" t="s">
        <v>42</v>
      </c>
      <c r="C51" s="1303">
        <v>6</v>
      </c>
      <c r="D51" s="1303">
        <v>340604.56189829198</v>
      </c>
      <c r="E51" s="1303">
        <v>86</v>
      </c>
      <c r="F51" s="1303">
        <v>3184739</v>
      </c>
    </row>
    <row r="52" spans="1:6">
      <c r="A52" s="1302" t="s">
        <v>41</v>
      </c>
      <c r="B52" s="1302" t="s">
        <v>28</v>
      </c>
      <c r="C52" s="1303">
        <v>8</v>
      </c>
      <c r="D52" s="1303">
        <v>2998763.0968806399</v>
      </c>
      <c r="E52" s="1303">
        <v>10</v>
      </c>
      <c r="F52" s="1303">
        <v>102564.9</v>
      </c>
    </row>
    <row r="53" spans="1:6">
      <c r="A53" s="1302" t="s">
        <v>43</v>
      </c>
      <c r="B53" s="1302" t="s">
        <v>44</v>
      </c>
      <c r="C53" s="1303">
        <v>79</v>
      </c>
      <c r="D53" s="1303">
        <v>1100824.9251029899</v>
      </c>
      <c r="E53" s="1303">
        <v>307</v>
      </c>
      <c r="F53" s="1303">
        <v>1531718</v>
      </c>
    </row>
    <row r="54" spans="1:6">
      <c r="A54" s="1302" t="s">
        <v>45</v>
      </c>
      <c r="B54" s="1302" t="s">
        <v>46</v>
      </c>
      <c r="C54" s="1303">
        <v>0</v>
      </c>
      <c r="D54" s="1303">
        <v>0</v>
      </c>
      <c r="E54" s="1303">
        <v>1</v>
      </c>
      <c r="F54" s="1303">
        <v>1275874</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64</v>
      </c>
      <c r="D57" s="1303">
        <v>9363411.6726701893</v>
      </c>
      <c r="E57" s="1303">
        <v>73</v>
      </c>
      <c r="F57" s="1303">
        <v>2407763</v>
      </c>
    </row>
    <row r="58" spans="1:6">
      <c r="A58" s="1302" t="s">
        <v>48</v>
      </c>
      <c r="B58" s="1302" t="s">
        <v>50</v>
      </c>
      <c r="C58" s="1303">
        <v>17</v>
      </c>
      <c r="D58" s="1303">
        <v>431181.90409345803</v>
      </c>
      <c r="E58" s="1303">
        <v>32</v>
      </c>
      <c r="F58" s="1303">
        <v>841572.4</v>
      </c>
    </row>
    <row r="59" spans="1:6">
      <c r="A59" s="1302" t="s">
        <v>48</v>
      </c>
      <c r="B59" s="1302" t="s">
        <v>51</v>
      </c>
      <c r="C59" s="1303">
        <v>91</v>
      </c>
      <c r="D59" s="1303">
        <v>3640981.34958049</v>
      </c>
      <c r="E59" s="1303">
        <v>238</v>
      </c>
      <c r="F59" s="1303">
        <v>6789022</v>
      </c>
    </row>
    <row r="60" spans="1:6">
      <c r="A60" s="1302" t="s">
        <v>48</v>
      </c>
      <c r="B60" s="1302" t="s">
        <v>52</v>
      </c>
      <c r="C60" s="1303">
        <v>57</v>
      </c>
      <c r="D60" s="1303">
        <v>1796048.3726170899</v>
      </c>
      <c r="E60" s="1303">
        <v>89</v>
      </c>
      <c r="F60" s="1303">
        <v>2143708</v>
      </c>
    </row>
    <row r="61" spans="1:6">
      <c r="A61" s="1302" t="s">
        <v>48</v>
      </c>
      <c r="B61" s="1302" t="s">
        <v>53</v>
      </c>
      <c r="C61" s="1303">
        <v>92</v>
      </c>
      <c r="D61" s="1303">
        <v>3918056.0558973099</v>
      </c>
      <c r="E61" s="1303">
        <v>199</v>
      </c>
      <c r="F61" s="1303">
        <v>4681774</v>
      </c>
    </row>
    <row r="62" spans="1:6">
      <c r="A62" s="1302" t="s">
        <v>48</v>
      </c>
      <c r="B62" s="1302" t="s">
        <v>54</v>
      </c>
      <c r="C62" s="1303">
        <v>3</v>
      </c>
      <c r="D62" s="1303">
        <v>409877.57229406899</v>
      </c>
      <c r="E62" s="1303">
        <v>7</v>
      </c>
      <c r="F62" s="1303">
        <v>236308.1</v>
      </c>
    </row>
    <row r="63" spans="1:6">
      <c r="A63" s="1302" t="s">
        <v>48</v>
      </c>
      <c r="B63" s="1302" t="s">
        <v>28</v>
      </c>
      <c r="C63" s="1303">
        <v>102</v>
      </c>
      <c r="D63" s="1303">
        <v>4478415.92478792</v>
      </c>
      <c r="E63" s="1303">
        <v>120</v>
      </c>
      <c r="F63" s="1303">
        <v>3498903</v>
      </c>
    </row>
    <row r="64" spans="1:6">
      <c r="A64" s="1302" t="s">
        <v>55</v>
      </c>
      <c r="B64" s="1302" t="s">
        <v>56</v>
      </c>
      <c r="C64" s="1303">
        <v>0</v>
      </c>
      <c r="D64" s="1303">
        <v>0</v>
      </c>
      <c r="E64" s="1303">
        <v>0</v>
      </c>
      <c r="F64" s="1303">
        <v>0</v>
      </c>
    </row>
    <row r="65" spans="1:6">
      <c r="A65" s="1302" t="s">
        <v>55</v>
      </c>
      <c r="B65" s="1302" t="s">
        <v>28</v>
      </c>
      <c r="C65" s="1303">
        <v>3</v>
      </c>
      <c r="D65" s="1303">
        <v>58011.3284137624</v>
      </c>
      <c r="E65" s="1303">
        <v>5</v>
      </c>
      <c r="F65" s="1303">
        <v>458677.8</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10</v>
      </c>
      <c r="D68" s="1305">
        <v>426514.19127324398</v>
      </c>
      <c r="E68" s="1305">
        <v>28</v>
      </c>
      <c r="F68" s="1305">
        <v>7368175</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22051816</v>
      </c>
      <c r="E73" s="442"/>
      <c r="F73" s="324"/>
    </row>
    <row r="74" spans="1:6">
      <c r="A74" s="1302" t="s">
        <v>63</v>
      </c>
      <c r="B74" s="1302" t="s">
        <v>695</v>
      </c>
      <c r="C74" s="1315" t="s">
        <v>697</v>
      </c>
      <c r="D74" s="1303">
        <v>388057.71082172124</v>
      </c>
      <c r="E74" s="442"/>
      <c r="F74" s="324"/>
    </row>
    <row r="75" spans="1:6">
      <c r="A75" s="1302" t="s">
        <v>64</v>
      </c>
      <c r="B75" s="1302" t="s">
        <v>694</v>
      </c>
      <c r="C75" s="1315" t="s">
        <v>698</v>
      </c>
      <c r="D75" s="1303">
        <v>64716152</v>
      </c>
      <c r="E75" s="442"/>
      <c r="F75" s="324"/>
    </row>
    <row r="76" spans="1:6">
      <c r="A76" s="1302" t="s">
        <v>64</v>
      </c>
      <c r="B76" s="1302" t="s">
        <v>695</v>
      </c>
      <c r="C76" s="1315" t="s">
        <v>699</v>
      </c>
      <c r="D76" s="1303">
        <v>2682990.7108217212</v>
      </c>
      <c r="E76" s="442"/>
      <c r="F76" s="324"/>
    </row>
    <row r="77" spans="1:6">
      <c r="A77" s="1302" t="s">
        <v>65</v>
      </c>
      <c r="B77" s="1302" t="s">
        <v>694</v>
      </c>
      <c r="C77" s="1315" t="s">
        <v>700</v>
      </c>
      <c r="D77" s="1303">
        <v>43319828</v>
      </c>
      <c r="E77" s="442"/>
      <c r="F77" s="324"/>
    </row>
    <row r="78" spans="1:6">
      <c r="A78" s="1297" t="s">
        <v>65</v>
      </c>
      <c r="B78" s="1297" t="s">
        <v>695</v>
      </c>
      <c r="C78" s="1297" t="s">
        <v>701</v>
      </c>
      <c r="D78" s="1305">
        <v>6171155</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675908.57835655753</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3777.872835739603</v>
      </c>
      <c r="C91" s="324"/>
      <c r="D91" s="324"/>
      <c r="E91" s="324"/>
      <c r="F91" s="324"/>
    </row>
    <row r="92" spans="1:6">
      <c r="A92" s="1297" t="s">
        <v>68</v>
      </c>
      <c r="B92" s="1298">
        <v>2206.6306020948723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1612</v>
      </c>
      <c r="C97" s="324"/>
      <c r="D97" s="324"/>
      <c r="E97" s="324"/>
      <c r="F97" s="324"/>
    </row>
    <row r="98" spans="1:6">
      <c r="A98" s="1302" t="s">
        <v>71</v>
      </c>
      <c r="B98" s="1303">
        <v>5</v>
      </c>
      <c r="C98" s="324"/>
      <c r="D98" s="324"/>
      <c r="E98" s="324"/>
      <c r="F98" s="324"/>
    </row>
    <row r="99" spans="1:6">
      <c r="A99" s="1302" t="s">
        <v>72</v>
      </c>
      <c r="B99" s="1303">
        <v>61</v>
      </c>
      <c r="C99" s="324"/>
      <c r="D99" s="324"/>
      <c r="E99" s="324"/>
      <c r="F99" s="324"/>
    </row>
    <row r="100" spans="1:6">
      <c r="A100" s="1302" t="s">
        <v>73</v>
      </c>
      <c r="B100" s="1303">
        <v>656</v>
      </c>
      <c r="C100" s="324"/>
      <c r="D100" s="324"/>
      <c r="E100" s="324"/>
      <c r="F100" s="324"/>
    </row>
    <row r="101" spans="1:6">
      <c r="A101" s="1302" t="s">
        <v>74</v>
      </c>
      <c r="B101" s="1303">
        <v>65</v>
      </c>
      <c r="C101" s="324"/>
      <c r="D101" s="324"/>
      <c r="E101" s="324"/>
      <c r="F101" s="324"/>
    </row>
    <row r="102" spans="1:6">
      <c r="A102" s="1302" t="s">
        <v>75</v>
      </c>
      <c r="B102" s="1303">
        <v>94</v>
      </c>
      <c r="C102" s="324"/>
      <c r="D102" s="324"/>
      <c r="E102" s="324"/>
      <c r="F102" s="324"/>
    </row>
    <row r="103" spans="1:6">
      <c r="A103" s="1302" t="s">
        <v>76</v>
      </c>
      <c r="B103" s="1303">
        <v>151</v>
      </c>
      <c r="C103" s="324"/>
      <c r="D103" s="324"/>
      <c r="E103" s="324"/>
      <c r="F103" s="324"/>
    </row>
    <row r="104" spans="1:6">
      <c r="A104" s="1302" t="s">
        <v>77</v>
      </c>
      <c r="B104" s="1303">
        <v>3979</v>
      </c>
      <c r="C104" s="324"/>
      <c r="D104" s="324"/>
      <c r="E104" s="324"/>
      <c r="F104" s="324"/>
    </row>
    <row r="105" spans="1:6">
      <c r="A105" s="1297" t="s">
        <v>78</v>
      </c>
      <c r="B105" s="1305">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1</v>
      </c>
      <c r="C110" s="324"/>
      <c r="D110" s="324"/>
      <c r="E110" s="324"/>
      <c r="F110" s="324"/>
    </row>
    <row r="111" spans="1:6">
      <c r="A111" s="1320" t="s">
        <v>650</v>
      </c>
      <c r="B111" s="1321">
        <v>2</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24</v>
      </c>
      <c r="C123" s="1303">
        <v>24</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113</v>
      </c>
      <c r="C129" s="324"/>
      <c r="D129" s="324"/>
      <c r="E129" s="324"/>
      <c r="F129" s="324"/>
    </row>
    <row r="130" spans="1:6">
      <c r="A130" s="1302" t="s">
        <v>284</v>
      </c>
      <c r="B130" s="1303">
        <v>1</v>
      </c>
      <c r="C130" s="324"/>
      <c r="D130" s="324"/>
      <c r="E130" s="324"/>
      <c r="F130" s="324"/>
    </row>
    <row r="131" spans="1:6">
      <c r="A131" s="1302" t="s">
        <v>285</v>
      </c>
      <c r="B131" s="1303">
        <v>4</v>
      </c>
      <c r="C131" s="324"/>
      <c r="D131" s="324"/>
      <c r="E131" s="324"/>
      <c r="F131" s="324"/>
    </row>
    <row r="132" spans="1:6">
      <c r="A132" s="1297" t="s">
        <v>286</v>
      </c>
      <c r="B132" s="1298">
        <v>16</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93864.765857127582</v>
      </c>
      <c r="C3" s="43" t="s">
        <v>163</v>
      </c>
      <c r="D3" s="43"/>
      <c r="E3" s="154"/>
      <c r="F3" s="43"/>
      <c r="G3" s="43"/>
      <c r="H3" s="43"/>
      <c r="I3" s="43"/>
      <c r="J3" s="43"/>
      <c r="K3" s="96"/>
    </row>
    <row r="4" spans="1:11">
      <c r="A4" s="351" t="s">
        <v>164</v>
      </c>
      <c r="B4" s="49">
        <f>IF(ISERROR('SEAP template'!B78+'SEAP template'!C78),0,'SEAP template'!B78+'SEAP template'!C78)</f>
        <v>5984.5034378344753</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0.2069097793758467</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1275.874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1275.874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0.2069097793758467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263.99080785137903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31579.511999999999</v>
      </c>
      <c r="C5" s="17">
        <f>IF(ISERROR('Eigen informatie GS &amp; warmtenet'!B57),0,'Eigen informatie GS &amp; warmtenet'!B57)</f>
        <v>0</v>
      </c>
      <c r="D5" s="30">
        <f>(SUM(HH_hh_gas_kWh,HH_rest_gas_kWh)/1000)*0.902</f>
        <v>50975.793551499788</v>
      </c>
      <c r="E5" s="17">
        <f>B32*B41</f>
        <v>1914.4133564713727</v>
      </c>
      <c r="F5" s="17">
        <f>B36*B45</f>
        <v>60393.768799763799</v>
      </c>
      <c r="G5" s="18"/>
      <c r="H5" s="17"/>
      <c r="I5" s="17"/>
      <c r="J5" s="17">
        <f>B35*B44+C35*C44</f>
        <v>1408.380406950565</v>
      </c>
      <c r="K5" s="17"/>
      <c r="L5" s="17"/>
      <c r="M5" s="17"/>
      <c r="N5" s="17">
        <f>B34*B43+C34*C43</f>
        <v>8879.1669773962549</v>
      </c>
      <c r="O5" s="17">
        <f>B52*B53*B54</f>
        <v>214.17666666666668</v>
      </c>
      <c r="P5" s="17">
        <f>B60*B61*B62/1000-B60*B61*B62/1000/B63</f>
        <v>762.66666666666674</v>
      </c>
    </row>
    <row r="6" spans="1:16">
      <c r="A6" s="16" t="s">
        <v>618</v>
      </c>
      <c r="B6" s="755">
        <f>kWh_PV_kleiner_dan_10kW</f>
        <v>3777.872835739603</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35357.384835739605</v>
      </c>
      <c r="C8" s="21">
        <f>C5</f>
        <v>0</v>
      </c>
      <c r="D8" s="21">
        <f>D5</f>
        <v>50975.793551499788</v>
      </c>
      <c r="E8" s="21">
        <f>E5</f>
        <v>1914.4133564713727</v>
      </c>
      <c r="F8" s="21">
        <f>F5</f>
        <v>60393.768799763799</v>
      </c>
      <c r="G8" s="21"/>
      <c r="H8" s="21"/>
      <c r="I8" s="21"/>
      <c r="J8" s="21">
        <f>J5</f>
        <v>1408.380406950565</v>
      </c>
      <c r="K8" s="21"/>
      <c r="L8" s="21">
        <f>L5</f>
        <v>0</v>
      </c>
      <c r="M8" s="21">
        <f>M5</f>
        <v>0</v>
      </c>
      <c r="N8" s="21">
        <f>N5</f>
        <v>8879.1669773962549</v>
      </c>
      <c r="O8" s="21">
        <f>O5</f>
        <v>214.17666666666668</v>
      </c>
      <c r="P8" s="21">
        <f>P5</f>
        <v>762.66666666666674</v>
      </c>
    </row>
    <row r="9" spans="1:16">
      <c r="B9" s="19"/>
      <c r="C9" s="19"/>
      <c r="D9" s="254"/>
      <c r="E9" s="19"/>
      <c r="F9" s="19"/>
      <c r="G9" s="19"/>
      <c r="H9" s="19"/>
      <c r="I9" s="19"/>
      <c r="J9" s="19"/>
      <c r="K9" s="19"/>
      <c r="L9" s="19"/>
      <c r="M9" s="19"/>
      <c r="N9" s="19"/>
      <c r="O9" s="19"/>
      <c r="P9" s="19"/>
    </row>
    <row r="10" spans="1:16">
      <c r="A10" s="24" t="s">
        <v>207</v>
      </c>
      <c r="B10" s="25">
        <f ca="1">'EF ele_warmte'!B12</f>
        <v>0.2069097793758467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7315.7886956697894</v>
      </c>
      <c r="C12" s="23">
        <f ca="1">C10*C8</f>
        <v>0</v>
      </c>
      <c r="D12" s="23">
        <f>D8*D10</f>
        <v>10297.110297402958</v>
      </c>
      <c r="E12" s="23">
        <f>E10*E8</f>
        <v>434.57183191900162</v>
      </c>
      <c r="F12" s="23">
        <f>F10*F8</f>
        <v>16125.136269536935</v>
      </c>
      <c r="G12" s="23"/>
      <c r="H12" s="23"/>
      <c r="I12" s="23"/>
      <c r="J12" s="23">
        <f>J10*J8</f>
        <v>498.56666406049999</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7444</v>
      </c>
      <c r="C26" s="36"/>
      <c r="D26" s="225"/>
    </row>
    <row r="27" spans="1:5" s="15" customFormat="1">
      <c r="A27" s="227" t="s">
        <v>721</v>
      </c>
      <c r="B27" s="37">
        <f>SUM(HH_hh_gas_aantal,HH_rest_gas_aantal)</f>
        <v>3790</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3600.5</v>
      </c>
      <c r="C31" s="34" t="s">
        <v>104</v>
      </c>
      <c r="D31" s="171"/>
    </row>
    <row r="32" spans="1:5">
      <c r="A32" s="168" t="s">
        <v>72</v>
      </c>
      <c r="B32" s="33">
        <f>IF((B21*($B$26-($B$27-0.05*$B$27)-$B$60))&lt;0,0,B21*($B$26-($B$27-0.05*$B$27)-$B$60))</f>
        <v>23.981905980071488</v>
      </c>
      <c r="C32" s="34" t="s">
        <v>104</v>
      </c>
      <c r="D32" s="171"/>
    </row>
    <row r="33" spans="1:6">
      <c r="A33" s="168" t="s">
        <v>73</v>
      </c>
      <c r="B33" s="33">
        <f>IF((B22*($B$26-($B$27-0.05*$B$27)-$B$60))&lt;0,0,B22*($B$26-($B$27-0.05*$B$27)-$B$60))</f>
        <v>835.1370856436987</v>
      </c>
      <c r="C33" s="34" t="s">
        <v>104</v>
      </c>
      <c r="D33" s="171"/>
    </row>
    <row r="34" spans="1:6">
      <c r="A34" s="168" t="s">
        <v>74</v>
      </c>
      <c r="B34" s="33">
        <f>IF((B24*($B$26-($B$27-0.05*$B$27)-$B$60))&lt;0,0,B24*($B$26-($B$27-0.05*$B$27)-$B$60))</f>
        <v>165.77101691587291</v>
      </c>
      <c r="C34" s="33">
        <f>B26*C24</f>
        <v>1523.0400359679704</v>
      </c>
      <c r="D34" s="230"/>
    </row>
    <row r="35" spans="1:6">
      <c r="A35" s="168" t="s">
        <v>76</v>
      </c>
      <c r="B35" s="33">
        <f>IF((B19*($B$26-($B$27-0.05*$B$27)-$B$60))&lt;0,0,B19*($B$26-($B$27-0.05*$B$27)-$B$60))</f>
        <v>80.988569091254959</v>
      </c>
      <c r="C35" s="33">
        <f>B35/2</f>
        <v>40.49428454562748</v>
      </c>
      <c r="D35" s="230"/>
    </row>
    <row r="36" spans="1:6">
      <c r="A36" s="168" t="s">
        <v>77</v>
      </c>
      <c r="B36" s="33">
        <f>IF((B18*($B$26-($B$27-0.05*$B$27)-$B$60))&lt;0,0,B18*($B$26-($B$27-0.05*$B$27)-$B$60))</f>
        <v>2697.6214223691031</v>
      </c>
      <c r="C36" s="34" t="s">
        <v>104</v>
      </c>
      <c r="D36" s="171"/>
    </row>
    <row r="37" spans="1:6">
      <c r="A37" s="168" t="s">
        <v>78</v>
      </c>
      <c r="B37" s="33">
        <f>B60</f>
        <v>40</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137</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40</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20599.050499999998</v>
      </c>
      <c r="C5" s="17">
        <f>IF(ISERROR('Eigen informatie GS &amp; warmtenet'!B58),0,'Eigen informatie GS &amp; warmtenet'!B58)</f>
        <v>0</v>
      </c>
      <c r="D5" s="30">
        <f>SUM(D6:D12)</f>
        <v>21682.251512450355</v>
      </c>
      <c r="E5" s="17">
        <f>SUM(E6:E12)</f>
        <v>217.1893421605478</v>
      </c>
      <c r="F5" s="17">
        <f>SUM(F6:F12)</f>
        <v>3087.1150163062266</v>
      </c>
      <c r="G5" s="18"/>
      <c r="H5" s="17"/>
      <c r="I5" s="17"/>
      <c r="J5" s="17">
        <f>SUM(J6:J12)</f>
        <v>0</v>
      </c>
      <c r="K5" s="17"/>
      <c r="L5" s="17"/>
      <c r="M5" s="17"/>
      <c r="N5" s="17">
        <f>SUM(N6:N12)</f>
        <v>2103.970696495111</v>
      </c>
      <c r="O5" s="17">
        <f>B38*B39*B40</f>
        <v>1.5633333333333335</v>
      </c>
      <c r="P5" s="17">
        <f>B46*B47*B48/1000-B46*B47*B48/1000/B49</f>
        <v>76.266666666666666</v>
      </c>
      <c r="R5" s="32"/>
    </row>
    <row r="6" spans="1:18">
      <c r="A6" s="32" t="s">
        <v>53</v>
      </c>
      <c r="B6" s="37">
        <f>B26</f>
        <v>4681.7740000000003</v>
      </c>
      <c r="C6" s="33"/>
      <c r="D6" s="37">
        <f>IF(ISERROR(TER_kantoor_gas_kWh/1000),0,TER_kantoor_gas_kWh/1000)*0.902</f>
        <v>3534.0865624193734</v>
      </c>
      <c r="E6" s="33">
        <f>$C$26*'E Balans VL '!I12/100/3.6*1000000</f>
        <v>13.563786191645073</v>
      </c>
      <c r="F6" s="33">
        <f>$C$26*('E Balans VL '!L12+'E Balans VL '!N12)/100/3.6*1000000</f>
        <v>529.87366932151429</v>
      </c>
      <c r="G6" s="34"/>
      <c r="H6" s="33"/>
      <c r="I6" s="33"/>
      <c r="J6" s="33">
        <f>$C$26*('E Balans VL '!D12+'E Balans VL '!E12)/100/3.6*1000000</f>
        <v>0</v>
      </c>
      <c r="K6" s="33"/>
      <c r="L6" s="33"/>
      <c r="M6" s="33"/>
      <c r="N6" s="33">
        <f>$C$26*'E Balans VL '!Y12/100/3.6*1000000</f>
        <v>46.861108054892611</v>
      </c>
      <c r="O6" s="33"/>
      <c r="P6" s="33"/>
      <c r="R6" s="32"/>
    </row>
    <row r="7" spans="1:18">
      <c r="A7" s="32" t="s">
        <v>52</v>
      </c>
      <c r="B7" s="37">
        <f t="shared" ref="B7:B12" si="0">B27</f>
        <v>2143.7080000000001</v>
      </c>
      <c r="C7" s="33"/>
      <c r="D7" s="37">
        <f>IF(ISERROR(TER_horeca_gas_kWh/1000),0,TER_horeca_gas_kWh/1000)*0.902</f>
        <v>1620.0356321006152</v>
      </c>
      <c r="E7" s="33">
        <f>$C$27*'E Balans VL '!I9/100/3.6*1000000</f>
        <v>89.986872438221539</v>
      </c>
      <c r="F7" s="33">
        <f>$C$27*('E Balans VL '!L9+'E Balans VL '!N9)/100/3.6*1000000</f>
        <v>460.61962467290459</v>
      </c>
      <c r="G7" s="34"/>
      <c r="H7" s="33"/>
      <c r="I7" s="33"/>
      <c r="J7" s="33">
        <f>$C$27*('E Balans VL '!D9+'E Balans VL '!E9)/100/3.6*1000000</f>
        <v>0</v>
      </c>
      <c r="K7" s="33"/>
      <c r="L7" s="33"/>
      <c r="M7" s="33"/>
      <c r="N7" s="33">
        <f>$C$27*'E Balans VL '!Y9/100/3.6*1000000</f>
        <v>0.55241480419343436</v>
      </c>
      <c r="O7" s="33"/>
      <c r="P7" s="33"/>
      <c r="R7" s="32"/>
    </row>
    <row r="8" spans="1:18">
      <c r="A8" s="6" t="s">
        <v>51</v>
      </c>
      <c r="B8" s="37">
        <f t="shared" si="0"/>
        <v>6789.0219999999999</v>
      </c>
      <c r="C8" s="33"/>
      <c r="D8" s="37">
        <f>IF(ISERROR(TER_handel_gas_kWh/1000),0,TER_handel_gas_kWh/1000)*0.902</f>
        <v>3284.1651773216022</v>
      </c>
      <c r="E8" s="33">
        <f>$C$28*'E Balans VL '!I13/100/3.6*1000000</f>
        <v>72.919746622390619</v>
      </c>
      <c r="F8" s="33">
        <f>$C$28*('E Balans VL '!L13+'E Balans VL '!N13)/100/3.6*1000000</f>
        <v>878.89496048795752</v>
      </c>
      <c r="G8" s="34"/>
      <c r="H8" s="33"/>
      <c r="I8" s="33"/>
      <c r="J8" s="33">
        <f>$C$28*('E Balans VL '!D13+'E Balans VL '!E13)/100/3.6*1000000</f>
        <v>0</v>
      </c>
      <c r="K8" s="33"/>
      <c r="L8" s="33"/>
      <c r="M8" s="33"/>
      <c r="N8" s="33">
        <f>$C$28*'E Balans VL '!Y13/100/3.6*1000000</f>
        <v>55.072917160718916</v>
      </c>
      <c r="O8" s="33"/>
      <c r="P8" s="33"/>
      <c r="R8" s="32"/>
    </row>
    <row r="9" spans="1:18">
      <c r="A9" s="32" t="s">
        <v>50</v>
      </c>
      <c r="B9" s="37">
        <f t="shared" si="0"/>
        <v>841.57240000000002</v>
      </c>
      <c r="C9" s="33"/>
      <c r="D9" s="37">
        <f>IF(ISERROR(TER_gezond_gas_kWh/1000),0,TER_gezond_gas_kWh/1000)*0.902</f>
        <v>388.9260774922991</v>
      </c>
      <c r="E9" s="33">
        <f>$C$29*'E Balans VL '!I10/100/3.6*1000000</f>
        <v>0.66994606184457051</v>
      </c>
      <c r="F9" s="33">
        <f>$C$29*('E Balans VL '!L10+'E Balans VL '!N10)/100/3.6*1000000</f>
        <v>102.30528703659974</v>
      </c>
      <c r="G9" s="34"/>
      <c r="H9" s="33"/>
      <c r="I9" s="33"/>
      <c r="J9" s="33">
        <f>$C$29*('E Balans VL '!D10+'E Balans VL '!E10)/100/3.6*1000000</f>
        <v>0</v>
      </c>
      <c r="K9" s="33"/>
      <c r="L9" s="33"/>
      <c r="M9" s="33"/>
      <c r="N9" s="33">
        <f>$C$29*'E Balans VL '!Y10/100/3.6*1000000</f>
        <v>6.7979988872419161</v>
      </c>
      <c r="O9" s="33"/>
      <c r="P9" s="33"/>
      <c r="R9" s="32"/>
    </row>
    <row r="10" spans="1:18">
      <c r="A10" s="32" t="s">
        <v>49</v>
      </c>
      <c r="B10" s="37">
        <f t="shared" si="0"/>
        <v>2407.7629999999999</v>
      </c>
      <c r="C10" s="33"/>
      <c r="D10" s="37">
        <f>IF(ISERROR(TER_ander_gas_kWh/1000),0,TER_ander_gas_kWh/1000)*0.902</f>
        <v>8445.7973287485111</v>
      </c>
      <c r="E10" s="33">
        <f>$C$30*'E Balans VL '!I14/100/3.6*1000000</f>
        <v>8.2515302886540791</v>
      </c>
      <c r="F10" s="33">
        <f>$C$30*('E Balans VL '!L14+'E Balans VL '!N14)/100/3.6*1000000</f>
        <v>537.7964142368852</v>
      </c>
      <c r="G10" s="34"/>
      <c r="H10" s="33"/>
      <c r="I10" s="33"/>
      <c r="J10" s="33">
        <f>$C$30*('E Balans VL '!D14+'E Balans VL '!E14)/100/3.6*1000000</f>
        <v>0</v>
      </c>
      <c r="K10" s="33"/>
      <c r="L10" s="33"/>
      <c r="M10" s="33"/>
      <c r="N10" s="33">
        <f>$C$30*'E Balans VL '!Y14/100/3.6*1000000</f>
        <v>1696.0414105521563</v>
      </c>
      <c r="O10" s="33"/>
      <c r="P10" s="33"/>
      <c r="R10" s="32"/>
    </row>
    <row r="11" spans="1:18">
      <c r="A11" s="32" t="s">
        <v>54</v>
      </c>
      <c r="B11" s="37">
        <f t="shared" si="0"/>
        <v>236.3081</v>
      </c>
      <c r="C11" s="33"/>
      <c r="D11" s="37">
        <f>IF(ISERROR(TER_onderwijs_gas_kWh/1000),0,TER_onderwijs_gas_kWh/1000)*0.902</f>
        <v>369.70957020925027</v>
      </c>
      <c r="E11" s="33">
        <f>$C$31*'E Balans VL '!I11/100/3.6*1000000</f>
        <v>0.16335251181328536</v>
      </c>
      <c r="F11" s="33">
        <f>$C$31*('E Balans VL '!L11+'E Balans VL '!N11)/100/3.6*1000000</f>
        <v>61.858596295447889</v>
      </c>
      <c r="G11" s="34"/>
      <c r="H11" s="33"/>
      <c r="I11" s="33"/>
      <c r="J11" s="33">
        <f>$C$31*('E Balans VL '!D11+'E Balans VL '!E11)/100/3.6*1000000</f>
        <v>0</v>
      </c>
      <c r="K11" s="33"/>
      <c r="L11" s="33"/>
      <c r="M11" s="33"/>
      <c r="N11" s="33">
        <f>$C$31*'E Balans VL '!Y11/100/3.6*1000000</f>
        <v>0.23522458639612623</v>
      </c>
      <c r="O11" s="33"/>
      <c r="P11" s="33"/>
      <c r="R11" s="32"/>
    </row>
    <row r="12" spans="1:18">
      <c r="A12" s="32" t="s">
        <v>249</v>
      </c>
      <c r="B12" s="37">
        <f t="shared" si="0"/>
        <v>3498.9029999999998</v>
      </c>
      <c r="C12" s="33"/>
      <c r="D12" s="37">
        <f>IF(ISERROR(TER_rest_gas_kWh/1000),0,TER_rest_gas_kWh/1000)*0.902</f>
        <v>4039.5311641587036</v>
      </c>
      <c r="E12" s="33">
        <f>$C$32*'E Balans VL '!I8/100/3.6*1000000</f>
        <v>31.634108045978621</v>
      </c>
      <c r="F12" s="33">
        <f>$C$32*('E Balans VL '!L8+'E Balans VL '!N8)/100/3.6*1000000</f>
        <v>515.76646425491697</v>
      </c>
      <c r="G12" s="34"/>
      <c r="H12" s="33"/>
      <c r="I12" s="33"/>
      <c r="J12" s="33">
        <f>$C$32*('E Balans VL '!D8+'E Balans VL '!E8)/100/3.6*1000000</f>
        <v>0</v>
      </c>
      <c r="K12" s="33"/>
      <c r="L12" s="33"/>
      <c r="M12" s="33"/>
      <c r="N12" s="33">
        <f>$C$32*'E Balans VL '!Y8/100/3.6*1000000</f>
        <v>298.40962244951169</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20599.050499999998</v>
      </c>
      <c r="C16" s="21">
        <f t="shared" ca="1" si="1"/>
        <v>0</v>
      </c>
      <c r="D16" s="21">
        <f t="shared" ca="1" si="1"/>
        <v>21682.251512450355</v>
      </c>
      <c r="E16" s="21">
        <f t="shared" si="1"/>
        <v>217.1893421605478</v>
      </c>
      <c r="F16" s="21">
        <f t="shared" ca="1" si="1"/>
        <v>3087.1150163062266</v>
      </c>
      <c r="G16" s="21">
        <f t="shared" si="1"/>
        <v>0</v>
      </c>
      <c r="H16" s="21">
        <f t="shared" si="1"/>
        <v>0</v>
      </c>
      <c r="I16" s="21">
        <f t="shared" si="1"/>
        <v>0</v>
      </c>
      <c r="J16" s="21">
        <f t="shared" si="1"/>
        <v>0</v>
      </c>
      <c r="K16" s="21">
        <f t="shared" si="1"/>
        <v>0</v>
      </c>
      <c r="L16" s="21">
        <f t="shared" ca="1" si="1"/>
        <v>0</v>
      </c>
      <c r="M16" s="21">
        <f t="shared" si="1"/>
        <v>0</v>
      </c>
      <c r="N16" s="21">
        <f t="shared" ca="1" si="1"/>
        <v>2103.970696495111</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0.2069097793758467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4262.1449943069238</v>
      </c>
      <c r="C20" s="23">
        <f t="shared" ref="C20:P20" ca="1" si="2">C16*C18</f>
        <v>0</v>
      </c>
      <c r="D20" s="23">
        <f t="shared" ca="1" si="2"/>
        <v>4379.8148055149722</v>
      </c>
      <c r="E20" s="23">
        <f t="shared" si="2"/>
        <v>49.301980670444351</v>
      </c>
      <c r="F20" s="23">
        <f t="shared" ca="1" si="2"/>
        <v>824.25970935376256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4681.7740000000003</v>
      </c>
      <c r="C26" s="39">
        <f>IF(ISERROR(B26*3.6/1000000/'E Balans VL '!Z12*100),0,B26*3.6/1000000/'E Balans VL '!Z12*100)</f>
        <v>0.10284057858275415</v>
      </c>
      <c r="D26" s="233" t="s">
        <v>676</v>
      </c>
      <c r="F26" s="6"/>
    </row>
    <row r="27" spans="1:18">
      <c r="A27" s="228" t="s">
        <v>52</v>
      </c>
      <c r="B27" s="33">
        <f>IF(ISERROR(TER_horeca_ele_kWh/1000),0,TER_horeca_ele_kWh/1000)</f>
        <v>2143.7080000000001</v>
      </c>
      <c r="C27" s="39">
        <f>IF(ISERROR(B27*3.6/1000000/'E Balans VL '!Z9*100),0,B27*3.6/1000000/'E Balans VL '!Z9*100)</f>
        <v>0.17226830653373182</v>
      </c>
      <c r="D27" s="233" t="s">
        <v>676</v>
      </c>
      <c r="F27" s="6"/>
    </row>
    <row r="28" spans="1:18">
      <c r="A28" s="168" t="s">
        <v>51</v>
      </c>
      <c r="B28" s="33">
        <f>IF(ISERROR(TER_handel_ele_kWh/1000),0,TER_handel_ele_kWh/1000)</f>
        <v>6789.0219999999999</v>
      </c>
      <c r="C28" s="39">
        <f>IF(ISERROR(B28*3.6/1000000/'E Balans VL '!Z13*100),0,B28*3.6/1000000/'E Balans VL '!Z13*100)</f>
        <v>0.20074663762964595</v>
      </c>
      <c r="D28" s="233" t="s">
        <v>676</v>
      </c>
      <c r="F28" s="6"/>
    </row>
    <row r="29" spans="1:18">
      <c r="A29" s="228" t="s">
        <v>50</v>
      </c>
      <c r="B29" s="33">
        <f>IF(ISERROR(TER_gezond_ele_kWh/1000),0,TER_gezond_ele_kWh/1000)</f>
        <v>841.57240000000002</v>
      </c>
      <c r="C29" s="39">
        <f>IF(ISERROR(B29*3.6/1000000/'E Balans VL '!Z10*100),0,B29*3.6/1000000/'E Balans VL '!Z10*100)</f>
        <v>9.482348199591456E-2</v>
      </c>
      <c r="D29" s="233" t="s">
        <v>676</v>
      </c>
      <c r="F29" s="6"/>
    </row>
    <row r="30" spans="1:18">
      <c r="A30" s="228" t="s">
        <v>49</v>
      </c>
      <c r="B30" s="33">
        <f>IF(ISERROR(TER_ander_ele_kWh/1000),0,TER_ander_ele_kWh/1000)</f>
        <v>2407.7629999999999</v>
      </c>
      <c r="C30" s="39">
        <f>IF(ISERROR(B30*3.6/1000000/'E Balans VL '!Z14*100),0,B30*3.6/1000000/'E Balans VL '!Z14*100)</f>
        <v>0.18209499980506627</v>
      </c>
      <c r="D30" s="233" t="s">
        <v>676</v>
      </c>
      <c r="F30" s="6"/>
    </row>
    <row r="31" spans="1:18">
      <c r="A31" s="228" t="s">
        <v>54</v>
      </c>
      <c r="B31" s="33">
        <f>IF(ISERROR(TER_onderwijs_ele_kWh/1000),0,TER_onderwijs_ele_kWh/1000)</f>
        <v>236.3081</v>
      </c>
      <c r="C31" s="39">
        <f>IF(ISERROR(B31*3.6/1000000/'E Balans VL '!Z11*100),0,B31*3.6/1000000/'E Balans VL '!Z11*100)</f>
        <v>4.9052075902960082E-2</v>
      </c>
      <c r="D31" s="233" t="s">
        <v>676</v>
      </c>
    </row>
    <row r="32" spans="1:18">
      <c r="A32" s="228" t="s">
        <v>249</v>
      </c>
      <c r="B32" s="33">
        <f>IF(ISERROR(TER_rest_ele_kWh/1000),0,TER_rest_ele_kWh/1000)</f>
        <v>3498.9029999999998</v>
      </c>
      <c r="C32" s="39">
        <f>IF(ISERROR(B32*3.6/1000000/'E Balans VL '!Z8*100),0,B32*3.6/1000000/'E Balans VL '!Z8*100)</f>
        <v>2.9476199440069878E-2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4</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31781.576200000003</v>
      </c>
      <c r="C5" s="17">
        <f>IF(ISERROR('Eigen informatie GS &amp; warmtenet'!B59),0,'Eigen informatie GS &amp; warmtenet'!B59)</f>
        <v>0</v>
      </c>
      <c r="D5" s="30">
        <f>SUM(D6:D15)</f>
        <v>33293.558733220489</v>
      </c>
      <c r="E5" s="17">
        <f>SUM(E6:E15)</f>
        <v>787.08977422126509</v>
      </c>
      <c r="F5" s="17">
        <f>SUM(F6:F15)</f>
        <v>50248.900928576069</v>
      </c>
      <c r="G5" s="18"/>
      <c r="H5" s="17"/>
      <c r="I5" s="17"/>
      <c r="J5" s="17">
        <f>SUM(J6:J15)</f>
        <v>625.5277522833785</v>
      </c>
      <c r="K5" s="17"/>
      <c r="L5" s="17"/>
      <c r="M5" s="17"/>
      <c r="N5" s="17">
        <f>SUM(N6:N15)</f>
        <v>13751.658024060396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1152.077</v>
      </c>
      <c r="C8" s="33"/>
      <c r="D8" s="37">
        <f>IF( ISERROR(IND_metaal_Gas_kWH/1000),0,IND_metaal_Gas_kWH/1000)*0.902</f>
        <v>0</v>
      </c>
      <c r="E8" s="33">
        <f>C30*'E Balans VL '!I18/100/3.6*1000000</f>
        <v>28.83245512688389</v>
      </c>
      <c r="F8" s="33">
        <f>C30*'E Balans VL '!L18/100/3.6*1000000+C30*'E Balans VL '!N18/100/3.6*1000000</f>
        <v>361.06666252571756</v>
      </c>
      <c r="G8" s="34"/>
      <c r="H8" s="33"/>
      <c r="I8" s="33"/>
      <c r="J8" s="40">
        <f>C30*'E Balans VL '!D18/100/3.6*1000000+C30*'E Balans VL '!E18/100/3.6*1000000</f>
        <v>0</v>
      </c>
      <c r="K8" s="33"/>
      <c r="L8" s="33"/>
      <c r="M8" s="33"/>
      <c r="N8" s="33">
        <f>C30*'E Balans VL '!Y18/100/3.6*1000000</f>
        <v>28.943164140536343</v>
      </c>
      <c r="O8" s="33"/>
      <c r="P8" s="33"/>
      <c r="R8" s="32"/>
    </row>
    <row r="9" spans="1:18">
      <c r="A9" s="6" t="s">
        <v>32</v>
      </c>
      <c r="B9" s="37">
        <f t="shared" si="0"/>
        <v>1164</v>
      </c>
      <c r="C9" s="33"/>
      <c r="D9" s="37">
        <f>IF( ISERROR(IND_andere_gas_kWh/1000),0,IND_andere_gas_kWh/1000)*0.902</f>
        <v>750.07425666856238</v>
      </c>
      <c r="E9" s="33">
        <f>C31*'E Balans VL '!I19/100/3.6*1000000</f>
        <v>320.05225847528834</v>
      </c>
      <c r="F9" s="33">
        <f>C31*'E Balans VL '!L19/100/3.6*1000000+C31*'E Balans VL '!N19/100/3.6*1000000</f>
        <v>917.43455054271567</v>
      </c>
      <c r="G9" s="34"/>
      <c r="H9" s="33"/>
      <c r="I9" s="33"/>
      <c r="J9" s="40">
        <f>C31*'E Balans VL '!D19/100/3.6*1000000+C31*'E Balans VL '!E19/100/3.6*1000000</f>
        <v>0</v>
      </c>
      <c r="K9" s="33"/>
      <c r="L9" s="33"/>
      <c r="M9" s="33"/>
      <c r="N9" s="33">
        <f>C31*'E Balans VL '!Y19/100/3.6*1000000</f>
        <v>93.772573500970665</v>
      </c>
      <c r="O9" s="33"/>
      <c r="P9" s="33"/>
      <c r="R9" s="32"/>
    </row>
    <row r="10" spans="1:18">
      <c r="A10" s="6" t="s">
        <v>40</v>
      </c>
      <c r="B10" s="37">
        <f t="shared" si="0"/>
        <v>25496.577000000001</v>
      </c>
      <c r="C10" s="33"/>
      <c r="D10" s="37">
        <f>IF( ISERROR(IND_voed_gas_kWh/1000),0,IND_voed_gas_kWh/1000)*0.902</f>
        <v>9080.3320981577253</v>
      </c>
      <c r="E10" s="33">
        <f>C32*'E Balans VL '!I20/100/3.6*1000000</f>
        <v>259.92355637058307</v>
      </c>
      <c r="F10" s="33">
        <f>C32*'E Balans VL '!L20/100/3.6*1000000+C32*'E Balans VL '!N20/100/3.6*1000000</f>
        <v>48162.874487304245</v>
      </c>
      <c r="G10" s="34"/>
      <c r="H10" s="33"/>
      <c r="I10" s="33"/>
      <c r="J10" s="40">
        <f>C32*'E Balans VL '!D20/100/3.6*1000000+C32*'E Balans VL '!E20/100/3.6*1000000</f>
        <v>610.21651278764296</v>
      </c>
      <c r="K10" s="33"/>
      <c r="L10" s="33"/>
      <c r="M10" s="33"/>
      <c r="N10" s="33">
        <f>C32*'E Balans VL '!Y20/100/3.6*1000000</f>
        <v>13439.632924543926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493.88920000000002</v>
      </c>
      <c r="C12" s="33"/>
      <c r="D12" s="37">
        <f>IF( ISERROR(IND_min_gas_kWh/1000),0,IND_min_gas_kWh/1000)*0.902</f>
        <v>0</v>
      </c>
      <c r="E12" s="33">
        <f>C34*'E Balans VL '!I22/100/3.6*1000000</f>
        <v>1.4957669745718667</v>
      </c>
      <c r="F12" s="33">
        <f>C34*'E Balans VL '!L22/100/3.6*1000000+C34*'E Balans VL '!N22/100/3.6*1000000</f>
        <v>15.43446211437711</v>
      </c>
      <c r="G12" s="34"/>
      <c r="H12" s="33"/>
      <c r="I12" s="33"/>
      <c r="J12" s="40">
        <f>C34*'E Balans VL '!D22/100/3.6*1000000+C34*'E Balans VL '!E22/100/3.6*1000000</f>
        <v>0.73232804584712741</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3475.0329999999999</v>
      </c>
      <c r="C15" s="33"/>
      <c r="D15" s="37">
        <f>IF( ISERROR(IND_rest_gas_kWh/1000),0,IND_rest_gas_kWh/1000)*0.902</f>
        <v>23463.152378394199</v>
      </c>
      <c r="E15" s="33">
        <f>C37*'E Balans VL '!I15/100/3.6*1000000</f>
        <v>176.78573727393788</v>
      </c>
      <c r="F15" s="33">
        <f>C37*'E Balans VL '!L15/100/3.6*1000000+C37*'E Balans VL '!N15/100/3.6*1000000</f>
        <v>792.0907660890141</v>
      </c>
      <c r="G15" s="34"/>
      <c r="H15" s="33"/>
      <c r="I15" s="33"/>
      <c r="J15" s="40">
        <f>C37*'E Balans VL '!D15/100/3.6*1000000+C37*'E Balans VL '!E15/100/3.6*1000000</f>
        <v>14.578911449888436</v>
      </c>
      <c r="K15" s="33"/>
      <c r="L15" s="33"/>
      <c r="M15" s="33"/>
      <c r="N15" s="33">
        <f>C37*'E Balans VL '!Y15/100/3.6*1000000</f>
        <v>189.30936187496332</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31781.576200000003</v>
      </c>
      <c r="C18" s="21">
        <f>C5+C16</f>
        <v>0</v>
      </c>
      <c r="D18" s="21">
        <f>MAX((D5+D16),0)</f>
        <v>33293.558733220489</v>
      </c>
      <c r="E18" s="21">
        <f>MAX((E5+E16),0)</f>
        <v>787.08977422126509</v>
      </c>
      <c r="F18" s="21">
        <f>MAX((F5+F16),0)</f>
        <v>50248.900928576069</v>
      </c>
      <c r="G18" s="21"/>
      <c r="H18" s="21"/>
      <c r="I18" s="21"/>
      <c r="J18" s="21">
        <f>MAX((J5+J16),0)</f>
        <v>625.5277522833785</v>
      </c>
      <c r="K18" s="21"/>
      <c r="L18" s="21">
        <f>MAX((L5+L16),0)</f>
        <v>0</v>
      </c>
      <c r="M18" s="21"/>
      <c r="N18" s="21">
        <f>MAX((N5+N16),0)</f>
        <v>13751.658024060396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0.2069097793758467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6575.9189197586611</v>
      </c>
      <c r="C22" s="23">
        <f ca="1">C18*C20</f>
        <v>0</v>
      </c>
      <c r="D22" s="23">
        <f>D18*D20</f>
        <v>6725.2988641105394</v>
      </c>
      <c r="E22" s="23">
        <f>E18*E20</f>
        <v>178.66937874822719</v>
      </c>
      <c r="F22" s="23">
        <f>F18*F20</f>
        <v>13416.456547929811</v>
      </c>
      <c r="G22" s="23"/>
      <c r="H22" s="23"/>
      <c r="I22" s="23"/>
      <c r="J22" s="23">
        <f>J18*J20</f>
        <v>221.43682430831598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1152.077</v>
      </c>
      <c r="C30" s="39">
        <f>IF(ISERROR(B30*3.6/1000000/'E Balans VL '!Z18*100),0,B30*3.6/1000000/'E Balans VL '!Z18*100)</f>
        <v>0.16125238660983152</v>
      </c>
      <c r="D30" s="233" t="s">
        <v>676</v>
      </c>
    </row>
    <row r="31" spans="1:18">
      <c r="A31" s="6" t="s">
        <v>32</v>
      </c>
      <c r="B31" s="37">
        <f>IF( ISERROR(IND_ander_ele_kWh/1000),0,IND_ander_ele_kWh/1000)</f>
        <v>1164</v>
      </c>
      <c r="C31" s="39">
        <f>IF(ISERROR(B31*3.6/1000000/'E Balans VL '!Z19*100),0,B31*3.6/1000000/'E Balans VL '!Z19*100)</f>
        <v>5.0948091172372437E-2</v>
      </c>
      <c r="D31" s="233" t="s">
        <v>676</v>
      </c>
    </row>
    <row r="32" spans="1:18">
      <c r="A32" s="168" t="s">
        <v>40</v>
      </c>
      <c r="B32" s="37">
        <f>IF( ISERROR(IND_voed_ele_kWh/1000),0,IND_voed_ele_kWh/1000)</f>
        <v>25496.577000000001</v>
      </c>
      <c r="C32" s="39">
        <f>IF(ISERROR(B32*3.6/1000000/'E Balans VL '!Z20*100),0,B32*3.6/1000000/'E Balans VL '!Z20*100)</f>
        <v>6.312105765641693</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493.88920000000002</v>
      </c>
      <c r="C34" s="39">
        <f>IF(ISERROR(B34*3.6/1000000/'E Balans VL '!Z22*100),0,B34*3.6/1000000/'E Balans VL '!Z22*100)</f>
        <v>1.4014560536356907E-2</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3475.0329999999999</v>
      </c>
      <c r="C37" s="39">
        <f>IF(ISERROR(B37*3.6/1000000/'E Balans VL '!Z15*100),0,B37*3.6/1000000/'E Balans VL '!Z15*100)</f>
        <v>2.5766774744174197E-2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3287.3038999999999</v>
      </c>
      <c r="C5" s="17">
        <f>'Eigen informatie GS &amp; warmtenet'!B60</f>
        <v>0</v>
      </c>
      <c r="D5" s="30">
        <f>IF(ISERROR(SUM(LB_lb_gas_kWh,LB_rest_gas_kWh)/1000),0,SUM(LB_lb_gas_kWh,LB_rest_gas_kWh)/1000)*0.902</f>
        <v>3012.1096282185968</v>
      </c>
      <c r="E5" s="17">
        <f>B17*'E Balans VL '!I25/3.6*1000000/100</f>
        <v>30.448385571235963</v>
      </c>
      <c r="F5" s="17">
        <f>B17*('E Balans VL '!L25/3.6*1000000+'E Balans VL '!N25/3.6*1000000)/100</f>
        <v>8340.5162250502981</v>
      </c>
      <c r="G5" s="18"/>
      <c r="H5" s="17"/>
      <c r="I5" s="17"/>
      <c r="J5" s="17">
        <f>('E Balans VL '!D25+'E Balans VL '!E25)/3.6*1000000*landbouw!B17/100</f>
        <v>503.98037428859681</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3287.3038999999999</v>
      </c>
      <c r="C8" s="21">
        <f>C5+C6</f>
        <v>0</v>
      </c>
      <c r="D8" s="21">
        <f>MAX((D5+D6),0)</f>
        <v>3012.1096282185968</v>
      </c>
      <c r="E8" s="21">
        <f>MAX((E5+E6),0)</f>
        <v>30.448385571235963</v>
      </c>
      <c r="F8" s="21">
        <f>MAX((F5+F6),0)</f>
        <v>8340.5162250502981</v>
      </c>
      <c r="G8" s="21"/>
      <c r="H8" s="21"/>
      <c r="I8" s="21"/>
      <c r="J8" s="21">
        <f>MAX((J5+J6),0)</f>
        <v>503.98037428859681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0.2069097793758467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680.17532469036041</v>
      </c>
      <c r="C12" s="23">
        <f ca="1">C8*C10</f>
        <v>0</v>
      </c>
      <c r="D12" s="23">
        <f>D8*D10</f>
        <v>608.44614490015658</v>
      </c>
      <c r="E12" s="23">
        <f>E8*E10</f>
        <v>6.9117835246705637</v>
      </c>
      <c r="F12" s="23">
        <f>F8*F10</f>
        <v>2226.9178320884298</v>
      </c>
      <c r="G12" s="23"/>
      <c r="H12" s="23"/>
      <c r="I12" s="23"/>
      <c r="J12" s="23">
        <f>J8*J10</f>
        <v>178.40905249816325</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0.46738491168924012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198.64529567850178</v>
      </c>
      <c r="C26" s="243">
        <f>B26*'GWP N2O_CH4'!B5</f>
        <v>4171.5512092485378</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58.94558333711467</v>
      </c>
      <c r="C27" s="243">
        <f>B27*'GWP N2O_CH4'!B5</f>
        <v>1237.857250079408</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2.8099567344584697</v>
      </c>
      <c r="C28" s="243">
        <f>B28*'GWP N2O_CH4'!B4</f>
        <v>871.08658768212558</v>
      </c>
      <c r="D28" s="50"/>
    </row>
    <row r="29" spans="1:4">
      <c r="A29" s="41" t="s">
        <v>266</v>
      </c>
      <c r="B29" s="243">
        <f>B34*'ha_N2O bodem landbouw'!B4</f>
        <v>12.822527704880624</v>
      </c>
      <c r="C29" s="243">
        <f>B29*'GWP N2O_CH4'!B4</f>
        <v>3974.9835885129933</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2.8758670657544659E-3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6.9705815902466761E-5</v>
      </c>
      <c r="C5" s="430" t="s">
        <v>204</v>
      </c>
      <c r="D5" s="415">
        <f>SUM(D6:D11)</f>
        <v>1.2545228736702467E-4</v>
      </c>
      <c r="E5" s="415">
        <f>SUM(E6:E11)</f>
        <v>1.2673086220919448E-3</v>
      </c>
      <c r="F5" s="428" t="s">
        <v>204</v>
      </c>
      <c r="G5" s="415">
        <f>SUM(G6:G11)</f>
        <v>0.36179057001413645</v>
      </c>
      <c r="H5" s="415">
        <f>SUM(H6:H11)</f>
        <v>7.2226493440048431E-2</v>
      </c>
      <c r="I5" s="430" t="s">
        <v>204</v>
      </c>
      <c r="J5" s="430" t="s">
        <v>204</v>
      </c>
      <c r="K5" s="430" t="s">
        <v>204</v>
      </c>
      <c r="L5" s="430" t="s">
        <v>204</v>
      </c>
      <c r="M5" s="415">
        <f>SUM(M6:M11)</f>
        <v>2.3178701764694051E-2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1.0343389612343828E-5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1.5622015203338453E-5</v>
      </c>
      <c r="E6" s="858">
        <f>vkm_GW_PW*SUMIFS(TableVerdeelsleutelVkm[LPG],TableVerdeelsleutelVkm[Voertuigtype],"Lichte voertuigen")*SUMIFS(TableECFTransport[EnergieConsumptieFactor (PJ per km)],TableECFTransport[Index],CONCATENATE($A6,"_LPG_LPG"))</f>
        <v>1.5386918786924474E-4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3.5202037849956166E-2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9.084334708219054E-3</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2.3180121681563937E-3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9.4593881653136291E-8</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3.6305525825966966E-3</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6.8648044223447233E-8</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2.1049117725405167E-4</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3.4582571444759725E-5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7.8790280515737588E-5</v>
      </c>
      <c r="E8" s="418">
        <f>vkm_NGW_PW*SUMIFS(TableVerdeelsleutelVkm[LPG],TableVerdeelsleutelVkm[Voertuigtype],"Lichte voertuigen")*SUMIFS(TableECFTransport[EnergieConsumptieFactor (PJ per km)],TableECFTransport[Index],CONCATENATE($A8,"_LPG_LPG"))</f>
        <v>7.401270213342211E-4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0.1571551060371825</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4.4260001636308548E-2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1.0461462551596357E-2</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6.5401227368609198E-7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3.2250461211433275E-2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5.728850203733604E-7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1.86980722748843E-3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2.2526953093121516E-5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3.1039991647948644E-5</v>
      </c>
      <c r="E10" s="418">
        <f>vkm_SW_PW*SUMIFS(TableVerdeelsleutelVkm[LPG],TableVerdeelsleutelVkm[Voertuigtype],"Lichte voertuigen")*SUMIFS(TableECFTransport[EnergieConsumptieFactor (PJ per km)],TableECFTransport[Index],CONCATENATE($A10,"_LPG_LPG"))</f>
        <v>3.7331241288847882E-4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7.8517483555972559E-2</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1.8880391918434918E-2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5.1281261718028447E-3</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1.504295596902452E-6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5.5034928776995291E-2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1.1236440213138408E-6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3.1908024683959747E-3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19.362726639574099</v>
      </c>
      <c r="C14" s="21"/>
      <c r="D14" s="21">
        <f t="shared" ref="D14:M14" si="0">((D5)*10^9/3600)+D12</f>
        <v>34.847857601951297</v>
      </c>
      <c r="E14" s="21">
        <f t="shared" si="0"/>
        <v>352.03017280331801</v>
      </c>
      <c r="F14" s="21"/>
      <c r="G14" s="21">
        <f t="shared" si="0"/>
        <v>100497.38055948235</v>
      </c>
      <c r="H14" s="21">
        <f t="shared" si="0"/>
        <v>20062.914844457897</v>
      </c>
      <c r="I14" s="21"/>
      <c r="J14" s="21"/>
      <c r="K14" s="21"/>
      <c r="L14" s="21"/>
      <c r="M14" s="21">
        <f t="shared" si="0"/>
        <v>6438.5282679705697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0.2069097793758467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4.0063374971091061</v>
      </c>
      <c r="C18" s="23"/>
      <c r="D18" s="23">
        <f t="shared" ref="D18:M18" si="1">D14*D16</f>
        <v>7.0392672355941626</v>
      </c>
      <c r="E18" s="23">
        <f t="shared" si="1"/>
        <v>79.910849226353193</v>
      </c>
      <c r="F18" s="23"/>
      <c r="G18" s="23">
        <f t="shared" si="1"/>
        <v>26832.800609381789</v>
      </c>
      <c r="H18" s="23">
        <f t="shared" si="1"/>
        <v>4995.6657962700165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4.4984501094279333E-5</v>
      </c>
      <c r="C50" s="313">
        <f t="shared" ref="C50:P50" si="2">SUM(C51:C52)</f>
        <v>0</v>
      </c>
      <c r="D50" s="313">
        <f t="shared" si="2"/>
        <v>0</v>
      </c>
      <c r="E50" s="313">
        <f t="shared" si="2"/>
        <v>0</v>
      </c>
      <c r="F50" s="313">
        <f t="shared" si="2"/>
        <v>0</v>
      </c>
      <c r="G50" s="313">
        <f t="shared" si="2"/>
        <v>8.5239693891882799E-3</v>
      </c>
      <c r="H50" s="313">
        <f t="shared" si="2"/>
        <v>0</v>
      </c>
      <c r="I50" s="313">
        <f t="shared" si="2"/>
        <v>0</v>
      </c>
      <c r="J50" s="313">
        <f t="shared" si="2"/>
        <v>0</v>
      </c>
      <c r="K50" s="313">
        <f t="shared" si="2"/>
        <v>0</v>
      </c>
      <c r="L50" s="313">
        <f t="shared" si="2"/>
        <v>0</v>
      </c>
      <c r="M50" s="313">
        <f t="shared" si="2"/>
        <v>4.9070817681930569E-4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4.4984501094279333E-5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8.5239693891882799E-3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4.9070817681930569E-4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12.495694748410925</v>
      </c>
      <c r="C54" s="21">
        <f t="shared" ref="C54:P54" si="3">(C50)*10^9/3600</f>
        <v>0</v>
      </c>
      <c r="D54" s="21">
        <f t="shared" si="3"/>
        <v>0</v>
      </c>
      <c r="E54" s="21">
        <f t="shared" si="3"/>
        <v>0</v>
      </c>
      <c r="F54" s="21">
        <f t="shared" si="3"/>
        <v>0</v>
      </c>
      <c r="G54" s="21">
        <f t="shared" si="3"/>
        <v>2367.7692747745223</v>
      </c>
      <c r="H54" s="21">
        <f t="shared" si="3"/>
        <v>0</v>
      </c>
      <c r="I54" s="21">
        <f t="shared" si="3"/>
        <v>0</v>
      </c>
      <c r="J54" s="21">
        <f t="shared" si="3"/>
        <v>0</v>
      </c>
      <c r="K54" s="21">
        <f t="shared" si="3"/>
        <v>0</v>
      </c>
      <c r="L54" s="21">
        <f t="shared" si="3"/>
        <v>0</v>
      </c>
      <c r="M54" s="21">
        <f t="shared" si="3"/>
        <v>136.30782689425158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0.2069097793758467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2.5854814435416307</v>
      </c>
      <c r="C58" s="23">
        <f t="shared" ref="C58:P58" ca="1" si="4">C54*C56</f>
        <v>0</v>
      </c>
      <c r="D58" s="23">
        <f t="shared" si="4"/>
        <v>0</v>
      </c>
      <c r="E58" s="23">
        <f t="shared" si="4"/>
        <v>0</v>
      </c>
      <c r="F58" s="23">
        <f t="shared" si="4"/>
        <v>0</v>
      </c>
      <c r="G58" s="23">
        <f t="shared" si="4"/>
        <v>632.19439636479751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5984.5034378344753</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5984.5034378344753</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2021-11-11T13:09:21Z</dcterms:modified>
</cp:coreProperties>
</file>